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6\Charging Models From DCUSA\Broken Links\"/>
    </mc:Choice>
  </mc:AlternateContent>
  <workbookProtection lockStructure="1"/>
  <bookViews>
    <workbookView xWindow="-120" yWindow="-120" windowWidth="38640" windowHeight="15840" tabRatio="933" firstSheet="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1" i="87" l="1"/>
  <c r="J176" i="87" s="1"/>
  <c r="J181" i="87" s="1"/>
  <c r="K169" i="87"/>
  <c r="K174" i="87" s="1"/>
  <c r="K179" i="87" s="1"/>
  <c r="L170" i="87"/>
  <c r="L175" i="87" s="1"/>
  <c r="L180" i="87" s="1"/>
  <c r="N171" i="87"/>
  <c r="N176" i="87" s="1"/>
  <c r="N181" i="87" s="1"/>
  <c r="K170" i="87"/>
  <c r="K175" i="87" s="1"/>
  <c r="K180" i="87" s="1"/>
  <c r="L171" i="87"/>
  <c r="L176" i="87" s="1"/>
  <c r="L181" i="87" s="1"/>
  <c r="K171" i="87"/>
  <c r="K176" i="87" s="1"/>
  <c r="K181" i="87" s="1"/>
  <c r="M171" i="87"/>
  <c r="M176" i="87" s="1"/>
  <c r="M181" i="87" s="1"/>
  <c r="J170" i="87"/>
  <c r="J175" i="87" s="1"/>
  <c r="J180" i="87" s="1"/>
  <c r="N170" i="87"/>
  <c r="N175" i="87" s="1"/>
  <c r="N180" i="87" s="1"/>
  <c r="M169" i="87"/>
  <c r="M174" i="87" s="1"/>
  <c r="M179" i="87" s="1"/>
  <c r="J169" i="87"/>
  <c r="J174" i="87" s="1"/>
  <c r="J179" i="87" s="1"/>
  <c r="M170" i="87"/>
  <c r="M175" i="87" s="1"/>
  <c r="M180" i="87" s="1"/>
  <c r="L169" i="87"/>
  <c r="L174" i="87" s="1"/>
  <c r="L179" i="87" s="1"/>
  <c r="N169" i="87"/>
  <c r="N174" i="87" s="1"/>
  <c r="N179" i="87" s="1"/>
  <c r="H102" i="89" l="1"/>
  <c r="H109" i="89"/>
  <c r="H92" i="89" l="1"/>
  <c r="H29" i="82" s="1"/>
  <c r="H56" i="89"/>
  <c r="H57" i="89" s="1"/>
  <c r="H90" i="89"/>
  <c r="H31" i="112" s="1"/>
  <c r="H89" i="89"/>
  <c r="H30" i="112" s="1"/>
  <c r="H66" i="89"/>
  <c r="H64" i="41" l="1"/>
  <c r="H65" i="41"/>
  <c r="H69" i="89"/>
  <c r="H72" i="89" s="1"/>
  <c r="H77" i="89" s="1"/>
  <c r="H81" i="89" s="1"/>
  <c r="H82" i="89" s="1"/>
  <c r="H86" i="89" s="1"/>
  <c r="H61" i="41" l="1"/>
  <c r="Y27" i="112"/>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H83" i="105"/>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AB148" i="105"/>
  <c r="W148"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Q36" i="105"/>
  <c r="Q141" i="105" s="1"/>
  <c r="AO36" i="105"/>
  <c r="AO141" i="105" s="1"/>
  <c r="AO174" i="105"/>
  <c r="AL47" i="105"/>
  <c r="AL142" i="105" s="1"/>
  <c r="AO47" i="105"/>
  <c r="AO142" i="105" s="1"/>
  <c r="AN47" i="105"/>
  <c r="AN142" i="105" s="1"/>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P23" i="112"/>
  <c r="O23" i="112"/>
  <c r="N23" i="112"/>
  <c r="M23" i="112"/>
  <c r="M54" i="112" s="1"/>
  <c r="L23" i="112"/>
  <c r="K23" i="112"/>
  <c r="K54"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0" i="112" s="1"/>
  <c r="Y60" i="112" s="1"/>
  <c r="X20" i="112"/>
  <c r="W20" i="112"/>
  <c r="V20" i="112"/>
  <c r="U20" i="112"/>
  <c r="T20" i="112"/>
  <c r="S20" i="112"/>
  <c r="R20" i="112"/>
  <c r="Q20" i="112"/>
  <c r="P20" i="112"/>
  <c r="O20" i="112"/>
  <c r="N20" i="112"/>
  <c r="M20" i="112"/>
  <c r="L20" i="112"/>
  <c r="K20" i="112"/>
  <c r="A2" i="112"/>
  <c r="A1" i="112"/>
  <c r="C16" i="112" s="1"/>
  <c r="G195" i="85" s="1"/>
  <c r="M50" i="112" l="1"/>
  <c r="M60" i="112" s="1"/>
  <c r="Q50" i="112"/>
  <c r="Q60" i="112" s="1"/>
  <c r="R50" i="112"/>
  <c r="R60" i="112" s="1"/>
  <c r="T50" i="112"/>
  <c r="T60" i="112" s="1"/>
  <c r="U50" i="112"/>
  <c r="U60" i="112" s="1"/>
  <c r="S50" i="112"/>
  <c r="S60" i="112" s="1"/>
  <c r="V50" i="112"/>
  <c r="V60" i="112" s="1"/>
  <c r="K50" i="112"/>
  <c r="K60" i="112" s="1"/>
  <c r="W50" i="112"/>
  <c r="W60" i="112" s="1"/>
  <c r="X50" i="112"/>
  <c r="X60" i="112" s="1"/>
  <c r="J36" i="112"/>
  <c r="J37" i="112"/>
  <c r="V37" i="112"/>
  <c r="M36" i="112"/>
  <c r="U37" i="112"/>
  <c r="M37" i="112"/>
  <c r="T36" i="112"/>
  <c r="L36" i="112"/>
  <c r="T37" i="112"/>
  <c r="L37" i="112"/>
  <c r="S36" i="112"/>
  <c r="K36" i="112"/>
  <c r="S37" i="112"/>
  <c r="K37" i="112"/>
  <c r="R36" i="112"/>
  <c r="R37" i="112"/>
  <c r="Y36" i="112"/>
  <c r="Q36" i="112"/>
  <c r="Y37" i="112"/>
  <c r="P36" i="112"/>
  <c r="X37" i="112"/>
  <c r="P37" i="112"/>
  <c r="W36" i="112"/>
  <c r="O36" i="112"/>
  <c r="U36" i="112"/>
  <c r="Q37" i="112"/>
  <c r="X36" i="112"/>
  <c r="W37" i="112"/>
  <c r="O37" i="112"/>
  <c r="V36" i="112"/>
  <c r="C33" i="112"/>
  <c r="G196" i="85" s="1"/>
  <c r="C48"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Y83" i="53"/>
  <c r="X83" i="53"/>
  <c r="W83" i="53"/>
  <c r="V83" i="53"/>
  <c r="U83" i="53"/>
  <c r="T83" i="53"/>
  <c r="S83" i="53"/>
  <c r="R83"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R91" i="53"/>
  <c r="R267" i="53" s="1"/>
  <c r="Y91" i="53"/>
  <c r="Y267" i="53" s="1"/>
  <c r="U91" i="53"/>
  <c r="U267" i="53" s="1"/>
  <c r="V91" i="53"/>
  <c r="V267" i="53" s="1"/>
  <c r="U89" i="53"/>
  <c r="R89" i="53"/>
  <c r="V89" i="53"/>
  <c r="Y89" i="53"/>
  <c r="S89" i="53"/>
  <c r="W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W249" i="22" l="1"/>
  <c r="X286" i="22"/>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H116" i="53"/>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H67" i="4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G233" i="85"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13" i="89" a="1"/>
  <c r="H113" i="89" s="1"/>
  <c r="H119" i="89"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126" i="105"/>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3"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1" i="55"/>
  <c r="H70" i="23" a="1"/>
  <c r="H70" i="23" s="1"/>
  <c r="A4" i="23" s="1"/>
  <c r="A4" i="89"/>
  <c r="J44" i="55"/>
  <c r="A4" i="70"/>
  <c r="J45" i="55"/>
  <c r="P386" i="22" l="1"/>
  <c r="P506" i="22" s="1"/>
  <c r="AC57"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7"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K59" i="80" l="1"/>
  <c r="AF56" i="4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8" i="111"/>
  <c r="L34" i="111" s="1"/>
  <c r="K34" i="53"/>
  <c r="L191" i="80"/>
  <c r="L192" i="80" s="1"/>
  <c r="P59" i="80"/>
  <c r="L34" i="53"/>
  <c r="M59" i="80"/>
  <c r="M27" i="111"/>
  <c r="M33" i="111" s="1"/>
  <c r="Q33" i="111"/>
  <c r="Q59" i="80"/>
  <c r="O59" i="80"/>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56" i="83"/>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O69" i="53"/>
  <c r="P44" i="53"/>
  <c r="P50" i="53" s="1"/>
  <c r="P43" i="53"/>
  <c r="P49" i="53" s="1"/>
  <c r="O42" i="53"/>
  <c r="O48" i="53" s="1"/>
  <c r="O54" i="53" s="1"/>
  <c r="O44" i="53"/>
  <c r="O50" i="53" s="1"/>
  <c r="P42" i="53"/>
  <c r="P48" i="53" s="1"/>
  <c r="P54" i="53" s="1"/>
  <c r="K69" i="53"/>
  <c r="M44" i="53"/>
  <c r="M50" i="53" s="1"/>
  <c r="M69" i="53"/>
  <c r="L69" i="53"/>
  <c r="Q50" i="53"/>
  <c r="Q49" i="53"/>
  <c r="Q48" i="53"/>
  <c r="Q54" i="53" s="1"/>
  <c r="L43" i="53"/>
  <c r="L49" i="53" s="1"/>
  <c r="M43" i="53"/>
  <c r="M49" i="53" s="1"/>
  <c r="L42" i="53"/>
  <c r="L48" i="53" s="1"/>
  <c r="L54" i="53" s="1"/>
  <c r="L44" i="53"/>
  <c r="L50" i="53" s="1"/>
  <c r="M42" i="53"/>
  <c r="M48" i="53" s="1"/>
  <c r="V131" i="80"/>
  <c r="Q20" i="31"/>
  <c r="P21" i="31"/>
  <c r="M255" i="80"/>
  <c r="M259" i="80"/>
  <c r="M258" i="80"/>
  <c r="M257" i="80"/>
  <c r="M253" i="80"/>
  <c r="M254" i="80"/>
  <c r="M252" i="80"/>
  <c r="M256" i="80"/>
  <c r="S74" i="74"/>
  <c r="S78" i="74"/>
  <c r="S77" i="74"/>
  <c r="S73" i="74"/>
  <c r="S76" i="74"/>
  <c r="S75" i="74"/>
  <c r="S72" i="74"/>
  <c r="L132" i="74"/>
  <c r="L133" i="74"/>
  <c r="J132" i="74"/>
  <c r="J133" i="74"/>
  <c r="U162" i="72" l="1"/>
  <c r="U197" i="72" s="1"/>
  <c r="U227" i="72" s="1"/>
  <c r="S161" i="72"/>
  <c r="S196" i="72" s="1"/>
  <c r="S226" i="72" s="1"/>
  <c r="V85" i="80"/>
  <c r="V145" i="80" s="1"/>
  <c r="V171" i="80" s="1"/>
  <c r="W84" i="80"/>
  <c r="W130" i="80"/>
  <c r="W82" i="80"/>
  <c r="U105" i="80"/>
  <c r="U82" i="80"/>
  <c r="W105" i="80"/>
  <c r="T167" i="72"/>
  <c r="T202" i="72" s="1"/>
  <c r="T232" i="72" s="1"/>
  <c r="X166" i="72"/>
  <c r="X201" i="72" s="1"/>
  <c r="X231" i="72" s="1"/>
  <c r="W218" i="83"/>
  <c r="W90" i="71" s="1"/>
  <c r="W195" i="71" s="1"/>
  <c r="Y131" i="83"/>
  <c r="V132" i="83"/>
  <c r="Y160" i="72"/>
  <c r="Y195" i="72" s="1"/>
  <c r="Y225" i="72" s="1"/>
  <c r="X185" i="83"/>
  <c r="X56" i="71" s="1"/>
  <c r="X161" i="71" s="1"/>
  <c r="V164" i="72"/>
  <c r="V199" i="72" s="1"/>
  <c r="V229" i="72" s="1"/>
  <c r="X127" i="83"/>
  <c r="V107" i="80"/>
  <c r="U166" i="72"/>
  <c r="U201" i="72" s="1"/>
  <c r="U231" i="72" s="1"/>
  <c r="T90" i="80"/>
  <c r="P202" i="80"/>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T213" i="83"/>
  <c r="T85" i="71" s="1"/>
  <c r="T190" i="71"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X186" i="83"/>
  <c r="X57" i="71" s="1"/>
  <c r="X162" i="71" s="1"/>
  <c r="T132" i="83"/>
  <c r="W85" i="80"/>
  <c r="X109" i="80"/>
  <c r="T160" i="83"/>
  <c r="T30" i="71" s="1"/>
  <c r="T135" i="71" s="1"/>
  <c r="V135" i="80"/>
  <c r="R132" i="83"/>
  <c r="X134" i="80"/>
  <c r="U218" i="83"/>
  <c r="U90" i="71" s="1"/>
  <c r="U195" i="71" s="1"/>
  <c r="U155" i="83"/>
  <c r="U25" i="71" s="1"/>
  <c r="U130" i="71" s="1"/>
  <c r="Y213" i="83"/>
  <c r="Y85" i="71" s="1"/>
  <c r="Y190" i="71" s="1"/>
  <c r="Y204" i="80"/>
  <c r="T108" i="80"/>
  <c r="Y132" i="80"/>
  <c r="Y135" i="80"/>
  <c r="W132" i="83"/>
  <c r="Y126" i="83"/>
  <c r="X130" i="80"/>
  <c r="X135" i="80"/>
  <c r="Y134" i="80"/>
  <c r="X128" i="83"/>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V105" i="80"/>
  <c r="U85" i="80"/>
  <c r="U135" i="80"/>
  <c r="M54" i="53"/>
  <c r="X22" i="71"/>
  <c r="X127" i="71" s="1"/>
  <c r="Q21" i="31"/>
  <c r="Q23" i="31" s="1"/>
  <c r="R20" i="31"/>
  <c r="X188" i="71"/>
  <c r="W188" i="71"/>
  <c r="W157" i="71"/>
  <c r="U128" i="71"/>
  <c r="W144" i="80" l="1"/>
  <c r="W170" i="80" s="1"/>
  <c r="W142" i="80"/>
  <c r="W168" i="80" s="1"/>
  <c r="U142" i="80"/>
  <c r="U168" i="80" s="1"/>
  <c r="X142" i="80"/>
  <c r="X168" i="80" s="1"/>
  <c r="V144" i="80"/>
  <c r="V170" i="80" s="1"/>
  <c r="Y148" i="80"/>
  <c r="Y174" i="80" s="1"/>
  <c r="X143" i="80"/>
  <c r="X169" i="80" s="1"/>
  <c r="T150" i="80"/>
  <c r="T176" i="80" s="1"/>
  <c r="U145" i="80"/>
  <c r="U171" i="80" s="1"/>
  <c r="N145" i="41"/>
  <c r="P145" i="41"/>
  <c r="P147" i="41" s="1" a="1"/>
  <c r="AG145" i="4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X177" i="80"/>
  <c r="V177" i="80"/>
  <c r="T177" i="80"/>
  <c r="V208" i="80"/>
  <c r="X208" i="80"/>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32" i="80" s="1"/>
  <c r="H215" i="80"/>
  <c r="H227" i="80" s="1"/>
  <c r="H217" i="80"/>
  <c r="H229" i="80" s="1"/>
  <c r="H221" i="80"/>
  <c r="H216" i="80"/>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H233" i="80"/>
  <c r="H231" i="80"/>
  <c r="H230" i="80"/>
  <c r="H228" i="80"/>
  <c r="H226" i="80"/>
  <c r="R148" i="80"/>
  <c r="R174" i="80" s="1"/>
  <c r="S144" i="80"/>
  <c r="S170" i="80" s="1"/>
  <c r="R142" i="80"/>
  <c r="R168" i="80" s="1"/>
  <c r="J46" i="55"/>
  <c r="A4" i="31"/>
  <c r="S143" i="80"/>
  <c r="S169" i="80" s="1"/>
  <c r="S150" i="80"/>
  <c r="S208" i="80" s="1"/>
  <c r="R146" i="80"/>
  <c r="R172" i="80" s="1"/>
  <c r="S142" i="80"/>
  <c r="S168" i="80" s="1"/>
  <c r="S22" i="71"/>
  <c r="S148" i="80"/>
  <c r="S174" i="80" s="1"/>
  <c r="S146" i="80"/>
  <c r="S172" i="80" s="1"/>
  <c r="R145" i="80"/>
  <c r="R171" i="80" s="1"/>
  <c r="R150" i="80"/>
  <c r="R149" i="80"/>
  <c r="R175" i="80" s="1"/>
  <c r="R143" i="80"/>
  <c r="R169" i="80" s="1"/>
  <c r="R147" i="80"/>
  <c r="R173" i="80" s="1"/>
  <c r="S145" i="80"/>
  <c r="S171" i="80" s="1"/>
  <c r="S147" i="80"/>
  <c r="S173" i="80" s="1"/>
  <c r="S149" i="80"/>
  <c r="S17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K56" i="82" l="1" a="1"/>
  <c r="S241" i="80"/>
  <c r="Y254" i="80"/>
  <c r="T241" i="80"/>
  <c r="X241" i="80"/>
  <c r="W254" i="80"/>
  <c r="R254" i="80"/>
  <c r="V254" i="80"/>
  <c r="Y241" i="80"/>
  <c r="U241" i="80"/>
  <c r="U254" i="80"/>
  <c r="T254" i="80"/>
  <c r="H26" i="73"/>
  <c r="X254" i="80"/>
  <c r="S254" i="80"/>
  <c r="R241" i="80"/>
  <c r="W241" i="80"/>
  <c r="V241" i="80"/>
  <c r="K241" i="80"/>
  <c r="L241" i="80"/>
  <c r="Q241" i="80"/>
  <c r="O241" i="80"/>
  <c r="P241" i="80"/>
  <c r="M241" i="80"/>
  <c r="J241" i="80"/>
  <c r="H29" i="73"/>
  <c r="W257" i="80"/>
  <c r="U257" i="80"/>
  <c r="T244" i="80"/>
  <c r="X244" i="80"/>
  <c r="Y244" i="80"/>
  <c r="T257" i="80"/>
  <c r="V257" i="80"/>
  <c r="Y257" i="80"/>
  <c r="W244" i="80"/>
  <c r="R257" i="80"/>
  <c r="S244" i="80"/>
  <c r="R244" i="80"/>
  <c r="U244" i="80"/>
  <c r="V244" i="80"/>
  <c r="S257" i="80"/>
  <c r="X257" i="80"/>
  <c r="O244" i="80"/>
  <c r="L244" i="80"/>
  <c r="K244"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P240" i="80"/>
  <c r="O240" i="80"/>
  <c r="K240" i="80"/>
  <c r="L240" i="80"/>
  <c r="Q240" i="80"/>
  <c r="M240" i="80"/>
  <c r="J240" i="80"/>
  <c r="W255" i="80"/>
  <c r="S255" i="80"/>
  <c r="V255" i="80"/>
  <c r="U255" i="80"/>
  <c r="H27" i="73"/>
  <c r="W242" i="80"/>
  <c r="R242" i="80"/>
  <c r="V242" i="80"/>
  <c r="Y255" i="80"/>
  <c r="T255" i="80"/>
  <c r="U242" i="80"/>
  <c r="T242" i="80"/>
  <c r="R255" i="80"/>
  <c r="X255" i="80"/>
  <c r="S242" i="80"/>
  <c r="Y242" i="80"/>
  <c r="X242" i="80"/>
  <c r="P242" i="80"/>
  <c r="O242" i="80"/>
  <c r="L242" i="80"/>
  <c r="K242" i="80"/>
  <c r="Q242"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J245" i="80"/>
  <c r="M245" i="80"/>
  <c r="W239" i="80"/>
  <c r="W252" i="80"/>
  <c r="V252" i="80"/>
  <c r="T252" i="80"/>
  <c r="H24" i="73"/>
  <c r="Y239" i="80"/>
  <c r="U252" i="80"/>
  <c r="R239" i="80"/>
  <c r="S252" i="80"/>
  <c r="V239" i="80"/>
  <c r="Y252" i="80"/>
  <c r="T239" i="80"/>
  <c r="S239" i="80"/>
  <c r="R252" i="80"/>
  <c r="X239" i="80"/>
  <c r="X252" i="80"/>
  <c r="H23" i="73"/>
  <c r="U239" i="80"/>
  <c r="L239" i="80"/>
  <c r="Q239" i="80"/>
  <c r="P239" i="80"/>
  <c r="O239" i="80"/>
  <c r="K239" i="80"/>
  <c r="J239" i="80"/>
  <c r="M239" i="80"/>
  <c r="Y256" i="80"/>
  <c r="X243" i="80"/>
  <c r="R243" i="80"/>
  <c r="T243" i="80"/>
  <c r="S256" i="80"/>
  <c r="V243" i="80"/>
  <c r="R256" i="80"/>
  <c r="H28" i="73"/>
  <c r="S243" i="80"/>
  <c r="X256" i="80"/>
  <c r="V256" i="80"/>
  <c r="Y243" i="80"/>
  <c r="T256" i="80"/>
  <c r="W256" i="80"/>
  <c r="U256" i="80"/>
  <c r="W243" i="80"/>
  <c r="U243" i="80"/>
  <c r="P243" i="80"/>
  <c r="O243" i="80"/>
  <c r="K243" i="80"/>
  <c r="L243" i="80"/>
  <c r="Q243" i="80"/>
  <c r="M243" i="80"/>
  <c r="J243" i="80"/>
  <c r="H31" i="73"/>
  <c r="Y259" i="80"/>
  <c r="X259" i="80"/>
  <c r="X246" i="80"/>
  <c r="T259" i="80"/>
  <c r="S246" i="80"/>
  <c r="T246" i="80"/>
  <c r="U259" i="80"/>
  <c r="W259" i="80"/>
  <c r="R246" i="80"/>
  <c r="V246" i="80"/>
  <c r="V259" i="80"/>
  <c r="Y246" i="80"/>
  <c r="R259" i="80"/>
  <c r="W246" i="80"/>
  <c r="U246" i="80"/>
  <c r="S259" i="80"/>
  <c r="K246" i="80"/>
  <c r="O246" i="80"/>
  <c r="L246" i="80"/>
  <c r="P246" i="80"/>
  <c r="Q246" i="80"/>
  <c r="M246" i="80"/>
  <c r="J246" i="80"/>
  <c r="S163" i="71"/>
  <c r="S188" i="71"/>
  <c r="S195" i="71"/>
  <c r="S193" i="71"/>
  <c r="S128" i="71"/>
  <c r="S164" i="71"/>
  <c r="S134" i="71"/>
  <c r="S161" i="71"/>
  <c r="S133" i="71"/>
  <c r="S192" i="71"/>
  <c r="S190" i="71"/>
  <c r="S136" i="71"/>
  <c r="S132" i="71"/>
  <c r="S130" i="71"/>
  <c r="S166" i="71"/>
  <c r="S196" i="71"/>
  <c r="S157" i="71"/>
  <c r="S191" i="71"/>
  <c r="S162" i="71"/>
  <c r="S135" i="71"/>
  <c r="S160" i="71"/>
  <c r="S159" i="71"/>
  <c r="S131" i="71"/>
  <c r="S129" i="71"/>
  <c r="S187" i="71"/>
  <c r="S194" i="71"/>
  <c r="S189" i="71"/>
  <c r="S165" i="71"/>
  <c r="S158" i="71"/>
  <c r="S127" i="71"/>
  <c r="R176" i="80"/>
  <c r="R177" i="80" s="1"/>
  <c r="R208" i="80"/>
  <c r="K56" i="82" l="1"/>
  <c r="N56" i="82"/>
  <c r="M56" i="82"/>
  <c r="L56" i="82"/>
  <c r="O56" i="82"/>
  <c r="Y272" i="80"/>
  <c r="U276" i="80"/>
  <c r="W274" i="80"/>
  <c r="X272" i="80"/>
  <c r="U269" i="80"/>
  <c r="S273" i="80"/>
  <c r="S269" i="80"/>
  <c r="S271" i="80"/>
  <c r="R275" i="80"/>
  <c r="T275" i="80"/>
  <c r="R272" i="80"/>
  <c r="U270" i="80"/>
  <c r="R274" i="80"/>
  <c r="V272" i="80"/>
  <c r="R270" i="80"/>
  <c r="T274" i="80"/>
  <c r="R271" i="80"/>
  <c r="Y270" i="80"/>
  <c r="W273" i="80"/>
  <c r="X276" i="80"/>
  <c r="R269" i="80"/>
  <c r="R276" i="80"/>
  <c r="S270" i="80"/>
  <c r="Y276" i="80"/>
  <c r="Y273" i="80"/>
  <c r="W269" i="80"/>
  <c r="S274" i="80"/>
  <c r="S275" i="80"/>
  <c r="S276" i="80"/>
  <c r="T273" i="80"/>
  <c r="R273" i="80"/>
  <c r="X269" i="80"/>
  <c r="U272"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W276" i="80"/>
  <c r="V276" i="80"/>
  <c r="T276" i="80"/>
  <c r="V273" i="80"/>
  <c r="X273" i="80"/>
  <c r="V269" i="80"/>
  <c r="Y269"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U273" i="80"/>
  <c r="T269" i="80"/>
  <c r="U275" i="80"/>
  <c r="T270" i="80"/>
  <c r="V274"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J195" i="73" l="1"/>
  <c r="J265" i="73"/>
  <c r="J28" i="74" s="1"/>
  <c r="J266" i="73"/>
  <c r="J29" i="74" s="1"/>
  <c r="J196" i="73"/>
  <c r="Q264" i="73"/>
  <c r="Q27" i="74" s="1"/>
  <c r="Q194" i="73"/>
  <c r="M199" i="73"/>
  <c r="M269" i="73"/>
  <c r="M32" i="74" s="1"/>
  <c r="L267" i="73"/>
  <c r="L30" i="74" s="1"/>
  <c r="L197" i="73"/>
  <c r="Q270" i="73"/>
  <c r="Q33" i="74" s="1"/>
  <c r="Q200" i="73"/>
  <c r="M195" i="73"/>
  <c r="M265" i="73"/>
  <c r="M28" i="74" s="1"/>
  <c r="K195" i="73"/>
  <c r="K265" i="73"/>
  <c r="K28" i="74" s="1"/>
  <c r="O196" i="73"/>
  <c r="O266" i="73"/>
  <c r="O29" i="74" s="1"/>
  <c r="L264" i="73"/>
  <c r="L27" i="74" s="1"/>
  <c r="L194" i="73"/>
  <c r="K269" i="73"/>
  <c r="K32" i="74" s="1"/>
  <c r="K199" i="73"/>
  <c r="M267" i="73"/>
  <c r="M30" i="74" s="1"/>
  <c r="M197" i="73"/>
  <c r="N267" i="73"/>
  <c r="N30" i="74" s="1"/>
  <c r="N197" i="73"/>
  <c r="O195" i="73"/>
  <c r="O265" i="73"/>
  <c r="O28" i="74" s="1"/>
  <c r="L196" i="73"/>
  <c r="L266" i="73"/>
  <c r="L29" i="74" s="1"/>
  <c r="O194" i="73"/>
  <c r="O264" i="73"/>
  <c r="O27" i="74" s="1"/>
  <c r="P194" i="73"/>
  <c r="P264" i="73"/>
  <c r="P27" i="74" s="1"/>
  <c r="M264" i="73"/>
  <c r="M27" i="74" s="1"/>
  <c r="M194" i="73"/>
  <c r="N194" i="73"/>
  <c r="N264" i="73"/>
  <c r="N27" i="74" s="1"/>
  <c r="N268" i="73"/>
  <c r="N31" i="74" s="1"/>
  <c r="N198" i="73"/>
  <c r="K268" i="73"/>
  <c r="K31" i="74" s="1"/>
  <c r="K198" i="73"/>
  <c r="L199" i="73"/>
  <c r="L269" i="73"/>
  <c r="L32" i="74" s="1"/>
  <c r="Q267" i="73"/>
  <c r="Q30" i="74" s="1"/>
  <c r="Q197" i="73"/>
  <c r="P267" i="73"/>
  <c r="P30" i="74" s="1"/>
  <c r="P197" i="73"/>
  <c r="M200" i="73"/>
  <c r="M270" i="73"/>
  <c r="M33" i="74" s="1"/>
  <c r="P270" i="73"/>
  <c r="P33" i="74" s="1"/>
  <c r="P200" i="73"/>
  <c r="L200" i="73"/>
  <c r="L270" i="73"/>
  <c r="L33" i="74" s="1"/>
  <c r="L195" i="73"/>
  <c r="L265" i="73"/>
  <c r="L28" i="74" s="1"/>
  <c r="Q266" i="73"/>
  <c r="Q29" i="74" s="1"/>
  <c r="Q196" i="73"/>
  <c r="P196" i="73"/>
  <c r="P266" i="73"/>
  <c r="P29" i="74" s="1"/>
  <c r="L268" i="73"/>
  <c r="L31" i="74" s="1"/>
  <c r="L198" i="73"/>
  <c r="P268" i="73"/>
  <c r="P31" i="74" s="1"/>
  <c r="P198" i="73"/>
  <c r="P199" i="73"/>
  <c r="P269" i="73"/>
  <c r="P32" i="74" s="1"/>
  <c r="J199" i="73"/>
  <c r="J269" i="73"/>
  <c r="J32" i="74" s="1"/>
  <c r="Q195" i="73"/>
  <c r="Q265" i="73"/>
  <c r="Q28" i="74" s="1"/>
  <c r="N195" i="73"/>
  <c r="N265" i="73"/>
  <c r="N28" i="74" s="1"/>
  <c r="J264" i="73"/>
  <c r="J27" i="74" s="1"/>
  <c r="J194" i="73"/>
  <c r="O268" i="73"/>
  <c r="O31" i="74" s="1"/>
  <c r="O198" i="73"/>
  <c r="O199" i="73"/>
  <c r="O269" i="73"/>
  <c r="O32" i="74" s="1"/>
  <c r="N269" i="73"/>
  <c r="N32" i="74" s="1"/>
  <c r="N199" i="73"/>
  <c r="K200" i="73"/>
  <c r="K270" i="73"/>
  <c r="K33" i="74" s="1"/>
  <c r="P195" i="73"/>
  <c r="P265" i="73"/>
  <c r="P28" i="74" s="1"/>
  <c r="K196" i="73"/>
  <c r="K266" i="73"/>
  <c r="K29" i="74" s="1"/>
  <c r="M266" i="73"/>
  <c r="M29" i="74" s="1"/>
  <c r="M196" i="73"/>
  <c r="N266" i="73"/>
  <c r="N29" i="74" s="1"/>
  <c r="N196" i="73"/>
  <c r="K264" i="73"/>
  <c r="K27" i="74" s="1"/>
  <c r="K194" i="73"/>
  <c r="Q268" i="73"/>
  <c r="Q31" i="74" s="1"/>
  <c r="Q198" i="73"/>
  <c r="M198" i="73"/>
  <c r="M268" i="73"/>
  <c r="M31" i="74" s="1"/>
  <c r="J268" i="73"/>
  <c r="J31" i="74" s="1"/>
  <c r="J198" i="73"/>
  <c r="Q269" i="73"/>
  <c r="Q32" i="74" s="1"/>
  <c r="Q199" i="73"/>
  <c r="O267" i="73"/>
  <c r="O30" i="74" s="1"/>
  <c r="O197" i="73"/>
  <c r="K197" i="73"/>
  <c r="K267" i="73"/>
  <c r="K30" i="74" s="1"/>
  <c r="J197" i="73"/>
  <c r="J267" i="73"/>
  <c r="J30" i="74" s="1"/>
  <c r="O200" i="73"/>
  <c r="O270" i="73"/>
  <c r="O33"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6" i="112" l="1"/>
  <c r="H40" i="112" s="1"/>
  <c r="J44" i="112" s="1"/>
  <c r="N236" i="22"/>
  <c r="N238" i="22" s="1"/>
  <c r="N31" i="53" s="1"/>
  <c r="N37" i="112"/>
  <c r="H41" i="112" s="1"/>
  <c r="N58" i="80"/>
  <c r="N188" i="80"/>
  <c r="N191" i="80" s="1"/>
  <c r="N192" i="80" s="1"/>
  <c r="N16" i="111"/>
  <c r="N18" i="74"/>
  <c r="N57" i="80"/>
  <c r="N32" i="53"/>
  <c r="P45" i="112" l="1"/>
  <c r="P46" i="112" s="1"/>
  <c r="N45" i="112"/>
  <c r="N46" i="112" s="1"/>
  <c r="J45" i="112"/>
  <c r="J46" i="112" s="1"/>
  <c r="L45" i="112"/>
  <c r="L46" i="112" s="1"/>
  <c r="O45" i="112"/>
  <c r="O46" i="112" s="1"/>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J50" i="112" l="1"/>
  <c r="N29" i="41"/>
  <c r="T48" i="41" s="1"/>
  <c r="T47" i="65" s="1"/>
  <c r="T49" i="82" s="1"/>
  <c r="O29" i="41"/>
  <c r="AA48" i="41" s="1"/>
  <c r="AA47" i="65" s="1"/>
  <c r="AA49" i="82" s="1"/>
  <c r="P29" i="41"/>
  <c r="AB48" i="41" s="1"/>
  <c r="AB47" i="65" s="1"/>
  <c r="AB49" i="82" s="1"/>
  <c r="L54" i="112"/>
  <c r="L50" i="112"/>
  <c r="N54" i="112"/>
  <c r="N50" i="112"/>
  <c r="J29" i="41"/>
  <c r="J48" i="41" s="1"/>
  <c r="J47" i="65" s="1"/>
  <c r="J49" i="82" s="1"/>
  <c r="L29" i="41"/>
  <c r="M48" i="41" s="1"/>
  <c r="M47" i="65" s="1"/>
  <c r="M49" i="82" s="1"/>
  <c r="N43" i="53"/>
  <c r="N49" i="53" s="1"/>
  <c r="N44" i="53"/>
  <c r="N50" i="53" s="1"/>
  <c r="N69" i="53"/>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J54" i="112" l="1"/>
  <c r="P54" i="112"/>
  <c r="P50" i="112"/>
  <c r="L60" i="112"/>
  <c r="O50" i="112"/>
  <c r="O54" i="112"/>
  <c r="N60" i="112"/>
  <c r="U48" i="41"/>
  <c r="U47" i="65" s="1"/>
  <c r="U49" i="82" s="1"/>
  <c r="X48" i="41"/>
  <c r="X47" i="65" s="1"/>
  <c r="X49" i="82" s="1"/>
  <c r="V48" i="41"/>
  <c r="V47" i="65" s="1"/>
  <c r="V49" i="82" s="1"/>
  <c r="O48" i="41"/>
  <c r="O47" i="65" s="1"/>
  <c r="O49" i="82" s="1"/>
  <c r="Y48" i="41"/>
  <c r="Y47" i="65" s="1"/>
  <c r="Y49" i="82" s="1"/>
  <c r="R48" i="41"/>
  <c r="R47" i="65" s="1"/>
  <c r="R49" i="82" s="1"/>
  <c r="Z48" i="41"/>
  <c r="Z47" i="65" s="1"/>
  <c r="Z49" i="82" s="1"/>
  <c r="W48" i="41"/>
  <c r="W47" i="65" s="1"/>
  <c r="W49" i="82" s="1"/>
  <c r="S48" i="41"/>
  <c r="S47" i="65" s="1"/>
  <c r="S49" i="82" s="1"/>
  <c r="P48" i="41"/>
  <c r="P47" i="65" s="1"/>
  <c r="P49" i="82" s="1"/>
  <c r="N48" i="41"/>
  <c r="N47" i="65" s="1"/>
  <c r="N49" i="82" s="1"/>
  <c r="L48" i="41"/>
  <c r="L47" i="65" s="1"/>
  <c r="L49" i="82" s="1"/>
  <c r="AC48" i="41"/>
  <c r="AC47" i="65" s="1"/>
  <c r="AC49" i="82" s="1"/>
  <c r="AD48" i="41"/>
  <c r="AD47" i="65" s="1"/>
  <c r="AD49" i="82" s="1"/>
  <c r="AE48" i="41"/>
  <c r="AE47" i="65" s="1"/>
  <c r="AE49" i="82" s="1"/>
  <c r="AF48" i="41"/>
  <c r="AF47" i="65" s="1"/>
  <c r="AF49" i="82" s="1"/>
  <c r="H52" i="112" l="1"/>
  <c r="H86" i="105" s="1"/>
  <c r="H129" i="105" s="1"/>
  <c r="H56" i="112"/>
  <c r="H87" i="105" s="1"/>
  <c r="H130" i="105" s="1"/>
  <c r="J60" i="112"/>
  <c r="P60" i="112"/>
  <c r="O60" i="112"/>
  <c r="H62" i="112" l="1"/>
  <c r="H64" i="112" s="1"/>
  <c r="H66" i="112" a="1"/>
  <c r="H66" i="112" s="1"/>
  <c r="A4" i="112" s="1"/>
  <c r="J59" i="55"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J67" i="22" l="1"/>
  <c r="J528" i="22" s="1"/>
  <c r="J22" i="105" s="1"/>
  <c r="J170" i="105" l="1"/>
  <c r="J199" i="22"/>
  <c r="J231" i="22" s="1"/>
  <c r="J238" i="22" s="1"/>
  <c r="J382" i="22"/>
  <c r="J482" i="22" s="1"/>
  <c r="J53" i="41" s="1"/>
  <c r="J264" i="22" l="1"/>
  <c r="H693" i="22" s="1" a="1"/>
  <c r="H693" i="22" s="1"/>
  <c r="J31" i="53"/>
  <c r="J34" i="53" s="1"/>
  <c r="K42" i="53" s="1"/>
  <c r="K48" i="53" s="1"/>
  <c r="K54" i="53" s="1"/>
  <c r="J56" i="80"/>
  <c r="J59" i="80" s="1"/>
  <c r="J164" i="41"/>
  <c r="J166" i="41" s="1"/>
  <c r="J43" i="53" l="1"/>
  <c r="J49" i="53" s="1"/>
  <c r="J174" i="41"/>
  <c r="K43" i="53"/>
  <c r="K49" i="53" s="1"/>
  <c r="J42" i="53"/>
  <c r="J48" i="53" s="1"/>
  <c r="J54" i="53" s="1"/>
  <c r="J69" i="53"/>
  <c r="J44" i="53"/>
  <c r="J50" i="53" s="1"/>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48" i="55"/>
  <c r="A4" i="22"/>
  <c r="J51" i="55"/>
  <c r="A4" i="111"/>
  <c r="H186" i="41" l="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L174" i="105" l="1"/>
  <c r="AK71" i="82" s="1"/>
  <c r="AL172" i="105"/>
  <c r="AK70" i="82" s="1"/>
  <c r="AH172" i="105"/>
  <c r="AH70" i="82" s="1"/>
  <c r="AN172" i="105"/>
  <c r="AL70" i="82" s="1"/>
  <c r="AI140" i="105"/>
  <c r="AL140" i="105"/>
  <c r="AL146" i="105"/>
  <c r="AK69" i="82" s="1"/>
  <c r="AH140" i="105"/>
  <c r="Q172" i="105" l="1"/>
  <c r="Q70" i="82" s="1"/>
  <c r="AH142" i="105"/>
  <c r="AH141" i="105"/>
  <c r="AK68" i="82"/>
  <c r="AL207" i="105"/>
  <c r="AK80" i="82" s="1"/>
  <c r="AI68" i="82"/>
  <c r="AI207" i="105"/>
  <c r="AI80" i="82" s="1"/>
  <c r="AH68" i="82"/>
  <c r="AH206" i="105"/>
  <c r="AH79" i="82" s="1"/>
  <c r="AH207" i="105"/>
  <c r="AH80" i="82" s="1"/>
  <c r="Q140" i="105"/>
  <c r="AB172" i="105" l="1"/>
  <c r="AB70" i="82" s="1"/>
  <c r="Q68" i="82"/>
  <c r="Q206" i="105"/>
  <c r="Q79" i="82" s="1"/>
  <c r="Q207" i="105"/>
  <c r="Q80" i="82" s="1"/>
  <c r="AA159" i="65" l="1"/>
  <c r="AA64" i="105" s="1"/>
  <c r="AA182" i="105" l="1"/>
  <c r="AA189" i="105" s="1"/>
  <c r="AA105" i="105"/>
  <c r="AA112" i="105" s="1"/>
  <c r="K194" i="105"/>
  <c r="K172" i="105" l="1"/>
  <c r="K70" i="82" s="1"/>
  <c r="R172" i="105"/>
  <c r="R70" i="82" s="1"/>
  <c r="K140" i="105"/>
  <c r="AJ172" i="105" l="1"/>
  <c r="AJ70" i="82" s="1"/>
  <c r="K68" i="82"/>
  <c r="K206" i="105"/>
  <c r="K79" i="82" s="1"/>
  <c r="K207" i="105"/>
  <c r="K80" i="82" s="1"/>
  <c r="AJ141" i="105"/>
  <c r="AJ147" i="105"/>
  <c r="AJ140" i="105"/>
  <c r="AJ68" i="82" l="1"/>
  <c r="AJ207" i="105"/>
  <c r="AJ80" i="82" s="1"/>
  <c r="AJ206" i="105"/>
  <c r="AJ79" i="82" s="1"/>
  <c r="AG142" i="105" l="1"/>
  <c r="AG141" i="105"/>
  <c r="N172" i="105" l="1"/>
  <c r="N70" i="82" s="1"/>
  <c r="Z172" i="105"/>
  <c r="Z70" i="82" s="1"/>
  <c r="X172" i="105"/>
  <c r="X70" i="82" s="1"/>
  <c r="AF172" i="105"/>
  <c r="AF70" i="82" s="1"/>
  <c r="V172" i="105"/>
  <c r="V70" i="82" s="1"/>
  <c r="AA172" i="105"/>
  <c r="AA70" i="82" s="1"/>
  <c r="AC172" i="105" l="1"/>
  <c r="AC70" i="82" s="1"/>
  <c r="J172" i="105"/>
  <c r="J70" i="82" s="1"/>
  <c r="X148" i="105"/>
  <c r="AD172" i="105" l="1"/>
  <c r="AD70" i="82" s="1"/>
  <c r="Y172" i="105"/>
  <c r="Y70" i="82" s="1"/>
  <c r="AC148" i="105"/>
  <c r="O63" i="53" l="1"/>
  <c r="N63" i="53"/>
  <c r="L63" i="53"/>
  <c r="K62" i="53" l="1"/>
  <c r="K61" i="80"/>
  <c r="K200" i="80" s="1"/>
  <c r="K20" i="74" s="1"/>
  <c r="M62" i="53"/>
  <c r="M61" i="80"/>
  <c r="M200" i="80" s="1"/>
  <c r="M20" i="74" s="1"/>
  <c r="M75" i="74" l="1"/>
  <c r="M76" i="74"/>
  <c r="M78" i="74"/>
  <c r="M77" i="74"/>
  <c r="M74" i="74"/>
  <c r="M72" i="74"/>
  <c r="M73" i="74"/>
  <c r="M89" i="53"/>
  <c r="M71" i="53"/>
  <c r="M73" i="53" s="1"/>
  <c r="K72" i="74"/>
  <c r="K76" i="74"/>
  <c r="K77" i="74"/>
  <c r="K73" i="74"/>
  <c r="K78" i="74"/>
  <c r="K74" i="74"/>
  <c r="K75" i="74"/>
  <c r="K89" i="53"/>
  <c r="K71" i="53"/>
  <c r="K73" i="53" s="1"/>
  <c r="Q63" i="53" l="1"/>
  <c r="Q85" i="53" s="1"/>
  <c r="P63" i="53"/>
  <c r="J63" i="53"/>
  <c r="H234" i="87" l="1" a="1"/>
  <c r="H234" i="87" s="1"/>
  <c r="H236" i="87" s="1"/>
  <c r="J62" i="53"/>
  <c r="J61" i="80"/>
  <c r="Q62" i="53"/>
  <c r="Q61" i="80"/>
  <c r="Q200" i="80" s="1"/>
  <c r="L62" i="53"/>
  <c r="L61" i="80"/>
  <c r="L200" i="80" s="1"/>
  <c r="N62" i="53"/>
  <c r="N61" i="80"/>
  <c r="N200" i="80" s="1"/>
  <c r="O62" i="53"/>
  <c r="O61" i="80"/>
  <c r="O200" i="80" s="1"/>
  <c r="P62" i="53"/>
  <c r="P61" i="80"/>
  <c r="P200" i="80" s="1"/>
  <c r="O20" i="74" l="1"/>
  <c r="O204" i="80"/>
  <c r="O206" i="80" s="1"/>
  <c r="O252" i="80"/>
  <c r="O257" i="80"/>
  <c r="O253" i="80"/>
  <c r="O256" i="80"/>
  <c r="O255" i="80"/>
  <c r="O258" i="80"/>
  <c r="O254" i="80"/>
  <c r="O259" i="80"/>
  <c r="N257" i="80"/>
  <c r="N20" i="74"/>
  <c r="N204" i="80"/>
  <c r="N206" i="80" s="1"/>
  <c r="N259" i="80"/>
  <c r="N256" i="80"/>
  <c r="N258" i="80"/>
  <c r="N255" i="80"/>
  <c r="N254" i="80"/>
  <c r="N252" i="80"/>
  <c r="N253" i="80"/>
  <c r="P20" i="74"/>
  <c r="P204" i="80"/>
  <c r="P206" i="80" s="1"/>
  <c r="P259" i="80"/>
  <c r="P253" i="80"/>
  <c r="P256" i="80"/>
  <c r="P252" i="80"/>
  <c r="P254" i="80"/>
  <c r="P257" i="80"/>
  <c r="P258" i="80"/>
  <c r="P255" i="80"/>
  <c r="N89" i="53"/>
  <c r="N71" i="53"/>
  <c r="L20" i="74"/>
  <c r="L204" i="80"/>
  <c r="L206" i="80" s="1"/>
  <c r="L257" i="80"/>
  <c r="L256" i="80"/>
  <c r="L255" i="80"/>
  <c r="L254" i="80"/>
  <c r="L259" i="80"/>
  <c r="L252" i="80"/>
  <c r="L258" i="80"/>
  <c r="L253" i="80"/>
  <c r="L89" i="53"/>
  <c r="L71" i="53"/>
  <c r="O89" i="53"/>
  <c r="O71" i="53"/>
  <c r="Q20" i="74"/>
  <c r="Q204" i="80"/>
  <c r="Q206" i="80" s="1"/>
  <c r="Q257" i="80"/>
  <c r="Q252" i="80"/>
  <c r="Q254" i="80"/>
  <c r="Q255" i="80"/>
  <c r="Q259" i="80"/>
  <c r="Q258" i="80"/>
  <c r="Q256" i="80"/>
  <c r="Q253" i="80"/>
  <c r="Q83" i="53"/>
  <c r="Q91" i="53" s="1"/>
  <c r="Q89" i="53"/>
  <c r="J200" i="80"/>
  <c r="P89" i="53"/>
  <c r="P71" i="53"/>
  <c r="J89" i="53"/>
  <c r="J71" i="53"/>
  <c r="A4" i="87"/>
  <c r="J42" i="55"/>
  <c r="Q267" i="53" l="1"/>
  <c r="Q78" i="83" s="1"/>
  <c r="Q93" i="53"/>
  <c r="L75" i="74"/>
  <c r="L73" i="74"/>
  <c r="L78" i="74"/>
  <c r="L77" i="74"/>
  <c r="L72" i="74"/>
  <c r="L74" i="74"/>
  <c r="L76" i="74"/>
  <c r="P73" i="74"/>
  <c r="P74" i="74"/>
  <c r="P75" i="74"/>
  <c r="P76" i="74"/>
  <c r="P77" i="74"/>
  <c r="P72" i="74"/>
  <c r="P78" i="74"/>
  <c r="J73" i="53"/>
  <c r="K77" i="53"/>
  <c r="K83" i="53" s="1"/>
  <c r="J77" i="53"/>
  <c r="J83" i="53" s="1"/>
  <c r="N73" i="53"/>
  <c r="N79" i="53" s="1"/>
  <c r="N85" i="53" s="1"/>
  <c r="N77" i="53"/>
  <c r="N83" i="53" s="1"/>
  <c r="L73" i="53"/>
  <c r="M77" i="53"/>
  <c r="M83" i="53" s="1"/>
  <c r="L77" i="53"/>
  <c r="L83" i="53" s="1"/>
  <c r="Q131" i="83"/>
  <c r="Q131" i="72" s="1"/>
  <c r="Q201" i="72" s="1"/>
  <c r="Q231" i="72" s="1"/>
  <c r="Q124" i="83"/>
  <c r="Q123" i="83"/>
  <c r="Q127" i="83"/>
  <c r="Q127" i="72" s="1"/>
  <c r="Q197" i="72" s="1"/>
  <c r="Q227" i="72" s="1"/>
  <c r="Q126" i="83"/>
  <c r="Q126" i="72" s="1"/>
  <c r="Q196" i="72" s="1"/>
  <c r="Q226" i="72" s="1"/>
  <c r="Q129" i="83"/>
  <c r="Q129" i="72" s="1"/>
  <c r="Q199" i="72" s="1"/>
  <c r="Q229" i="72" s="1"/>
  <c r="Q130" i="83"/>
  <c r="Q130" i="72" s="1"/>
  <c r="Q200" i="72" s="1"/>
  <c r="Q230" i="72" s="1"/>
  <c r="Q128" i="83"/>
  <c r="Q128" i="72" s="1"/>
  <c r="Q198" i="72" s="1"/>
  <c r="Q228" i="72" s="1"/>
  <c r="Q132" i="83"/>
  <c r="Q132" i="72" s="1"/>
  <c r="Q202" i="72" s="1"/>
  <c r="Q232" i="72" s="1"/>
  <c r="Q125" i="83"/>
  <c r="Q125" i="72" s="1"/>
  <c r="Q195" i="72" s="1"/>
  <c r="Q225" i="72" s="1"/>
  <c r="Q75" i="74"/>
  <c r="Q78" i="74"/>
  <c r="Q74" i="74"/>
  <c r="Q72" i="74"/>
  <c r="Q76" i="74"/>
  <c r="Q77" i="74"/>
  <c r="Q73" i="74"/>
  <c r="O73" i="53"/>
  <c r="O79" i="53" s="1"/>
  <c r="O85" i="53" s="1"/>
  <c r="O77" i="53"/>
  <c r="O83" i="53" s="1"/>
  <c r="P73" i="53"/>
  <c r="P79" i="53" s="1"/>
  <c r="P85" i="53" s="1"/>
  <c r="P77" i="53"/>
  <c r="P83" i="53" s="1"/>
  <c r="N72" i="74"/>
  <c r="N74" i="74"/>
  <c r="N77" i="74"/>
  <c r="N75" i="74"/>
  <c r="N78" i="74"/>
  <c r="N76" i="74"/>
  <c r="N73" i="74"/>
  <c r="O76" i="74"/>
  <c r="O75" i="74"/>
  <c r="O72" i="74"/>
  <c r="O78" i="74"/>
  <c r="O73" i="74"/>
  <c r="O77" i="74"/>
  <c r="O74" i="74"/>
  <c r="J256" i="80"/>
  <c r="J258" i="80"/>
  <c r="J253" i="80"/>
  <c r="J255" i="80"/>
  <c r="J20" i="74"/>
  <c r="J204" i="80"/>
  <c r="J206" i="80" s="1"/>
  <c r="J252" i="80"/>
  <c r="J259" i="80"/>
  <c r="J254" i="80"/>
  <c r="J257" i="80"/>
  <c r="Q299" i="53" l="1"/>
  <c r="Q274" i="53"/>
  <c r="Q290" i="53"/>
  <c r="Q280" i="53"/>
  <c r="Q285" i="53"/>
  <c r="Q301" i="53"/>
  <c r="Q284" i="53"/>
  <c r="Q286" i="53"/>
  <c r="Q283" i="53"/>
  <c r="Q297" i="53"/>
  <c r="Q295" i="53"/>
  <c r="Q296" i="53"/>
  <c r="Q275" i="53"/>
  <c r="Q276" i="53"/>
  <c r="Q278" i="53"/>
  <c r="Q277" i="53"/>
  <c r="Q298" i="53"/>
  <c r="Q302" i="53"/>
  <c r="Q291" i="53"/>
  <c r="Q289" i="53"/>
  <c r="Q272" i="53"/>
  <c r="Q273" i="53"/>
  <c r="Q287" i="53"/>
  <c r="Q288" i="53"/>
  <c r="Q300" i="53"/>
  <c r="Q294" i="53"/>
  <c r="Q279" i="53"/>
  <c r="P91" i="53"/>
  <c r="P267" i="53" s="1"/>
  <c r="P78" i="83" s="1"/>
  <c r="P131" i="83" s="1"/>
  <c r="P131" i="72" s="1"/>
  <c r="P201" i="72" s="1"/>
  <c r="P231" i="72" s="1"/>
  <c r="Q105" i="74"/>
  <c r="Q137" i="74" s="1"/>
  <c r="X105" i="74"/>
  <c r="X137" i="74" s="1"/>
  <c r="S105" i="74"/>
  <c r="S137" i="74" s="1"/>
  <c r="N105" i="74"/>
  <c r="N137" i="74" s="1"/>
  <c r="O105" i="74"/>
  <c r="O137" i="74" s="1"/>
  <c r="T105" i="74"/>
  <c r="T137" i="74" s="1"/>
  <c r="K105" i="74"/>
  <c r="K137" i="74" s="1"/>
  <c r="W105" i="74"/>
  <c r="W137" i="74" s="1"/>
  <c r="M105" i="74"/>
  <c r="M137" i="74" s="1"/>
  <c r="R105" i="74"/>
  <c r="R137" i="74" s="1"/>
  <c r="P105" i="74"/>
  <c r="P137" i="74" s="1"/>
  <c r="U105" i="74"/>
  <c r="U137" i="74" s="1"/>
  <c r="V105" i="74"/>
  <c r="V137" i="74" s="1"/>
  <c r="Y105" i="74"/>
  <c r="Y137" i="74" s="1"/>
  <c r="V107" i="74"/>
  <c r="V139" i="74" s="1"/>
  <c r="M107" i="74"/>
  <c r="M139" i="74" s="1"/>
  <c r="O107" i="74"/>
  <c r="O139" i="74" s="1"/>
  <c r="R107" i="74"/>
  <c r="R139" i="74" s="1"/>
  <c r="P107" i="74"/>
  <c r="P139" i="74" s="1"/>
  <c r="N107" i="74"/>
  <c r="N139" i="74" s="1"/>
  <c r="S107" i="74"/>
  <c r="S139" i="74" s="1"/>
  <c r="T107" i="74"/>
  <c r="T139" i="74" s="1"/>
  <c r="U107" i="74"/>
  <c r="U139" i="74" s="1"/>
  <c r="K107" i="74"/>
  <c r="K139" i="74" s="1"/>
  <c r="X107" i="74"/>
  <c r="X139" i="74" s="1"/>
  <c r="W107" i="74"/>
  <c r="W139" i="74" s="1"/>
  <c r="Y107" i="74"/>
  <c r="Y139" i="74" s="1"/>
  <c r="Q107" i="74"/>
  <c r="Q139" i="74" s="1"/>
  <c r="W108" i="74"/>
  <c r="W140" i="74" s="1"/>
  <c r="T108" i="74"/>
  <c r="T140" i="74" s="1"/>
  <c r="R108" i="74"/>
  <c r="R140" i="74" s="1"/>
  <c r="O108" i="74"/>
  <c r="O140" i="74" s="1"/>
  <c r="X108" i="74"/>
  <c r="X140" i="74" s="1"/>
  <c r="U108" i="74"/>
  <c r="U140" i="74" s="1"/>
  <c r="S108" i="74"/>
  <c r="S140" i="74" s="1"/>
  <c r="M108" i="74"/>
  <c r="M140" i="74" s="1"/>
  <c r="Y108" i="74"/>
  <c r="Y140" i="74" s="1"/>
  <c r="P108" i="74"/>
  <c r="P140" i="74" s="1"/>
  <c r="V108" i="74"/>
  <c r="V140" i="74" s="1"/>
  <c r="Q108" i="74"/>
  <c r="Q140" i="74" s="1"/>
  <c r="N108" i="74"/>
  <c r="N140" i="74" s="1"/>
  <c r="K108" i="74"/>
  <c r="K140" i="74" s="1"/>
  <c r="S104" i="74"/>
  <c r="S136" i="74" s="1"/>
  <c r="V104" i="74"/>
  <c r="V136" i="74" s="1"/>
  <c r="K104" i="74"/>
  <c r="K136" i="74" s="1"/>
  <c r="X104" i="74"/>
  <c r="X136" i="74" s="1"/>
  <c r="N104" i="74"/>
  <c r="N136" i="74" s="1"/>
  <c r="Q104" i="74"/>
  <c r="Q136" i="74" s="1"/>
  <c r="M104" i="74"/>
  <c r="M136" i="74" s="1"/>
  <c r="O104" i="74"/>
  <c r="O136" i="74" s="1"/>
  <c r="Y104" i="74"/>
  <c r="Y136" i="74" s="1"/>
  <c r="R104" i="74"/>
  <c r="R136" i="74" s="1"/>
  <c r="T104" i="74"/>
  <c r="T136" i="74" s="1"/>
  <c r="U104" i="74"/>
  <c r="U136" i="74" s="1"/>
  <c r="P104" i="74"/>
  <c r="P136" i="74" s="1"/>
  <c r="W104" i="74"/>
  <c r="W136" i="74" s="1"/>
  <c r="Q103" i="74"/>
  <c r="Q135" i="74" s="1"/>
  <c r="P103" i="74"/>
  <c r="P135" i="74" s="1"/>
  <c r="S103" i="74"/>
  <c r="S135" i="74" s="1"/>
  <c r="O103" i="74"/>
  <c r="O135" i="74" s="1"/>
  <c r="U103" i="74"/>
  <c r="U135" i="74" s="1"/>
  <c r="K103" i="74"/>
  <c r="K135" i="74" s="1"/>
  <c r="W103" i="74"/>
  <c r="W135" i="74" s="1"/>
  <c r="R103" i="74"/>
  <c r="R135" i="74" s="1"/>
  <c r="V103" i="74"/>
  <c r="V135" i="74" s="1"/>
  <c r="X103" i="74"/>
  <c r="X135" i="74" s="1"/>
  <c r="M103" i="74"/>
  <c r="M135" i="74" s="1"/>
  <c r="N103" i="74"/>
  <c r="N135" i="74" s="1"/>
  <c r="T103" i="74"/>
  <c r="T135" i="74" s="1"/>
  <c r="Y103" i="74"/>
  <c r="Y135" i="74" s="1"/>
  <c r="R102" i="74"/>
  <c r="R134" i="74" s="1"/>
  <c r="M102" i="74"/>
  <c r="M134" i="74" s="1"/>
  <c r="V102" i="74"/>
  <c r="V134" i="74" s="1"/>
  <c r="S102" i="74"/>
  <c r="S134" i="74" s="1"/>
  <c r="Y102" i="74"/>
  <c r="Y134" i="74" s="1"/>
  <c r="U102" i="74"/>
  <c r="U134" i="74" s="1"/>
  <c r="Q102" i="74"/>
  <c r="Q134" i="74" s="1"/>
  <c r="W102" i="74"/>
  <c r="W134" i="74" s="1"/>
  <c r="P102" i="74"/>
  <c r="P134" i="74" s="1"/>
  <c r="K102" i="74"/>
  <c r="K134" i="74" s="1"/>
  <c r="O102" i="74"/>
  <c r="O134" i="74" s="1"/>
  <c r="T102" i="74"/>
  <c r="T134" i="74" s="1"/>
  <c r="N102" i="74"/>
  <c r="N134" i="74" s="1"/>
  <c r="X102" i="74"/>
  <c r="X134" i="74" s="1"/>
  <c r="K106" i="74"/>
  <c r="K138" i="74" s="1"/>
  <c r="U106" i="74"/>
  <c r="U138" i="74" s="1"/>
  <c r="Q106" i="74"/>
  <c r="Q138" i="74" s="1"/>
  <c r="M106" i="74"/>
  <c r="M138" i="74" s="1"/>
  <c r="O106" i="74"/>
  <c r="O138" i="74" s="1"/>
  <c r="V106" i="74"/>
  <c r="V138" i="74" s="1"/>
  <c r="N106" i="74"/>
  <c r="N138" i="74" s="1"/>
  <c r="T106" i="74"/>
  <c r="T138" i="74" s="1"/>
  <c r="R106" i="74"/>
  <c r="R138" i="74" s="1"/>
  <c r="Y106" i="74"/>
  <c r="Y138" i="74" s="1"/>
  <c r="S106" i="74"/>
  <c r="S138" i="74" s="1"/>
  <c r="P106" i="74"/>
  <c r="P138" i="74" s="1"/>
  <c r="W106" i="74"/>
  <c r="W138" i="74" s="1"/>
  <c r="X106" i="74"/>
  <c r="X138" i="74" s="1"/>
  <c r="N91" i="53"/>
  <c r="N267" i="53" s="1"/>
  <c r="N78" i="83" s="1"/>
  <c r="P123" i="83"/>
  <c r="P127" i="83"/>
  <c r="P127" i="72" s="1"/>
  <c r="P197" i="72" s="1"/>
  <c r="P227" i="72" s="1"/>
  <c r="M79" i="53"/>
  <c r="M85" i="53" s="1"/>
  <c r="L79" i="53"/>
  <c r="L85" i="53" s="1"/>
  <c r="O91" i="53"/>
  <c r="O267" i="53" s="1"/>
  <c r="O78" i="83" s="1"/>
  <c r="J74" i="74"/>
  <c r="J72" i="74"/>
  <c r="J75" i="74"/>
  <c r="J78" i="74"/>
  <c r="J77" i="74"/>
  <c r="J76" i="74"/>
  <c r="J73" i="74"/>
  <c r="J79" i="53"/>
  <c r="J85" i="53" s="1"/>
  <c r="K79" i="53"/>
  <c r="K85" i="53" s="1"/>
  <c r="P129" i="83" l="1"/>
  <c r="P129" i="72" s="1"/>
  <c r="P199" i="72" s="1"/>
  <c r="P229" i="72" s="1"/>
  <c r="P128" i="83"/>
  <c r="P128" i="72" s="1"/>
  <c r="P198" i="72" s="1"/>
  <c r="P228" i="72" s="1"/>
  <c r="P126" i="83"/>
  <c r="P126" i="72" s="1"/>
  <c r="P196" i="72" s="1"/>
  <c r="P226" i="72" s="1"/>
  <c r="P125" i="83"/>
  <c r="P125" i="72" s="1"/>
  <c r="P195" i="72" s="1"/>
  <c r="P225" i="72" s="1"/>
  <c r="P132" i="83"/>
  <c r="P132" i="72" s="1"/>
  <c r="P202" i="72" s="1"/>
  <c r="P232" i="72" s="1"/>
  <c r="P124" i="83"/>
  <c r="P130" i="83"/>
  <c r="P130" i="72" s="1"/>
  <c r="P200" i="72" s="1"/>
  <c r="P230" i="72" s="1"/>
  <c r="P93" i="53"/>
  <c r="P296" i="53" s="1"/>
  <c r="Q99" i="83"/>
  <c r="Q187" i="83" s="1"/>
  <c r="Q58" i="71" s="1"/>
  <c r="Q163" i="71" s="1"/>
  <c r="Q98" i="80"/>
  <c r="Q110" i="80" s="1"/>
  <c r="Q108" i="83"/>
  <c r="Q213" i="83" s="1"/>
  <c r="Q85" i="71" s="1"/>
  <c r="Q190" i="71" s="1"/>
  <c r="Q118" i="80"/>
  <c r="Q130" i="80" s="1"/>
  <c r="Q98" i="83"/>
  <c r="Q186" i="83" s="1"/>
  <c r="Q57" i="71" s="1"/>
  <c r="Q162" i="71" s="1"/>
  <c r="Q97" i="80"/>
  <c r="Q109" i="80" s="1"/>
  <c r="Q110" i="83"/>
  <c r="Q215" i="83" s="1"/>
  <c r="Q87" i="71" s="1"/>
  <c r="Q192" i="71" s="1"/>
  <c r="Q120" i="80"/>
  <c r="Q132" i="80" s="1"/>
  <c r="Q107" i="83"/>
  <c r="Q212" i="83" s="1"/>
  <c r="Q84" i="71" s="1"/>
  <c r="Q189" i="71" s="1"/>
  <c r="Q117" i="80"/>
  <c r="Q129" i="80" s="1"/>
  <c r="Q95" i="80"/>
  <c r="Q107" i="80" s="1"/>
  <c r="Q96" i="83"/>
  <c r="Q184" i="83" s="1"/>
  <c r="Q55" i="71" s="1"/>
  <c r="Q160" i="71" s="1"/>
  <c r="Q113" i="83"/>
  <c r="Q218" i="83" s="1"/>
  <c r="Q90" i="71" s="1"/>
  <c r="Q195" i="71" s="1"/>
  <c r="Q123" i="80"/>
  <c r="Q135" i="80" s="1"/>
  <c r="Q71" i="80"/>
  <c r="Q83" i="80" s="1"/>
  <c r="Q83" i="83"/>
  <c r="Q154" i="83" s="1"/>
  <c r="Q24" i="71" s="1"/>
  <c r="Q129" i="71" s="1"/>
  <c r="Q87" i="83"/>
  <c r="Q158" i="83" s="1"/>
  <c r="Q28" i="71" s="1"/>
  <c r="Q133" i="71" s="1"/>
  <c r="Q75" i="80"/>
  <c r="Q87" i="80" s="1"/>
  <c r="Q119" i="80"/>
  <c r="Q131" i="80" s="1"/>
  <c r="Q109" i="83"/>
  <c r="Q214" i="83" s="1"/>
  <c r="Q86" i="71" s="1"/>
  <c r="Q191" i="71" s="1"/>
  <c r="Q90" i="83"/>
  <c r="Q161" i="83" s="1"/>
  <c r="Q31" i="71" s="1"/>
  <c r="Q136" i="71" s="1"/>
  <c r="Q78" i="80"/>
  <c r="Q90" i="80" s="1"/>
  <c r="Q114" i="83"/>
  <c r="Q219" i="83" s="1"/>
  <c r="Q91" i="71" s="1"/>
  <c r="Q196" i="71" s="1"/>
  <c r="Q124" i="80"/>
  <c r="Q136" i="80" s="1"/>
  <c r="Q77" i="80"/>
  <c r="Q89" i="80" s="1"/>
  <c r="Q89" i="83"/>
  <c r="Q160" i="83" s="1"/>
  <c r="Q30" i="71" s="1"/>
  <c r="Q135" i="71" s="1"/>
  <c r="Q81" i="83"/>
  <c r="Q152" i="83" s="1"/>
  <c r="Q22" i="71" s="1"/>
  <c r="Q127" i="71" s="1"/>
  <c r="Q70" i="80"/>
  <c r="Q82" i="80" s="1"/>
  <c r="Q82" i="83"/>
  <c r="Q153" i="83" s="1"/>
  <c r="Q23" i="71" s="1"/>
  <c r="Q128" i="71" s="1"/>
  <c r="Q76" i="80"/>
  <c r="Q88" i="80" s="1"/>
  <c r="Q88" i="83"/>
  <c r="Q159" i="83" s="1"/>
  <c r="Q29" i="71" s="1"/>
  <c r="Q134" i="71" s="1"/>
  <c r="Q94" i="83"/>
  <c r="Q182" i="83" s="1"/>
  <c r="Q53" i="71" s="1"/>
  <c r="Q158" i="71" s="1"/>
  <c r="Q93" i="83"/>
  <c r="Q181" i="83" s="1"/>
  <c r="Q52" i="71" s="1"/>
  <c r="Q157" i="71" s="1"/>
  <c r="Q93" i="80"/>
  <c r="Q105" i="80" s="1"/>
  <c r="Q100" i="80"/>
  <c r="Q112" i="80" s="1"/>
  <c r="Q101" i="83"/>
  <c r="Q189" i="83" s="1"/>
  <c r="Q60" i="71" s="1"/>
  <c r="Q165" i="71" s="1"/>
  <c r="Q116" i="80"/>
  <c r="Q128" i="80" s="1"/>
  <c r="Q106" i="83"/>
  <c r="Q211" i="83" s="1"/>
  <c r="Q83" i="71" s="1"/>
  <c r="Q188" i="71" s="1"/>
  <c r="Q105" i="83"/>
  <c r="Q210" i="83" s="1"/>
  <c r="Q82" i="71" s="1"/>
  <c r="Q187" i="71" s="1"/>
  <c r="Q100" i="83"/>
  <c r="Q188" i="83" s="1"/>
  <c r="Q59" i="71" s="1"/>
  <c r="Q164" i="71" s="1"/>
  <c r="Q99" i="80"/>
  <c r="Q111" i="80" s="1"/>
  <c r="Q74" i="80"/>
  <c r="Q86" i="80" s="1"/>
  <c r="Q86" i="83"/>
  <c r="Q157" i="83" s="1"/>
  <c r="Q27" i="71" s="1"/>
  <c r="Q132" i="71" s="1"/>
  <c r="Q97" i="83"/>
  <c r="Q185" i="83" s="1"/>
  <c r="Q56" i="71" s="1"/>
  <c r="Q161" i="71" s="1"/>
  <c r="Q96" i="80"/>
  <c r="Q108" i="80" s="1"/>
  <c r="Q84" i="83"/>
  <c r="Q155" i="83" s="1"/>
  <c r="Q25" i="71" s="1"/>
  <c r="Q130" i="71" s="1"/>
  <c r="Q72" i="80"/>
  <c r="Q84" i="80" s="1"/>
  <c r="Q122" i="80"/>
  <c r="Q134" i="80" s="1"/>
  <c r="Q112" i="83"/>
  <c r="Q217" i="83" s="1"/>
  <c r="Q89" i="71" s="1"/>
  <c r="Q194" i="71" s="1"/>
  <c r="Q102" i="83"/>
  <c r="Q190" i="83" s="1"/>
  <c r="Q61" i="71" s="1"/>
  <c r="Q166" i="71" s="1"/>
  <c r="Q101" i="80"/>
  <c r="Q113" i="80" s="1"/>
  <c r="Q85" i="83"/>
  <c r="Q156" i="83" s="1"/>
  <c r="Q26" i="71" s="1"/>
  <c r="Q131" i="71" s="1"/>
  <c r="Q73" i="80"/>
  <c r="Q85" i="80" s="1"/>
  <c r="Q95" i="83"/>
  <c r="Q183" i="83" s="1"/>
  <c r="Q54" i="71" s="1"/>
  <c r="Q159" i="71" s="1"/>
  <c r="Q94" i="80"/>
  <c r="Q106" i="80" s="1"/>
  <c r="Q111" i="83"/>
  <c r="Q216" i="83" s="1"/>
  <c r="Q88" i="71" s="1"/>
  <c r="Q193" i="71" s="1"/>
  <c r="Q121" i="80"/>
  <c r="Q133" i="80" s="1"/>
  <c r="P280" i="53"/>
  <c r="P90" i="83" s="1"/>
  <c r="P161" i="83" s="1"/>
  <c r="P31" i="71" s="1"/>
  <c r="P136" i="71" s="1"/>
  <c r="P286" i="53"/>
  <c r="P284" i="53"/>
  <c r="P94" i="80" s="1"/>
  <c r="P106" i="80" s="1"/>
  <c r="P277" i="53"/>
  <c r="P75" i="80" s="1"/>
  <c r="P87" i="80" s="1"/>
  <c r="P301" i="53"/>
  <c r="P123" i="80" s="1"/>
  <c r="P135" i="80" s="1"/>
  <c r="P274" i="53"/>
  <c r="P84" i="83" s="1"/>
  <c r="P155" i="83" s="1"/>
  <c r="P25" i="71" s="1"/>
  <c r="P130" i="71" s="1"/>
  <c r="P302" i="53"/>
  <c r="P114" i="83" s="1"/>
  <c r="P219" i="83" s="1"/>
  <c r="P91" i="71" s="1"/>
  <c r="P196" i="71" s="1"/>
  <c r="P287" i="53"/>
  <c r="P97" i="80" s="1"/>
  <c r="P109" i="80" s="1"/>
  <c r="P294" i="53"/>
  <c r="P116" i="80" s="1"/>
  <c r="P128" i="80" s="1"/>
  <c r="N93" i="53"/>
  <c r="N273" i="53" s="1"/>
  <c r="P275" i="53"/>
  <c r="P85" i="83" s="1"/>
  <c r="P156" i="83" s="1"/>
  <c r="P26" i="71" s="1"/>
  <c r="P131" i="71" s="1"/>
  <c r="P300" i="53"/>
  <c r="P122" i="80" s="1"/>
  <c r="P134" i="80" s="1"/>
  <c r="P288" i="53"/>
  <c r="P99" i="83" s="1"/>
  <c r="P187" i="83" s="1"/>
  <c r="P58" i="71" s="1"/>
  <c r="P163" i="71" s="1"/>
  <c r="O93" i="53"/>
  <c r="J91" i="53"/>
  <c r="J267" i="53" s="1"/>
  <c r="J78" i="83" s="1"/>
  <c r="J129" i="83" s="1"/>
  <c r="J129" i="72" s="1"/>
  <c r="J199" i="72" s="1"/>
  <c r="J229" i="72" s="1"/>
  <c r="O128" i="83"/>
  <c r="O128" i="72" s="1"/>
  <c r="O198" i="72" s="1"/>
  <c r="O228" i="72" s="1"/>
  <c r="O130" i="83"/>
  <c r="O130" i="72" s="1"/>
  <c r="O200" i="72" s="1"/>
  <c r="O230" i="72" s="1"/>
  <c r="O124" i="83"/>
  <c r="O123" i="83"/>
  <c r="O132" i="83"/>
  <c r="O132" i="72" s="1"/>
  <c r="O202" i="72" s="1"/>
  <c r="O232" i="72" s="1"/>
  <c r="O131" i="83"/>
  <c r="O131" i="72" s="1"/>
  <c r="O201" i="72" s="1"/>
  <c r="O231" i="72" s="1"/>
  <c r="O129" i="83"/>
  <c r="O129" i="72" s="1"/>
  <c r="O199" i="72" s="1"/>
  <c r="O229" i="72" s="1"/>
  <c r="O126" i="83"/>
  <c r="O126" i="72" s="1"/>
  <c r="O196" i="72" s="1"/>
  <c r="O226" i="72" s="1"/>
  <c r="O127" i="83"/>
  <c r="O127" i="72" s="1"/>
  <c r="O197" i="72" s="1"/>
  <c r="O227" i="72" s="1"/>
  <c r="O125" i="83"/>
  <c r="O125" i="72" s="1"/>
  <c r="O195" i="72" s="1"/>
  <c r="O225" i="72" s="1"/>
  <c r="M91" i="53"/>
  <c r="M267" i="53" s="1"/>
  <c r="M78" i="83" s="1"/>
  <c r="J104" i="74"/>
  <c r="J136" i="74" s="1"/>
  <c r="L104" i="74"/>
  <c r="L136" i="74" s="1"/>
  <c r="L105" i="74"/>
  <c r="L137" i="74" s="1"/>
  <c r="J105" i="74"/>
  <c r="J137" i="74" s="1"/>
  <c r="K91" i="53"/>
  <c r="K93" i="53" s="1"/>
  <c r="J102" i="74"/>
  <c r="J134" i="74" s="1"/>
  <c r="L102" i="74"/>
  <c r="L134" i="74" s="1"/>
  <c r="L106" i="74"/>
  <c r="L138" i="74" s="1"/>
  <c r="J106" i="74"/>
  <c r="J138" i="74" s="1"/>
  <c r="P108" i="83"/>
  <c r="P213" i="83" s="1"/>
  <c r="P85" i="71" s="1"/>
  <c r="P190" i="71" s="1"/>
  <c r="P118" i="80"/>
  <c r="P130" i="80" s="1"/>
  <c r="N124" i="83"/>
  <c r="N125" i="83"/>
  <c r="N125" i="72" s="1"/>
  <c r="N195" i="72" s="1"/>
  <c r="N225" i="72" s="1"/>
  <c r="N123" i="83"/>
  <c r="N129" i="83"/>
  <c r="N129" i="72" s="1"/>
  <c r="N199" i="72" s="1"/>
  <c r="N229" i="72" s="1"/>
  <c r="N132" i="83"/>
  <c r="N132" i="72" s="1"/>
  <c r="N202" i="72" s="1"/>
  <c r="N232" i="72" s="1"/>
  <c r="N127" i="83"/>
  <c r="N127" i="72" s="1"/>
  <c r="N197" i="72" s="1"/>
  <c r="N227" i="72" s="1"/>
  <c r="N130" i="83"/>
  <c r="N130" i="72" s="1"/>
  <c r="N200" i="72" s="1"/>
  <c r="N230" i="72" s="1"/>
  <c r="N131" i="83"/>
  <c r="N131" i="72" s="1"/>
  <c r="N201" i="72" s="1"/>
  <c r="N231" i="72" s="1"/>
  <c r="N128" i="83"/>
  <c r="N128" i="72" s="1"/>
  <c r="N198" i="72" s="1"/>
  <c r="N228" i="72" s="1"/>
  <c r="N126" i="83"/>
  <c r="N126" i="72" s="1"/>
  <c r="N196" i="72" s="1"/>
  <c r="N226" i="72" s="1"/>
  <c r="J103" i="74"/>
  <c r="J135" i="74" s="1"/>
  <c r="L103" i="74"/>
  <c r="L135" i="74" s="1"/>
  <c r="L107" i="74"/>
  <c r="L139" i="74" s="1"/>
  <c r="J107" i="74"/>
  <c r="J139" i="74" s="1"/>
  <c r="J108" i="74"/>
  <c r="J140" i="74" s="1"/>
  <c r="L108" i="74"/>
  <c r="L140" i="74" s="1"/>
  <c r="P96" i="80"/>
  <c r="P108" i="80" s="1"/>
  <c r="P97" i="83"/>
  <c r="P185" i="83" s="1"/>
  <c r="P56" i="71" s="1"/>
  <c r="P161" i="71" s="1"/>
  <c r="L91" i="53"/>
  <c r="L267" i="53" s="1"/>
  <c r="L78" i="83" s="1"/>
  <c r="Q144" i="80" l="1"/>
  <c r="Q170" i="80" s="1"/>
  <c r="Q271" i="80" s="1"/>
  <c r="P299" i="53"/>
  <c r="P121" i="80" s="1"/>
  <c r="P133" i="80" s="1"/>
  <c r="P272" i="53"/>
  <c r="P81" i="83" s="1"/>
  <c r="P152" i="83" s="1"/>
  <c r="P278" i="53"/>
  <c r="P88" i="83" s="1"/>
  <c r="P159" i="83" s="1"/>
  <c r="P29" i="71" s="1"/>
  <c r="P134" i="71" s="1"/>
  <c r="P273" i="53"/>
  <c r="P83" i="83" s="1"/>
  <c r="P154" i="83" s="1"/>
  <c r="P24" i="71" s="1"/>
  <c r="P129" i="71" s="1"/>
  <c r="P285" i="53"/>
  <c r="P96" i="83" s="1"/>
  <c r="P184" i="83" s="1"/>
  <c r="P55" i="71" s="1"/>
  <c r="P160" i="71" s="1"/>
  <c r="Q145" i="80"/>
  <c r="Q171" i="80" s="1"/>
  <c r="Q272" i="80" s="1"/>
  <c r="Q146" i="80"/>
  <c r="Q172" i="80" s="1"/>
  <c r="Q273" i="80" s="1"/>
  <c r="P289" i="53"/>
  <c r="P99" i="80" s="1"/>
  <c r="P111" i="80" s="1"/>
  <c r="P279" i="53"/>
  <c r="P89" i="83" s="1"/>
  <c r="P160" i="83" s="1"/>
  <c r="P30" i="71" s="1"/>
  <c r="P135" i="71" s="1"/>
  <c r="P283" i="53"/>
  <c r="P93" i="80" s="1"/>
  <c r="P105" i="80" s="1"/>
  <c r="P295" i="53"/>
  <c r="P107" i="83" s="1"/>
  <c r="P212" i="83" s="1"/>
  <c r="P84" i="71" s="1"/>
  <c r="P189" i="71" s="1"/>
  <c r="P290" i="53"/>
  <c r="P298" i="53"/>
  <c r="P110" i="83" s="1"/>
  <c r="P215" i="83" s="1"/>
  <c r="P87" i="71" s="1"/>
  <c r="P192" i="71" s="1"/>
  <c r="P276" i="53"/>
  <c r="P86" i="83" s="1"/>
  <c r="P157" i="83" s="1"/>
  <c r="P27" i="71" s="1"/>
  <c r="P132" i="71" s="1"/>
  <c r="P297" i="53"/>
  <c r="P119" i="80" s="1"/>
  <c r="P131" i="80" s="1"/>
  <c r="P291" i="53"/>
  <c r="Q147" i="80"/>
  <c r="Q173" i="80" s="1"/>
  <c r="Q274" i="80" s="1"/>
  <c r="Q142" i="80"/>
  <c r="Q168" i="80" s="1"/>
  <c r="Q269" i="80" s="1"/>
  <c r="Q150" i="80"/>
  <c r="Q143" i="80"/>
  <c r="Q169" i="80" s="1"/>
  <c r="Q270" i="80" s="1"/>
  <c r="P78" i="80"/>
  <c r="P90" i="80" s="1"/>
  <c r="Q148" i="80"/>
  <c r="Q174" i="80" s="1"/>
  <c r="Q275" i="80" s="1"/>
  <c r="Q149" i="80"/>
  <c r="Q175" i="80" s="1"/>
  <c r="Q276" i="80" s="1"/>
  <c r="P95" i="83"/>
  <c r="P183" i="83" s="1"/>
  <c r="P54" i="71" s="1"/>
  <c r="P159" i="71" s="1"/>
  <c r="P120" i="80"/>
  <c r="P132" i="80" s="1"/>
  <c r="P106" i="83"/>
  <c r="P211" i="83" s="1"/>
  <c r="P83" i="71" s="1"/>
  <c r="P188" i="71" s="1"/>
  <c r="J128" i="83"/>
  <c r="J128" i="72" s="1"/>
  <c r="J198" i="72" s="1"/>
  <c r="J228" i="72" s="1"/>
  <c r="P72" i="80"/>
  <c r="P84" i="80" s="1"/>
  <c r="P113" i="83"/>
  <c r="P218" i="83" s="1"/>
  <c r="P90" i="71" s="1"/>
  <c r="P195" i="71" s="1"/>
  <c r="N298" i="53"/>
  <c r="N120" i="80" s="1"/>
  <c r="N132" i="80" s="1"/>
  <c r="P87" i="83"/>
  <c r="P158" i="83" s="1"/>
  <c r="P28" i="71" s="1"/>
  <c r="P133" i="71" s="1"/>
  <c r="P124" i="80"/>
  <c r="P136" i="80" s="1"/>
  <c r="P105" i="83"/>
  <c r="P210" i="83" s="1"/>
  <c r="P82" i="71" s="1"/>
  <c r="P187" i="71" s="1"/>
  <c r="P112" i="83"/>
  <c r="P217" i="83" s="1"/>
  <c r="P89" i="71" s="1"/>
  <c r="P194" i="71" s="1"/>
  <c r="P98" i="83"/>
  <c r="P186" i="83" s="1"/>
  <c r="P57" i="71" s="1"/>
  <c r="P162" i="71" s="1"/>
  <c r="P76" i="80"/>
  <c r="P88" i="80" s="1"/>
  <c r="P148" i="80" s="1"/>
  <c r="P174" i="80" s="1"/>
  <c r="P275" i="80" s="1"/>
  <c r="P77" i="80"/>
  <c r="P89" i="80" s="1"/>
  <c r="N286" i="53"/>
  <c r="N97" i="83" s="1"/>
  <c r="N185" i="83" s="1"/>
  <c r="N56" i="71" s="1"/>
  <c r="N161" i="71" s="1"/>
  <c r="N291" i="53"/>
  <c r="N101" i="80" s="1"/>
  <c r="N113" i="80" s="1"/>
  <c r="N276" i="53"/>
  <c r="N74" i="80" s="1"/>
  <c r="N86" i="80" s="1"/>
  <c r="N299" i="53"/>
  <c r="N121" i="80" s="1"/>
  <c r="N133" i="80" s="1"/>
  <c r="N297" i="53"/>
  <c r="N109" i="83" s="1"/>
  <c r="N214" i="83" s="1"/>
  <c r="N86" i="71" s="1"/>
  <c r="N191" i="71" s="1"/>
  <c r="N289" i="53"/>
  <c r="N100" i="83" s="1"/>
  <c r="N188" i="83" s="1"/>
  <c r="N59" i="71" s="1"/>
  <c r="N164" i="71" s="1"/>
  <c r="N302" i="53"/>
  <c r="N124" i="80" s="1"/>
  <c r="N136" i="80" s="1"/>
  <c r="N274" i="53"/>
  <c r="N72" i="80" s="1"/>
  <c r="N84" i="80" s="1"/>
  <c r="N285" i="53"/>
  <c r="N95" i="80" s="1"/>
  <c r="N107" i="80" s="1"/>
  <c r="N275" i="53"/>
  <c r="N85" i="83" s="1"/>
  <c r="N156" i="83" s="1"/>
  <c r="N26" i="71" s="1"/>
  <c r="N131" i="71" s="1"/>
  <c r="N301" i="53"/>
  <c r="N113" i="83" s="1"/>
  <c r="N218" i="83" s="1"/>
  <c r="N90" i="71" s="1"/>
  <c r="N195" i="71" s="1"/>
  <c r="N294" i="53"/>
  <c r="N116" i="80" s="1"/>
  <c r="N128" i="80" s="1"/>
  <c r="P82" i="83"/>
  <c r="P153" i="83" s="1"/>
  <c r="P23" i="71" s="1"/>
  <c r="P128" i="71" s="1"/>
  <c r="P70" i="80"/>
  <c r="P82" i="80" s="1"/>
  <c r="N284" i="53"/>
  <c r="N95" i="83" s="1"/>
  <c r="N183" i="83" s="1"/>
  <c r="N54" i="71" s="1"/>
  <c r="N159" i="71" s="1"/>
  <c r="N300" i="53"/>
  <c r="N122" i="80" s="1"/>
  <c r="N134" i="80" s="1"/>
  <c r="N287" i="53"/>
  <c r="N98" i="83" s="1"/>
  <c r="N186" i="83" s="1"/>
  <c r="N57" i="71" s="1"/>
  <c r="N162" i="71" s="1"/>
  <c r="N295" i="53"/>
  <c r="N117" i="80" s="1"/>
  <c r="N129" i="80" s="1"/>
  <c r="N278" i="53"/>
  <c r="N88" i="83" s="1"/>
  <c r="N159" i="83" s="1"/>
  <c r="N29" i="71" s="1"/>
  <c r="N134" i="71" s="1"/>
  <c r="N280" i="53"/>
  <c r="N78" i="80" s="1"/>
  <c r="N90" i="80" s="1"/>
  <c r="N290" i="53"/>
  <c r="N101" i="83" s="1"/>
  <c r="N189" i="83" s="1"/>
  <c r="N60" i="71" s="1"/>
  <c r="N165" i="71" s="1"/>
  <c r="N279" i="53"/>
  <c r="N89" i="83" s="1"/>
  <c r="N160" i="83" s="1"/>
  <c r="N30" i="71" s="1"/>
  <c r="N135" i="71" s="1"/>
  <c r="N288" i="53"/>
  <c r="N99" i="83" s="1"/>
  <c r="N187" i="83" s="1"/>
  <c r="N58" i="71" s="1"/>
  <c r="N163" i="71" s="1"/>
  <c r="N283" i="53"/>
  <c r="N94" i="83" s="1"/>
  <c r="N182" i="83" s="1"/>
  <c r="N53" i="71" s="1"/>
  <c r="N158" i="71" s="1"/>
  <c r="N296" i="53"/>
  <c r="N108" i="83" s="1"/>
  <c r="N213" i="83" s="1"/>
  <c r="N85" i="71" s="1"/>
  <c r="N190" i="71" s="1"/>
  <c r="N277" i="53"/>
  <c r="N75" i="80" s="1"/>
  <c r="N87" i="80" s="1"/>
  <c r="N272" i="53"/>
  <c r="N82" i="83" s="1"/>
  <c r="N153" i="83" s="1"/>
  <c r="N23" i="71" s="1"/>
  <c r="N128" i="71" s="1"/>
  <c r="P73" i="80"/>
  <c r="P85" i="80" s="1"/>
  <c r="P111" i="83"/>
  <c r="P216" i="83" s="1"/>
  <c r="P88" i="71" s="1"/>
  <c r="P193" i="71" s="1"/>
  <c r="P100" i="83"/>
  <c r="P188" i="83" s="1"/>
  <c r="P59" i="71" s="1"/>
  <c r="P164" i="71" s="1"/>
  <c r="J126" i="83"/>
  <c r="J126" i="72" s="1"/>
  <c r="J196" i="72" s="1"/>
  <c r="J226" i="72" s="1"/>
  <c r="J130" i="83"/>
  <c r="J130" i="72" s="1"/>
  <c r="J200" i="72" s="1"/>
  <c r="J230" i="72" s="1"/>
  <c r="P98" i="80"/>
  <c r="P110" i="80" s="1"/>
  <c r="P147" i="80" s="1"/>
  <c r="P173" i="80" s="1"/>
  <c r="P274" i="80" s="1"/>
  <c r="J131" i="83"/>
  <c r="J131" i="72" s="1"/>
  <c r="J201" i="72" s="1"/>
  <c r="J231" i="72" s="1"/>
  <c r="J127" i="83"/>
  <c r="J127" i="72" s="1"/>
  <c r="J197" i="72" s="1"/>
  <c r="J227" i="72" s="1"/>
  <c r="J132" i="83"/>
  <c r="J132" i="72" s="1"/>
  <c r="J202" i="72" s="1"/>
  <c r="J232" i="72" s="1"/>
  <c r="J124" i="83"/>
  <c r="J123" i="83"/>
  <c r="J125" i="83"/>
  <c r="J125" i="72" s="1"/>
  <c r="J195" i="72" s="1"/>
  <c r="J225" i="72" s="1"/>
  <c r="K275" i="53"/>
  <c r="K85" i="83" s="1"/>
  <c r="K156" i="83" s="1"/>
  <c r="K26" i="71" s="1"/>
  <c r="K131" i="71" s="1"/>
  <c r="K272" i="53"/>
  <c r="K81" i="83" s="1"/>
  <c r="K152" i="83" s="1"/>
  <c r="K283" i="53"/>
  <c r="K93" i="83" s="1"/>
  <c r="K181" i="83" s="1"/>
  <c r="K52" i="71" s="1"/>
  <c r="K157" i="71" s="1"/>
  <c r="K297" i="53"/>
  <c r="K109" i="83" s="1"/>
  <c r="K214" i="83" s="1"/>
  <c r="K86" i="71" s="1"/>
  <c r="K191" i="71" s="1"/>
  <c r="K295" i="53"/>
  <c r="K117" i="80" s="1"/>
  <c r="K129" i="80" s="1"/>
  <c r="K302" i="53"/>
  <c r="K114" i="83" s="1"/>
  <c r="K219" i="83" s="1"/>
  <c r="K91" i="71" s="1"/>
  <c r="K196" i="71" s="1"/>
  <c r="K286" i="53"/>
  <c r="K97" i="83" s="1"/>
  <c r="K185" i="83" s="1"/>
  <c r="K56" i="71" s="1"/>
  <c r="K161" i="71" s="1"/>
  <c r="K276" i="53"/>
  <c r="K74" i="80" s="1"/>
  <c r="K86" i="80" s="1"/>
  <c r="K287" i="53"/>
  <c r="K97" i="80" s="1"/>
  <c r="K109" i="80" s="1"/>
  <c r="K284" i="53"/>
  <c r="K94" i="80" s="1"/>
  <c r="K106" i="80" s="1"/>
  <c r="K280" i="53"/>
  <c r="K90" i="83" s="1"/>
  <c r="K161" i="83" s="1"/>
  <c r="K31" i="71" s="1"/>
  <c r="K136" i="71" s="1"/>
  <c r="K294" i="53"/>
  <c r="K116" i="80" s="1"/>
  <c r="K128" i="80" s="1"/>
  <c r="K298" i="53"/>
  <c r="K110" i="83" s="1"/>
  <c r="K215" i="83" s="1"/>
  <c r="K87" i="71" s="1"/>
  <c r="K192" i="71" s="1"/>
  <c r="K277" i="53"/>
  <c r="K75" i="80" s="1"/>
  <c r="K87" i="80" s="1"/>
  <c r="K278" i="53"/>
  <c r="K88" i="83" s="1"/>
  <c r="K159" i="83" s="1"/>
  <c r="K29" i="71" s="1"/>
  <c r="K134" i="71" s="1"/>
  <c r="K274" i="53"/>
  <c r="K84" i="83" s="1"/>
  <c r="K155" i="83" s="1"/>
  <c r="K25" i="71" s="1"/>
  <c r="K130" i="71" s="1"/>
  <c r="K299" i="53"/>
  <c r="K121" i="80" s="1"/>
  <c r="K133" i="80" s="1"/>
  <c r="K289" i="53"/>
  <c r="K100" i="83" s="1"/>
  <c r="K188" i="83" s="1"/>
  <c r="K59" i="71" s="1"/>
  <c r="K164" i="71" s="1"/>
  <c r="K301" i="53"/>
  <c r="K113" i="83" s="1"/>
  <c r="K218" i="83" s="1"/>
  <c r="K90" i="71" s="1"/>
  <c r="K195" i="71" s="1"/>
  <c r="K273" i="53"/>
  <c r="K71" i="80" s="1"/>
  <c r="K83" i="80" s="1"/>
  <c r="K296" i="53"/>
  <c r="K108" i="83" s="1"/>
  <c r="K213" i="83" s="1"/>
  <c r="K85" i="71" s="1"/>
  <c r="K190" i="71" s="1"/>
  <c r="K290" i="53"/>
  <c r="K101" i="83" s="1"/>
  <c r="K189" i="83" s="1"/>
  <c r="K60" i="71" s="1"/>
  <c r="K165" i="71" s="1"/>
  <c r="K285" i="53"/>
  <c r="K95" i="80" s="1"/>
  <c r="K107" i="80" s="1"/>
  <c r="K279" i="53"/>
  <c r="K77" i="80" s="1"/>
  <c r="K89" i="80" s="1"/>
  <c r="K291" i="53"/>
  <c r="K102" i="83" s="1"/>
  <c r="K190" i="83" s="1"/>
  <c r="K61" i="71" s="1"/>
  <c r="K166" i="71" s="1"/>
  <c r="K300" i="53"/>
  <c r="K122" i="80" s="1"/>
  <c r="K134" i="80" s="1"/>
  <c r="K288" i="53"/>
  <c r="K98" i="80" s="1"/>
  <c r="K110" i="80" s="1"/>
  <c r="J93" i="53"/>
  <c r="O297" i="53"/>
  <c r="O296" i="53"/>
  <c r="O280" i="53"/>
  <c r="O298" i="53"/>
  <c r="O287" i="53"/>
  <c r="O301" i="53"/>
  <c r="O288" i="53"/>
  <c r="O286" i="53"/>
  <c r="O285" i="53"/>
  <c r="O300" i="53"/>
  <c r="O278" i="53"/>
  <c r="O302" i="53"/>
  <c r="O273" i="53"/>
  <c r="O277" i="53"/>
  <c r="O289" i="53"/>
  <c r="O275" i="53"/>
  <c r="O272" i="53"/>
  <c r="O283" i="53"/>
  <c r="O294" i="53"/>
  <c r="O291" i="53"/>
  <c r="O276" i="53"/>
  <c r="O279" i="53"/>
  <c r="O284" i="53"/>
  <c r="O295" i="53"/>
  <c r="O274" i="53"/>
  <c r="O299" i="53"/>
  <c r="O290" i="53"/>
  <c r="M93" i="53"/>
  <c r="L93" i="53"/>
  <c r="N71" i="80"/>
  <c r="N83" i="80" s="1"/>
  <c r="N83" i="83"/>
  <c r="N154" i="83" s="1"/>
  <c r="N24" i="71" s="1"/>
  <c r="N129" i="71" s="1"/>
  <c r="P22" i="71"/>
  <c r="P127" i="71" s="1"/>
  <c r="M131" i="83"/>
  <c r="M131" i="72" s="1"/>
  <c r="M201" i="72" s="1"/>
  <c r="M231" i="72" s="1"/>
  <c r="M125" i="83"/>
  <c r="M125" i="72" s="1"/>
  <c r="M195" i="72" s="1"/>
  <c r="M225" i="72" s="1"/>
  <c r="M123" i="83"/>
  <c r="M124" i="83"/>
  <c r="M126" i="83"/>
  <c r="M126" i="72" s="1"/>
  <c r="M196" i="72" s="1"/>
  <c r="M226" i="72" s="1"/>
  <c r="M130" i="83"/>
  <c r="M130" i="72" s="1"/>
  <c r="M200" i="72" s="1"/>
  <c r="M230" i="72" s="1"/>
  <c r="M132" i="83"/>
  <c r="M132" i="72" s="1"/>
  <c r="M202" i="72" s="1"/>
  <c r="M232" i="72" s="1"/>
  <c r="M128" i="83"/>
  <c r="M128" i="72" s="1"/>
  <c r="M198" i="72" s="1"/>
  <c r="M228" i="72" s="1"/>
  <c r="M127" i="83"/>
  <c r="M127" i="72" s="1"/>
  <c r="M197" i="72" s="1"/>
  <c r="M227" i="72" s="1"/>
  <c r="M129" i="83"/>
  <c r="M129" i="72" s="1"/>
  <c r="M199" i="72" s="1"/>
  <c r="M229" i="72" s="1"/>
  <c r="L128" i="83"/>
  <c r="L128" i="72" s="1"/>
  <c r="L198" i="72" s="1"/>
  <c r="L228" i="72" s="1"/>
  <c r="L131" i="83"/>
  <c r="L131" i="72" s="1"/>
  <c r="L201" i="72" s="1"/>
  <c r="L231" i="72" s="1"/>
  <c r="L129" i="83"/>
  <c r="L129" i="72" s="1"/>
  <c r="L199" i="72" s="1"/>
  <c r="L229"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K267" i="53"/>
  <c r="K78" i="83" s="1"/>
  <c r="P74" i="80" l="1"/>
  <c r="P86" i="80" s="1"/>
  <c r="P117" i="80"/>
  <c r="P129" i="80" s="1"/>
  <c r="P145" i="80"/>
  <c r="P171" i="80" s="1"/>
  <c r="P272" i="80" s="1"/>
  <c r="P109" i="83"/>
  <c r="P214" i="83" s="1"/>
  <c r="P86" i="71" s="1"/>
  <c r="P191" i="71" s="1"/>
  <c r="P71" i="80"/>
  <c r="P83" i="80" s="1"/>
  <c r="P143" i="80" s="1"/>
  <c r="P169" i="80" s="1"/>
  <c r="P270" i="80" s="1"/>
  <c r="P142" i="80"/>
  <c r="P168" i="80" s="1"/>
  <c r="P93" i="83"/>
  <c r="P181" i="83" s="1"/>
  <c r="P52" i="71" s="1"/>
  <c r="P157" i="71" s="1"/>
  <c r="P94" i="83"/>
  <c r="P182" i="83" s="1"/>
  <c r="P53" i="71" s="1"/>
  <c r="P158" i="71" s="1"/>
  <c r="P102" i="83"/>
  <c r="P190" i="83" s="1"/>
  <c r="P61" i="71" s="1"/>
  <c r="P166" i="71" s="1"/>
  <c r="P101" i="80"/>
  <c r="P113" i="80" s="1"/>
  <c r="P150" i="80" s="1"/>
  <c r="P100" i="80"/>
  <c r="P112" i="80" s="1"/>
  <c r="P149" i="80" s="1"/>
  <c r="P175" i="80" s="1"/>
  <c r="P276" i="80" s="1"/>
  <c r="P101" i="83"/>
  <c r="P189" i="83" s="1"/>
  <c r="P60" i="71" s="1"/>
  <c r="P165" i="71" s="1"/>
  <c r="P95" i="80"/>
  <c r="P107" i="80" s="1"/>
  <c r="P144" i="80" s="1"/>
  <c r="P170" i="80" s="1"/>
  <c r="P271" i="80" s="1"/>
  <c r="Q208" i="80"/>
  <c r="Q176" i="80"/>
  <c r="Q177" i="80" s="1"/>
  <c r="P146" i="80"/>
  <c r="P172" i="80" s="1"/>
  <c r="P273" i="80" s="1"/>
  <c r="N94" i="80"/>
  <c r="N106" i="80" s="1"/>
  <c r="N143" i="80" s="1"/>
  <c r="N169" i="80" s="1"/>
  <c r="N270" i="80" s="1"/>
  <c r="N102" i="83"/>
  <c r="N190" i="83" s="1"/>
  <c r="N61" i="71" s="1"/>
  <c r="N166" i="71" s="1"/>
  <c r="N110" i="83"/>
  <c r="N215" i="83" s="1"/>
  <c r="N87" i="71" s="1"/>
  <c r="N192" i="71" s="1"/>
  <c r="N86" i="83"/>
  <c r="N157" i="83" s="1"/>
  <c r="N27" i="71" s="1"/>
  <c r="N132" i="71" s="1"/>
  <c r="N70" i="80"/>
  <c r="N82" i="80" s="1"/>
  <c r="N81" i="83"/>
  <c r="N152" i="83" s="1"/>
  <c r="N22" i="71" s="1"/>
  <c r="N127" i="71" s="1"/>
  <c r="K101" i="80"/>
  <c r="K113" i="80" s="1"/>
  <c r="N114" i="83"/>
  <c r="N219" i="83" s="1"/>
  <c r="N91" i="71" s="1"/>
  <c r="N196" i="71" s="1"/>
  <c r="N76" i="80"/>
  <c r="N88" i="80" s="1"/>
  <c r="N118" i="80"/>
  <c r="N130" i="80" s="1"/>
  <c r="N144" i="80" s="1"/>
  <c r="N170" i="80" s="1"/>
  <c r="N271" i="80" s="1"/>
  <c r="N107" i="83"/>
  <c r="N212" i="83" s="1"/>
  <c r="N84" i="71" s="1"/>
  <c r="N189" i="71" s="1"/>
  <c r="N96" i="80"/>
  <c r="N108" i="80" s="1"/>
  <c r="N96" i="83"/>
  <c r="N184" i="83" s="1"/>
  <c r="N55" i="71" s="1"/>
  <c r="N160" i="71" s="1"/>
  <c r="N100" i="80"/>
  <c r="N112" i="80" s="1"/>
  <c r="N93" i="80"/>
  <c r="N105" i="80" s="1"/>
  <c r="K87" i="83"/>
  <c r="K158" i="83" s="1"/>
  <c r="K28" i="71" s="1"/>
  <c r="K133" i="71" s="1"/>
  <c r="K123" i="80"/>
  <c r="K135" i="80" s="1"/>
  <c r="N77" i="80"/>
  <c r="N89" i="80" s="1"/>
  <c r="N111" i="83"/>
  <c r="N216" i="83" s="1"/>
  <c r="N88" i="71" s="1"/>
  <c r="N193" i="71" s="1"/>
  <c r="K86" i="83"/>
  <c r="K157" i="83" s="1"/>
  <c r="K27" i="71" s="1"/>
  <c r="K132" i="71" s="1"/>
  <c r="N97" i="80"/>
  <c r="N109" i="80" s="1"/>
  <c r="N146" i="80" s="1"/>
  <c r="N172" i="80" s="1"/>
  <c r="N273" i="80" s="1"/>
  <c r="K70" i="80"/>
  <c r="K82" i="80" s="1"/>
  <c r="N112" i="83"/>
  <c r="N217" i="83" s="1"/>
  <c r="N89" i="71" s="1"/>
  <c r="N194" i="71" s="1"/>
  <c r="N73" i="80"/>
  <c r="N85" i="80" s="1"/>
  <c r="K73" i="80"/>
  <c r="K85" i="80" s="1"/>
  <c r="N98" i="80"/>
  <c r="N110" i="80" s="1"/>
  <c r="N147" i="80" s="1"/>
  <c r="N173" i="80" s="1"/>
  <c r="N274" i="80" s="1"/>
  <c r="K96" i="80"/>
  <c r="K108" i="80" s="1"/>
  <c r="N93" i="83"/>
  <c r="N181" i="83" s="1"/>
  <c r="N52" i="71" s="1"/>
  <c r="N157" i="71" s="1"/>
  <c r="K112" i="83"/>
  <c r="K217" i="83" s="1"/>
  <c r="K89" i="71" s="1"/>
  <c r="K194" i="71" s="1"/>
  <c r="N99" i="80"/>
  <c r="N111" i="80" s="1"/>
  <c r="N119" i="80"/>
  <c r="N131" i="80" s="1"/>
  <c r="K82" i="83"/>
  <c r="K153" i="83" s="1"/>
  <c r="K23" i="71" s="1"/>
  <c r="K128" i="71" s="1"/>
  <c r="N105" i="83"/>
  <c r="N210" i="83" s="1"/>
  <c r="N82" i="71" s="1"/>
  <c r="N187" i="71" s="1"/>
  <c r="N106" i="83"/>
  <c r="N211" i="83" s="1"/>
  <c r="N83" i="71" s="1"/>
  <c r="N188" i="71" s="1"/>
  <c r="N123" i="80"/>
  <c r="N135" i="80" s="1"/>
  <c r="N87" i="83"/>
  <c r="N158" i="83" s="1"/>
  <c r="N28" i="71" s="1"/>
  <c r="N133" i="71" s="1"/>
  <c r="N84" i="83"/>
  <c r="N155" i="83" s="1"/>
  <c r="N25" i="71" s="1"/>
  <c r="N130" i="71" s="1"/>
  <c r="N90" i="83"/>
  <c r="N161" i="83" s="1"/>
  <c r="N31" i="71" s="1"/>
  <c r="N136" i="71" s="1"/>
  <c r="K98" i="83"/>
  <c r="K186" i="83" s="1"/>
  <c r="K57" i="71" s="1"/>
  <c r="K162" i="71" s="1"/>
  <c r="K83" i="83"/>
  <c r="K154" i="83" s="1"/>
  <c r="K24" i="71" s="1"/>
  <c r="K129" i="71" s="1"/>
  <c r="K118" i="80"/>
  <c r="K130" i="80" s="1"/>
  <c r="K99" i="83"/>
  <c r="K187" i="83" s="1"/>
  <c r="K58" i="71" s="1"/>
  <c r="K163" i="71" s="1"/>
  <c r="K93" i="80"/>
  <c r="K105" i="80" s="1"/>
  <c r="K76" i="80"/>
  <c r="K88" i="80" s="1"/>
  <c r="K94" i="83"/>
  <c r="K182" i="83" s="1"/>
  <c r="K53" i="71" s="1"/>
  <c r="K158" i="71" s="1"/>
  <c r="K119" i="80"/>
  <c r="K131" i="80" s="1"/>
  <c r="K72" i="80"/>
  <c r="K84" i="80" s="1"/>
  <c r="K89" i="83"/>
  <c r="K160" i="83" s="1"/>
  <c r="K30" i="71" s="1"/>
  <c r="K135" i="71" s="1"/>
  <c r="K100" i="80"/>
  <c r="K112" i="80" s="1"/>
  <c r="K95" i="83"/>
  <c r="K183" i="83" s="1"/>
  <c r="K54" i="71" s="1"/>
  <c r="K159" i="71" s="1"/>
  <c r="K105" i="83"/>
  <c r="K210" i="83" s="1"/>
  <c r="K82" i="71" s="1"/>
  <c r="K187" i="71" s="1"/>
  <c r="K99" i="80"/>
  <c r="K111" i="80" s="1"/>
  <c r="K124" i="80"/>
  <c r="K136" i="80" s="1"/>
  <c r="K106" i="83"/>
  <c r="K211" i="83" s="1"/>
  <c r="K83" i="71" s="1"/>
  <c r="K188" i="71" s="1"/>
  <c r="K120" i="80"/>
  <c r="K132" i="80" s="1"/>
  <c r="K146" i="80" s="1"/>
  <c r="K172" i="80" s="1"/>
  <c r="K273" i="80" s="1"/>
  <c r="K78" i="80"/>
  <c r="K90" i="80" s="1"/>
  <c r="K111" i="83"/>
  <c r="K216" i="83" s="1"/>
  <c r="K88" i="71" s="1"/>
  <c r="K193" i="71" s="1"/>
  <c r="J286" i="53"/>
  <c r="J298" i="53"/>
  <c r="J289" i="53"/>
  <c r="J284" i="53"/>
  <c r="J295" i="53"/>
  <c r="J291" i="53"/>
  <c r="J275" i="53"/>
  <c r="J294" i="53"/>
  <c r="J288" i="53"/>
  <c r="J285" i="53"/>
  <c r="J302" i="53"/>
  <c r="J278" i="53"/>
  <c r="J280" i="53"/>
  <c r="J274" i="53"/>
  <c r="J287" i="53"/>
  <c r="J273" i="53"/>
  <c r="J301" i="53"/>
  <c r="J300" i="53"/>
  <c r="J272" i="53"/>
  <c r="J297" i="53"/>
  <c r="J299" i="53"/>
  <c r="J283" i="53"/>
  <c r="J276" i="53"/>
  <c r="J277" i="53"/>
  <c r="J290" i="53"/>
  <c r="J296" i="53"/>
  <c r="J279" i="53"/>
  <c r="K96" i="83"/>
  <c r="K184" i="83" s="1"/>
  <c r="K55" i="71" s="1"/>
  <c r="K160" i="71" s="1"/>
  <c r="K107" i="83"/>
  <c r="K212" i="83" s="1"/>
  <c r="K84" i="71" s="1"/>
  <c r="K189" i="71" s="1"/>
  <c r="L275" i="53"/>
  <c r="L284" i="53"/>
  <c r="L301" i="53"/>
  <c r="L299" i="53"/>
  <c r="L277" i="53"/>
  <c r="L289" i="53"/>
  <c r="L273" i="53"/>
  <c r="L287" i="53"/>
  <c r="L300" i="53"/>
  <c r="L283" i="53"/>
  <c r="L286" i="53"/>
  <c r="L295" i="53"/>
  <c r="L296" i="53"/>
  <c r="L291" i="53"/>
  <c r="L280" i="53"/>
  <c r="L274" i="53"/>
  <c r="L288" i="53"/>
  <c r="L278" i="53"/>
  <c r="L290" i="53"/>
  <c r="L302" i="53"/>
  <c r="L276" i="53"/>
  <c r="L279" i="53"/>
  <c r="L285" i="53"/>
  <c r="L272" i="53"/>
  <c r="L294" i="53"/>
  <c r="L298" i="53"/>
  <c r="L297" i="53"/>
  <c r="O117" i="80"/>
  <c r="O129" i="80" s="1"/>
  <c r="O107" i="83"/>
  <c r="O212" i="83" s="1"/>
  <c r="O84" i="71" s="1"/>
  <c r="O189" i="71" s="1"/>
  <c r="O94" i="83"/>
  <c r="O182" i="83" s="1"/>
  <c r="O53" i="71" s="1"/>
  <c r="O158" i="71" s="1"/>
  <c r="O93" i="83"/>
  <c r="O181" i="83" s="1"/>
  <c r="O52" i="71" s="1"/>
  <c r="O157" i="71" s="1"/>
  <c r="O93" i="80"/>
  <c r="O105" i="80" s="1"/>
  <c r="O114" i="83"/>
  <c r="O219" i="83" s="1"/>
  <c r="O91" i="71" s="1"/>
  <c r="O196" i="71" s="1"/>
  <c r="O124" i="80"/>
  <c r="O136" i="80" s="1"/>
  <c r="O113" i="83"/>
  <c r="O218" i="83" s="1"/>
  <c r="O90" i="71" s="1"/>
  <c r="O195" i="71" s="1"/>
  <c r="O123" i="80"/>
  <c r="O135" i="80" s="1"/>
  <c r="M301" i="53"/>
  <c r="M289" i="53"/>
  <c r="M296" i="53"/>
  <c r="M277" i="53"/>
  <c r="M279" i="53"/>
  <c r="M295" i="53"/>
  <c r="M297" i="53"/>
  <c r="M291" i="53"/>
  <c r="M300" i="53"/>
  <c r="M302" i="53"/>
  <c r="M275" i="53"/>
  <c r="M294" i="53"/>
  <c r="M272" i="53"/>
  <c r="M274" i="53"/>
  <c r="M278" i="53"/>
  <c r="M285" i="53"/>
  <c r="M280" i="53"/>
  <c r="M299" i="53"/>
  <c r="M286" i="53"/>
  <c r="M273" i="53"/>
  <c r="M290" i="53"/>
  <c r="M287" i="53"/>
  <c r="M276" i="53"/>
  <c r="M298" i="53"/>
  <c r="M284" i="53"/>
  <c r="M283" i="53"/>
  <c r="M288" i="53"/>
  <c r="O94" i="80"/>
  <c r="O106" i="80" s="1"/>
  <c r="O95" i="83"/>
  <c r="O183" i="83" s="1"/>
  <c r="O54" i="71" s="1"/>
  <c r="O159" i="71" s="1"/>
  <c r="O82" i="83"/>
  <c r="O153" i="83" s="1"/>
  <c r="O23" i="71" s="1"/>
  <c r="O128" i="71" s="1"/>
  <c r="O81" i="83"/>
  <c r="O152" i="83" s="1"/>
  <c r="O70" i="80"/>
  <c r="O82" i="80" s="1"/>
  <c r="O88" i="83"/>
  <c r="O159" i="83" s="1"/>
  <c r="O29" i="71" s="1"/>
  <c r="O134" i="71" s="1"/>
  <c r="O76" i="80"/>
  <c r="O88" i="80" s="1"/>
  <c r="O98" i="83"/>
  <c r="O186" i="83" s="1"/>
  <c r="O57" i="71" s="1"/>
  <c r="O162" i="71" s="1"/>
  <c r="O97" i="80"/>
  <c r="O109" i="80" s="1"/>
  <c r="O89" i="83"/>
  <c r="O160" i="83" s="1"/>
  <c r="O30" i="71" s="1"/>
  <c r="O135" i="71" s="1"/>
  <c r="O77" i="80"/>
  <c r="O89" i="80" s="1"/>
  <c r="O85" i="83"/>
  <c r="O156" i="83" s="1"/>
  <c r="O26" i="71" s="1"/>
  <c r="O131" i="71" s="1"/>
  <c r="O73" i="80"/>
  <c r="O85" i="80" s="1"/>
  <c r="O112" i="83"/>
  <c r="O217" i="83" s="1"/>
  <c r="O89" i="71" s="1"/>
  <c r="O194" i="71" s="1"/>
  <c r="O122" i="80"/>
  <c r="O134" i="80" s="1"/>
  <c r="O110" i="83"/>
  <c r="O215" i="83" s="1"/>
  <c r="O87" i="71" s="1"/>
  <c r="O192" i="71" s="1"/>
  <c r="O120" i="80"/>
  <c r="O132" i="80" s="1"/>
  <c r="O101" i="83"/>
  <c r="O189" i="83" s="1"/>
  <c r="O60" i="71" s="1"/>
  <c r="O165" i="71" s="1"/>
  <c r="O100" i="80"/>
  <c r="O112" i="80" s="1"/>
  <c r="O74" i="80"/>
  <c r="O86" i="80" s="1"/>
  <c r="O86" i="83"/>
  <c r="O157" i="83" s="1"/>
  <c r="O27" i="71" s="1"/>
  <c r="O132" i="71" s="1"/>
  <c r="O100" i="83"/>
  <c r="O188" i="83" s="1"/>
  <c r="O59" i="71" s="1"/>
  <c r="O164" i="71" s="1"/>
  <c r="O99" i="80"/>
  <c r="O111" i="80" s="1"/>
  <c r="O95" i="80"/>
  <c r="O107" i="80" s="1"/>
  <c r="O96" i="83"/>
  <c r="O184" i="83" s="1"/>
  <c r="O55" i="71" s="1"/>
  <c r="O160" i="71" s="1"/>
  <c r="O90" i="83"/>
  <c r="O161" i="83" s="1"/>
  <c r="O31" i="71" s="1"/>
  <c r="O136" i="71" s="1"/>
  <c r="O78" i="80"/>
  <c r="O90" i="80" s="1"/>
  <c r="O121" i="80"/>
  <c r="O133" i="80" s="1"/>
  <c r="O111" i="83"/>
  <c r="O216" i="83" s="1"/>
  <c r="O88" i="71" s="1"/>
  <c r="O193" i="71" s="1"/>
  <c r="O102" i="83"/>
  <c r="O190" i="83" s="1"/>
  <c r="O61" i="71" s="1"/>
  <c r="O166" i="71" s="1"/>
  <c r="O101" i="80"/>
  <c r="O113" i="80" s="1"/>
  <c r="O75" i="80"/>
  <c r="O87" i="80" s="1"/>
  <c r="O87" i="83"/>
  <c r="O158" i="83" s="1"/>
  <c r="O28" i="71" s="1"/>
  <c r="O133" i="71" s="1"/>
  <c r="O96" i="80"/>
  <c r="O108" i="80" s="1"/>
  <c r="O97" i="83"/>
  <c r="O185" i="83" s="1"/>
  <c r="O56" i="71" s="1"/>
  <c r="O161" i="71" s="1"/>
  <c r="O108" i="83"/>
  <c r="O213" i="83" s="1"/>
  <c r="O85" i="71" s="1"/>
  <c r="O190" i="71" s="1"/>
  <c r="O118" i="80"/>
  <c r="O130" i="80" s="1"/>
  <c r="O84" i="83"/>
  <c r="O155" i="83" s="1"/>
  <c r="O25" i="71" s="1"/>
  <c r="O130" i="71" s="1"/>
  <c r="O72" i="80"/>
  <c r="O84" i="80" s="1"/>
  <c r="O116" i="80"/>
  <c r="O128" i="80" s="1"/>
  <c r="O105" i="83"/>
  <c r="O210" i="83" s="1"/>
  <c r="O82" i="71" s="1"/>
  <c r="O187" i="71" s="1"/>
  <c r="O106" i="83"/>
  <c r="O211" i="83" s="1"/>
  <c r="O83" i="71" s="1"/>
  <c r="O188" i="71" s="1"/>
  <c r="O83" i="83"/>
  <c r="O154" i="83" s="1"/>
  <c r="O24" i="71" s="1"/>
  <c r="O129" i="71" s="1"/>
  <c r="O71" i="80"/>
  <c r="O83" i="80" s="1"/>
  <c r="O99" i="83"/>
  <c r="O187" i="83" s="1"/>
  <c r="O58" i="71" s="1"/>
  <c r="O163" i="71" s="1"/>
  <c r="O98" i="80"/>
  <c r="O110" i="80" s="1"/>
  <c r="O119" i="80"/>
  <c r="O131" i="80" s="1"/>
  <c r="O109" i="83"/>
  <c r="O214" i="83" s="1"/>
  <c r="O86" i="71" s="1"/>
  <c r="O191" i="71" s="1"/>
  <c r="K143" i="80"/>
  <c r="K169" i="80" s="1"/>
  <c r="K270" i="80" s="1"/>
  <c r="K147" i="80"/>
  <c r="K173" i="80" s="1"/>
  <c r="K274" i="80" s="1"/>
  <c r="K22" i="71"/>
  <c r="K127" i="71" s="1"/>
  <c r="K124" i="83"/>
  <c r="K127" i="83"/>
  <c r="K127" i="72" s="1"/>
  <c r="K197" i="72" s="1"/>
  <c r="K227" i="72" s="1"/>
  <c r="K123" i="83"/>
  <c r="K129" i="83"/>
  <c r="K129" i="72" s="1"/>
  <c r="K199" i="72" s="1"/>
  <c r="K229" i="72" s="1"/>
  <c r="K125" i="83"/>
  <c r="K125" i="72" s="1"/>
  <c r="K195" i="72" s="1"/>
  <c r="K225" i="72" s="1"/>
  <c r="K128" i="83"/>
  <c r="K128" i="72" s="1"/>
  <c r="K198" i="72" s="1"/>
  <c r="K228" i="72" s="1"/>
  <c r="K131" i="83"/>
  <c r="K131" i="72" s="1"/>
  <c r="K201" i="72" s="1"/>
  <c r="K231" i="72" s="1"/>
  <c r="K126" i="83"/>
  <c r="K126" i="72" s="1"/>
  <c r="K196" i="72" s="1"/>
  <c r="K226" i="72" s="1"/>
  <c r="K132" i="83"/>
  <c r="K132" i="72" s="1"/>
  <c r="K202" i="72" s="1"/>
  <c r="K232" i="72" s="1"/>
  <c r="K130" i="83"/>
  <c r="K130" i="72" s="1"/>
  <c r="K200" i="72" s="1"/>
  <c r="K230" i="72" s="1"/>
  <c r="N150" i="80"/>
  <c r="P269" i="80"/>
  <c r="P176" i="80" l="1"/>
  <c r="P208" i="80"/>
  <c r="P177" i="80"/>
  <c r="N142" i="80"/>
  <c r="N168" i="80" s="1"/>
  <c r="N149" i="80"/>
  <c r="N175" i="80" s="1"/>
  <c r="N276" i="80" s="1"/>
  <c r="N148" i="80"/>
  <c r="N174" i="80" s="1"/>
  <c r="N275" i="80" s="1"/>
  <c r="K144" i="80"/>
  <c r="K170" i="80" s="1"/>
  <c r="K271" i="80" s="1"/>
  <c r="K149" i="80"/>
  <c r="K175" i="80" s="1"/>
  <c r="K276" i="80" s="1"/>
  <c r="K142" i="80"/>
  <c r="K168" i="80" s="1"/>
  <c r="N145" i="80"/>
  <c r="N171" i="80" s="1"/>
  <c r="N272" i="80" s="1"/>
  <c r="K145" i="80"/>
  <c r="K171" i="80" s="1"/>
  <c r="K272" i="80" s="1"/>
  <c r="K148" i="80"/>
  <c r="K174" i="80" s="1"/>
  <c r="K275" i="80" s="1"/>
  <c r="K150" i="80"/>
  <c r="K208" i="80" s="1"/>
  <c r="O143" i="80"/>
  <c r="O169" i="80" s="1"/>
  <c r="O270" i="80" s="1"/>
  <c r="O144" i="80"/>
  <c r="O170" i="80" s="1"/>
  <c r="O271" i="80" s="1"/>
  <c r="O150" i="80"/>
  <c r="O176" i="80" s="1"/>
  <c r="J75" i="80"/>
  <c r="J87" i="80" s="1"/>
  <c r="J87" i="83"/>
  <c r="J158" i="83" s="1"/>
  <c r="J28" i="71" s="1"/>
  <c r="J133" i="71" s="1"/>
  <c r="J112" i="83"/>
  <c r="J217" i="83" s="1"/>
  <c r="J89" i="71" s="1"/>
  <c r="J194" i="71" s="1"/>
  <c r="J122" i="80"/>
  <c r="J134" i="80" s="1"/>
  <c r="J76" i="80"/>
  <c r="J88" i="80" s="1"/>
  <c r="J88" i="83"/>
  <c r="J159" i="83" s="1"/>
  <c r="J29" i="71" s="1"/>
  <c r="J134" i="71" s="1"/>
  <c r="J102" i="83"/>
  <c r="J190" i="83" s="1"/>
  <c r="J61" i="71" s="1"/>
  <c r="J166" i="71" s="1"/>
  <c r="J101" i="80"/>
  <c r="J113" i="80" s="1"/>
  <c r="J123" i="80"/>
  <c r="J135" i="80" s="1"/>
  <c r="J113" i="83"/>
  <c r="J218" i="83" s="1"/>
  <c r="J90" i="71" s="1"/>
  <c r="J195" i="71" s="1"/>
  <c r="O147" i="80"/>
  <c r="O173" i="80" s="1"/>
  <c r="O274" i="80" s="1"/>
  <c r="O146" i="80"/>
  <c r="O172" i="80" s="1"/>
  <c r="O273" i="80" s="1"/>
  <c r="J93" i="80"/>
  <c r="J105" i="80" s="1"/>
  <c r="J93" i="83"/>
  <c r="J181" i="83" s="1"/>
  <c r="J52" i="71" s="1"/>
  <c r="J157" i="71" s="1"/>
  <c r="J94" i="83"/>
  <c r="J182" i="83" s="1"/>
  <c r="J53" i="71" s="1"/>
  <c r="J158" i="71" s="1"/>
  <c r="J83" i="83"/>
  <c r="J154" i="83" s="1"/>
  <c r="J24" i="71" s="1"/>
  <c r="J129" i="71" s="1"/>
  <c r="J71" i="80"/>
  <c r="J83" i="80" s="1"/>
  <c r="J96" i="83"/>
  <c r="J184" i="83" s="1"/>
  <c r="J55" i="71" s="1"/>
  <c r="J160" i="71" s="1"/>
  <c r="J95" i="80"/>
  <c r="J107" i="80" s="1"/>
  <c r="J95" i="83"/>
  <c r="J183" i="83" s="1"/>
  <c r="J54" i="71" s="1"/>
  <c r="J159" i="71" s="1"/>
  <c r="J94" i="80"/>
  <c r="J106" i="80" s="1"/>
  <c r="J114" i="83"/>
  <c r="J219" i="83" s="1"/>
  <c r="J91" i="71" s="1"/>
  <c r="J196" i="71" s="1"/>
  <c r="J124" i="80"/>
  <c r="J136" i="80" s="1"/>
  <c r="J89" i="83"/>
  <c r="J160" i="83" s="1"/>
  <c r="J30" i="71" s="1"/>
  <c r="J135" i="71" s="1"/>
  <c r="J77" i="80"/>
  <c r="J89" i="80" s="1"/>
  <c r="J111" i="83"/>
  <c r="J216" i="83" s="1"/>
  <c r="J88" i="71" s="1"/>
  <c r="J193" i="71" s="1"/>
  <c r="J121" i="80"/>
  <c r="J133" i="80" s="1"/>
  <c r="J98" i="83"/>
  <c r="J186" i="83" s="1"/>
  <c r="J57" i="71" s="1"/>
  <c r="J162" i="71" s="1"/>
  <c r="J97" i="80"/>
  <c r="J109" i="80" s="1"/>
  <c r="J98" i="80"/>
  <c r="J110" i="80" s="1"/>
  <c r="J99" i="83"/>
  <c r="J187" i="83" s="1"/>
  <c r="J58" i="71" s="1"/>
  <c r="J163" i="71" s="1"/>
  <c r="J100" i="83"/>
  <c r="J188" i="83" s="1"/>
  <c r="J59" i="71" s="1"/>
  <c r="J164" i="71" s="1"/>
  <c r="J99" i="80"/>
  <c r="J111" i="80" s="1"/>
  <c r="J107" i="83"/>
  <c r="J212" i="83" s="1"/>
  <c r="J84" i="71" s="1"/>
  <c r="J189" i="71" s="1"/>
  <c r="J117" i="80"/>
  <c r="J129" i="80" s="1"/>
  <c r="J118" i="80"/>
  <c r="J130" i="80" s="1"/>
  <c r="J108" i="83"/>
  <c r="J213" i="83" s="1"/>
  <c r="J85" i="71" s="1"/>
  <c r="J190" i="71" s="1"/>
  <c r="J119" i="80"/>
  <c r="J131" i="80" s="1"/>
  <c r="J109" i="83"/>
  <c r="J214" i="83" s="1"/>
  <c r="J86" i="71" s="1"/>
  <c r="J191" i="71" s="1"/>
  <c r="J72" i="80"/>
  <c r="J84" i="80" s="1"/>
  <c r="J84" i="83"/>
  <c r="J155" i="83" s="1"/>
  <c r="J25" i="71" s="1"/>
  <c r="J130" i="71" s="1"/>
  <c r="J105" i="83"/>
  <c r="J210" i="83" s="1"/>
  <c r="J82" i="71" s="1"/>
  <c r="J187" i="71" s="1"/>
  <c r="J116" i="80"/>
  <c r="J128" i="80" s="1"/>
  <c r="J106" i="83"/>
  <c r="J211" i="83" s="1"/>
  <c r="J83" i="71" s="1"/>
  <c r="J188" i="71" s="1"/>
  <c r="J110" i="83"/>
  <c r="J215" i="83" s="1"/>
  <c r="J87" i="71" s="1"/>
  <c r="J192" i="71" s="1"/>
  <c r="J120" i="80"/>
  <c r="J132" i="80" s="1"/>
  <c r="J86" i="83"/>
  <c r="J157" i="83" s="1"/>
  <c r="J27" i="71" s="1"/>
  <c r="J132" i="71" s="1"/>
  <c r="J74" i="80"/>
  <c r="J86" i="80" s="1"/>
  <c r="J100" i="80"/>
  <c r="J112" i="80" s="1"/>
  <c r="J101" i="83"/>
  <c r="J189" i="83" s="1"/>
  <c r="J60" i="71" s="1"/>
  <c r="J165" i="71" s="1"/>
  <c r="J82" i="83"/>
  <c r="J153" i="83" s="1"/>
  <c r="J23" i="71" s="1"/>
  <c r="J128" i="71" s="1"/>
  <c r="J81" i="83"/>
  <c r="J152" i="83" s="1"/>
  <c r="J70" i="80"/>
  <c r="J82" i="80" s="1"/>
  <c r="J78" i="80"/>
  <c r="J90" i="80" s="1"/>
  <c r="J90" i="83"/>
  <c r="J161" i="83" s="1"/>
  <c r="J31" i="71" s="1"/>
  <c r="J136" i="71" s="1"/>
  <c r="J73" i="80"/>
  <c r="J85" i="80" s="1"/>
  <c r="J85" i="83"/>
  <c r="J156" i="83" s="1"/>
  <c r="J26" i="71" s="1"/>
  <c r="J131" i="71" s="1"/>
  <c r="J96" i="80"/>
  <c r="J108" i="80" s="1"/>
  <c r="J97" i="83"/>
  <c r="J185" i="83" s="1"/>
  <c r="J56" i="71" s="1"/>
  <c r="J161" i="71" s="1"/>
  <c r="M110" i="83"/>
  <c r="M215" i="83" s="1"/>
  <c r="M87" i="71" s="1"/>
  <c r="M192" i="71" s="1"/>
  <c r="M120" i="80"/>
  <c r="M132" i="80" s="1"/>
  <c r="M111" i="83"/>
  <c r="M216" i="83" s="1"/>
  <c r="M88" i="71" s="1"/>
  <c r="M193" i="71" s="1"/>
  <c r="M121" i="80"/>
  <c r="M133" i="80" s="1"/>
  <c r="M106" i="83"/>
  <c r="M211" i="83" s="1"/>
  <c r="M83" i="71" s="1"/>
  <c r="M188" i="71" s="1"/>
  <c r="M105" i="83"/>
  <c r="M210" i="83" s="1"/>
  <c r="M82" i="71" s="1"/>
  <c r="M187" i="71" s="1"/>
  <c r="M116" i="80"/>
  <c r="M128" i="80" s="1"/>
  <c r="M107" i="83"/>
  <c r="M212" i="83" s="1"/>
  <c r="M84" i="71" s="1"/>
  <c r="M189" i="71" s="1"/>
  <c r="M117" i="80"/>
  <c r="M129" i="80" s="1"/>
  <c r="H306" i="53" a="1"/>
  <c r="H306" i="53" s="1"/>
  <c r="L81" i="83"/>
  <c r="L152" i="83" s="1"/>
  <c r="L70" i="80"/>
  <c r="L82" i="80" s="1"/>
  <c r="L82" i="83"/>
  <c r="L153" i="83" s="1"/>
  <c r="L23" i="71" s="1"/>
  <c r="L128" i="71" s="1"/>
  <c r="L88" i="83"/>
  <c r="L159" i="83" s="1"/>
  <c r="L29" i="71" s="1"/>
  <c r="L134" i="71" s="1"/>
  <c r="L76" i="80"/>
  <c r="L88" i="80" s="1"/>
  <c r="L117" i="80"/>
  <c r="L129" i="80" s="1"/>
  <c r="L107" i="83"/>
  <c r="L212" i="83" s="1"/>
  <c r="L84" i="71" s="1"/>
  <c r="L189" i="71" s="1"/>
  <c r="L100" i="83"/>
  <c r="L188" i="83" s="1"/>
  <c r="L59" i="71" s="1"/>
  <c r="L164" i="71" s="1"/>
  <c r="L99" i="80"/>
  <c r="L111" i="80" s="1"/>
  <c r="M74" i="80"/>
  <c r="M86" i="80" s="1"/>
  <c r="M86" i="83"/>
  <c r="M157" i="83" s="1"/>
  <c r="M27" i="71" s="1"/>
  <c r="M132" i="71" s="1"/>
  <c r="M90" i="83"/>
  <c r="M161" i="83" s="1"/>
  <c r="M31" i="71" s="1"/>
  <c r="M136" i="71" s="1"/>
  <c r="M78" i="80"/>
  <c r="M90" i="80" s="1"/>
  <c r="M85" i="83"/>
  <c r="M156" i="83" s="1"/>
  <c r="M26" i="71" s="1"/>
  <c r="M131" i="71" s="1"/>
  <c r="M73" i="80"/>
  <c r="M85" i="80" s="1"/>
  <c r="M89" i="83"/>
  <c r="M160" i="83" s="1"/>
  <c r="M30" i="71" s="1"/>
  <c r="M135" i="71" s="1"/>
  <c r="M77" i="80"/>
  <c r="M89" i="80" s="1"/>
  <c r="L96" i="83"/>
  <c r="L184" i="83" s="1"/>
  <c r="L55" i="71" s="1"/>
  <c r="L160" i="71" s="1"/>
  <c r="L95" i="80"/>
  <c r="L107" i="80" s="1"/>
  <c r="L98" i="80"/>
  <c r="L110" i="80" s="1"/>
  <c r="L99" i="83"/>
  <c r="L187" i="83" s="1"/>
  <c r="L58" i="71" s="1"/>
  <c r="L163" i="71" s="1"/>
  <c r="L96" i="80"/>
  <c r="L108" i="80" s="1"/>
  <c r="L97" i="83"/>
  <c r="L185" i="83" s="1"/>
  <c r="L56" i="71" s="1"/>
  <c r="L161" i="71" s="1"/>
  <c r="L87" i="83"/>
  <c r="L158" i="83" s="1"/>
  <c r="L28" i="71" s="1"/>
  <c r="L133" i="71" s="1"/>
  <c r="L75" i="80"/>
  <c r="L87" i="80" s="1"/>
  <c r="O145" i="80"/>
  <c r="O171" i="80" s="1"/>
  <c r="O272" i="80" s="1"/>
  <c r="O148" i="80"/>
  <c r="O174" i="80" s="1"/>
  <c r="O275" i="80" s="1"/>
  <c r="M98" i="83"/>
  <c r="M186" i="83" s="1"/>
  <c r="M57" i="71" s="1"/>
  <c r="M162" i="71" s="1"/>
  <c r="M97" i="80"/>
  <c r="M109" i="80" s="1"/>
  <c r="M95" i="80"/>
  <c r="M107" i="80" s="1"/>
  <c r="M96" i="83"/>
  <c r="M184" i="83" s="1"/>
  <c r="M55" i="71" s="1"/>
  <c r="M160" i="71" s="1"/>
  <c r="M114" i="83"/>
  <c r="M219" i="83" s="1"/>
  <c r="M91" i="71" s="1"/>
  <c r="M196" i="71" s="1"/>
  <c r="M124" i="80"/>
  <c r="M136" i="80" s="1"/>
  <c r="M75" i="80"/>
  <c r="M87" i="80" s="1"/>
  <c r="M87" i="83"/>
  <c r="M158" i="83" s="1"/>
  <c r="M28" i="71" s="1"/>
  <c r="M133" i="71" s="1"/>
  <c r="L89" i="83"/>
  <c r="L160" i="83" s="1"/>
  <c r="L30" i="71" s="1"/>
  <c r="L135" i="71" s="1"/>
  <c r="L77" i="80"/>
  <c r="L89" i="80" s="1"/>
  <c r="L84" i="83"/>
  <c r="L155" i="83" s="1"/>
  <c r="L25" i="71" s="1"/>
  <c r="L130" i="71" s="1"/>
  <c r="L72" i="80"/>
  <c r="L84" i="80" s="1"/>
  <c r="L93" i="83"/>
  <c r="L181" i="83" s="1"/>
  <c r="L52" i="71" s="1"/>
  <c r="L157" i="71" s="1"/>
  <c r="L94" i="83"/>
  <c r="L182" i="83" s="1"/>
  <c r="L53" i="71" s="1"/>
  <c r="L158" i="71" s="1"/>
  <c r="L93" i="80"/>
  <c r="L105" i="80" s="1"/>
  <c r="L121" i="80"/>
  <c r="L133" i="80" s="1"/>
  <c r="L111" i="83"/>
  <c r="L216" i="83" s="1"/>
  <c r="L88" i="71" s="1"/>
  <c r="L193" i="71" s="1"/>
  <c r="M99" i="83"/>
  <c r="M187" i="83" s="1"/>
  <c r="M58" i="71" s="1"/>
  <c r="M163" i="71" s="1"/>
  <c r="M98" i="80"/>
  <c r="M110" i="80" s="1"/>
  <c r="M101" i="83"/>
  <c r="M189" i="83" s="1"/>
  <c r="M60" i="71" s="1"/>
  <c r="M165" i="71" s="1"/>
  <c r="M100" i="80"/>
  <c r="M112" i="80" s="1"/>
  <c r="M76" i="80"/>
  <c r="M88" i="80" s="1"/>
  <c r="M88" i="83"/>
  <c r="M159" i="83" s="1"/>
  <c r="M29" i="71" s="1"/>
  <c r="M134" i="71" s="1"/>
  <c r="M112" i="83"/>
  <c r="M217" i="83" s="1"/>
  <c r="M89" i="71" s="1"/>
  <c r="M194" i="71" s="1"/>
  <c r="M122" i="80"/>
  <c r="M134" i="80" s="1"/>
  <c r="M118" i="80"/>
  <c r="M130" i="80" s="1"/>
  <c r="M108" i="83"/>
  <c r="M213" i="83" s="1"/>
  <c r="M85" i="71" s="1"/>
  <c r="M190" i="71" s="1"/>
  <c r="L119" i="80"/>
  <c r="L131" i="80" s="1"/>
  <c r="L109" i="83"/>
  <c r="L214" i="83" s="1"/>
  <c r="L86" i="71" s="1"/>
  <c r="L191" i="71" s="1"/>
  <c r="L74" i="80"/>
  <c r="L86" i="80" s="1"/>
  <c r="L86" i="83"/>
  <c r="L157" i="83" s="1"/>
  <c r="L27" i="71" s="1"/>
  <c r="L132" i="71" s="1"/>
  <c r="L90" i="83"/>
  <c r="L161" i="83" s="1"/>
  <c r="L31" i="71" s="1"/>
  <c r="L136" i="71" s="1"/>
  <c r="L78" i="80"/>
  <c r="L90" i="80" s="1"/>
  <c r="L112" i="83"/>
  <c r="L217" i="83" s="1"/>
  <c r="L89" i="71" s="1"/>
  <c r="L194" i="71" s="1"/>
  <c r="L122" i="80"/>
  <c r="L134" i="80" s="1"/>
  <c r="L123" i="80"/>
  <c r="L135" i="80" s="1"/>
  <c r="L113" i="83"/>
  <c r="L218" i="83" s="1"/>
  <c r="L90" i="71" s="1"/>
  <c r="L195" i="71" s="1"/>
  <c r="O149" i="80"/>
  <c r="O175" i="80" s="1"/>
  <c r="O276" i="80" s="1"/>
  <c r="O142" i="80"/>
  <c r="O168" i="80" s="1"/>
  <c r="O269" i="80" s="1"/>
  <c r="M93" i="83"/>
  <c r="M181" i="83" s="1"/>
  <c r="M52" i="71" s="1"/>
  <c r="M157" i="71" s="1"/>
  <c r="M94" i="83"/>
  <c r="M182" i="83" s="1"/>
  <c r="M53" i="71" s="1"/>
  <c r="M158" i="71" s="1"/>
  <c r="M93" i="80"/>
  <c r="M105" i="80" s="1"/>
  <c r="M83" i="83"/>
  <c r="M154" i="83" s="1"/>
  <c r="M24" i="71" s="1"/>
  <c r="M129" i="71" s="1"/>
  <c r="M71" i="80"/>
  <c r="M83" i="80" s="1"/>
  <c r="M84" i="83"/>
  <c r="M155" i="83" s="1"/>
  <c r="M25" i="71" s="1"/>
  <c r="M130" i="71" s="1"/>
  <c r="M72" i="80"/>
  <c r="M84" i="80" s="1"/>
  <c r="M101" i="80"/>
  <c r="M113" i="80" s="1"/>
  <c r="M102" i="83"/>
  <c r="M190" i="83" s="1"/>
  <c r="M61" i="71" s="1"/>
  <c r="M166" i="71" s="1"/>
  <c r="M100" i="83"/>
  <c r="M188" i="83" s="1"/>
  <c r="M59" i="71" s="1"/>
  <c r="M164" i="71" s="1"/>
  <c r="M99" i="80"/>
  <c r="M111" i="80" s="1"/>
  <c r="L110" i="83"/>
  <c r="L215" i="83" s="1"/>
  <c r="L87" i="71" s="1"/>
  <c r="L192" i="71" s="1"/>
  <c r="L120" i="80"/>
  <c r="L132" i="80" s="1"/>
  <c r="L114" i="83"/>
  <c r="L219" i="83" s="1"/>
  <c r="L91" i="71" s="1"/>
  <c r="L196" i="71" s="1"/>
  <c r="L124" i="80"/>
  <c r="L136" i="80" s="1"/>
  <c r="L101" i="80"/>
  <c r="L113" i="80" s="1"/>
  <c r="L102" i="83"/>
  <c r="L190" i="83" s="1"/>
  <c r="L61" i="71" s="1"/>
  <c r="L166" i="71" s="1"/>
  <c r="L98" i="83"/>
  <c r="L186" i="83" s="1"/>
  <c r="L57" i="71" s="1"/>
  <c r="L162" i="71" s="1"/>
  <c r="L97" i="80"/>
  <c r="L109" i="80" s="1"/>
  <c r="L95" i="83"/>
  <c r="L183" i="83" s="1"/>
  <c r="L54" i="71" s="1"/>
  <c r="L159" i="71" s="1"/>
  <c r="L94" i="80"/>
  <c r="L106" i="80" s="1"/>
  <c r="O22" i="71"/>
  <c r="O127" i="71" s="1"/>
  <c r="M94" i="80"/>
  <c r="M106" i="80" s="1"/>
  <c r="M95" i="83"/>
  <c r="M183" i="83" s="1"/>
  <c r="M54" i="71" s="1"/>
  <c r="M159" i="71" s="1"/>
  <c r="M96" i="80"/>
  <c r="M108" i="80" s="1"/>
  <c r="M97" i="83"/>
  <c r="M185" i="83" s="1"/>
  <c r="M56" i="71" s="1"/>
  <c r="M161" i="71" s="1"/>
  <c r="M81" i="83"/>
  <c r="M152" i="83" s="1"/>
  <c r="M70" i="80"/>
  <c r="M82" i="80" s="1"/>
  <c r="M82" i="83"/>
  <c r="M153" i="83" s="1"/>
  <c r="M23" i="71" s="1"/>
  <c r="M128" i="71" s="1"/>
  <c r="M109" i="83"/>
  <c r="M214" i="83" s="1"/>
  <c r="M86" i="71" s="1"/>
  <c r="M191" i="71" s="1"/>
  <c r="M119" i="80"/>
  <c r="M131" i="80" s="1"/>
  <c r="M123" i="80"/>
  <c r="M135" i="80" s="1"/>
  <c r="M113" i="83"/>
  <c r="M218" i="83" s="1"/>
  <c r="M90" i="71" s="1"/>
  <c r="M195" i="71" s="1"/>
  <c r="L116" i="80"/>
  <c r="L128" i="80" s="1"/>
  <c r="L106" i="83"/>
  <c r="L211" i="83" s="1"/>
  <c r="L83" i="71" s="1"/>
  <c r="L188" i="71" s="1"/>
  <c r="L105" i="83"/>
  <c r="L210" i="83" s="1"/>
  <c r="L82" i="71" s="1"/>
  <c r="L187" i="71" s="1"/>
  <c r="L101" i="83"/>
  <c r="L189" i="83" s="1"/>
  <c r="L60" i="71" s="1"/>
  <c r="L165" i="71" s="1"/>
  <c r="L100" i="80"/>
  <c r="L112" i="80" s="1"/>
  <c r="L108" i="83"/>
  <c r="L213" i="83" s="1"/>
  <c r="L85" i="71" s="1"/>
  <c r="L190" i="71" s="1"/>
  <c r="L118" i="80"/>
  <c r="L130" i="80" s="1"/>
  <c r="L71" i="80"/>
  <c r="L83" i="80" s="1"/>
  <c r="L83" i="83"/>
  <c r="L154" i="83" s="1"/>
  <c r="L24" i="71" s="1"/>
  <c r="L129" i="71" s="1"/>
  <c r="L85" i="83"/>
  <c r="L156" i="83" s="1"/>
  <c r="L26" i="71" s="1"/>
  <c r="L131" i="71" s="1"/>
  <c r="L73" i="80"/>
  <c r="L85" i="80" s="1"/>
  <c r="N208" i="80"/>
  <c r="N176" i="80"/>
  <c r="N177" i="80" l="1"/>
  <c r="N269" i="80"/>
  <c r="K269" i="80"/>
  <c r="K176" i="80"/>
  <c r="K177" i="80" s="1"/>
  <c r="O208" i="80"/>
  <c r="J150" i="80"/>
  <c r="J208" i="80" s="1"/>
  <c r="M142" i="80"/>
  <c r="M168" i="80" s="1"/>
  <c r="M269" i="80" s="1"/>
  <c r="J142" i="80"/>
  <c r="J144" i="80"/>
  <c r="J143" i="80"/>
  <c r="J148" i="80"/>
  <c r="J145" i="80"/>
  <c r="J22" i="71"/>
  <c r="J127" i="71" s="1"/>
  <c r="J149" i="80"/>
  <c r="J147" i="80"/>
  <c r="J146" i="80"/>
  <c r="M149" i="80"/>
  <c r="M175" i="80" s="1"/>
  <c r="M276" i="80" s="1"/>
  <c r="L145" i="80"/>
  <c r="L171" i="80" s="1"/>
  <c r="L272" i="80" s="1"/>
  <c r="M148" i="80"/>
  <c r="M174" i="80" s="1"/>
  <c r="M275" i="80" s="1"/>
  <c r="L149" i="80"/>
  <c r="L175" i="80" s="1"/>
  <c r="L276" i="80" s="1"/>
  <c r="L147" i="80"/>
  <c r="L173" i="80" s="1"/>
  <c r="L274" i="80" s="1"/>
  <c r="M150" i="80"/>
  <c r="L142" i="80"/>
  <c r="L168" i="80" s="1"/>
  <c r="L269" i="80" s="1"/>
  <c r="L143" i="80"/>
  <c r="L169" i="80" s="1"/>
  <c r="L270" i="80" s="1"/>
  <c r="M143" i="80"/>
  <c r="M169" i="80" s="1"/>
  <c r="M270" i="80" s="1"/>
  <c r="L150" i="80"/>
  <c r="L22" i="71"/>
  <c r="L127" i="71" s="1"/>
  <c r="J49" i="55"/>
  <c r="A4" i="53"/>
  <c r="M22" i="71"/>
  <c r="M127" i="71" s="1"/>
  <c r="M147" i="80"/>
  <c r="M173" i="80" s="1"/>
  <c r="M274" i="80" s="1"/>
  <c r="M146" i="80"/>
  <c r="M172" i="80" s="1"/>
  <c r="M273" i="80" s="1"/>
  <c r="L148" i="80"/>
  <c r="L174" i="80" s="1"/>
  <c r="L275" i="80" s="1"/>
  <c r="L146" i="80"/>
  <c r="L172" i="80" s="1"/>
  <c r="L273" i="80" s="1"/>
  <c r="L144" i="80"/>
  <c r="L170" i="80" s="1"/>
  <c r="L271" i="80" s="1"/>
  <c r="M145" i="80"/>
  <c r="M171" i="80" s="1"/>
  <c r="M272" i="80" s="1"/>
  <c r="O177" i="80"/>
  <c r="M144" i="80"/>
  <c r="M170" i="80" s="1"/>
  <c r="M271" i="80" s="1"/>
  <c r="Q188" i="105"/>
  <c r="Q199" i="105"/>
  <c r="P260" i="80"/>
  <c r="N260" i="80"/>
  <c r="O260" i="80"/>
  <c r="H162" i="80" l="1"/>
  <c r="J176" i="80"/>
  <c r="H156" i="80"/>
  <c r="J170" i="80"/>
  <c r="J271" i="80" s="1"/>
  <c r="H271" i="80" s="1"/>
  <c r="J168" i="80"/>
  <c r="H154" i="80"/>
  <c r="H158" i="80"/>
  <c r="J172" i="80"/>
  <c r="J273" i="80" s="1"/>
  <c r="H273" i="80" s="1"/>
  <c r="J173" i="80"/>
  <c r="J274" i="80" s="1"/>
  <c r="H274" i="80" s="1"/>
  <c r="H159" i="80"/>
  <c r="J171" i="80"/>
  <c r="J272" i="80" s="1"/>
  <c r="H272" i="80" s="1"/>
  <c r="H157" i="80"/>
  <c r="J175" i="80"/>
  <c r="J276" i="80" s="1"/>
  <c r="H276" i="80" s="1"/>
  <c r="H161" i="80"/>
  <c r="H160" i="80"/>
  <c r="J174" i="80"/>
  <c r="J275" i="80" s="1"/>
  <c r="H275" i="80" s="1"/>
  <c r="J169" i="80"/>
  <c r="J270" i="80" s="1"/>
  <c r="H270" i="80" s="1"/>
  <c r="H155" i="80"/>
  <c r="L176" i="80"/>
  <c r="L177" i="80" s="1"/>
  <c r="L208" i="80"/>
  <c r="M208" i="80"/>
  <c r="M176" i="80"/>
  <c r="M177" i="80" s="1"/>
  <c r="K199" i="105"/>
  <c r="K188" i="105"/>
  <c r="H210" i="80" l="1"/>
  <c r="H234" i="80" s="1"/>
  <c r="S260" i="80" s="1"/>
  <c r="J57" i="82" a="1"/>
  <c r="J57" i="82" s="1"/>
  <c r="J269" i="80"/>
  <c r="H269" i="80" s="1"/>
  <c r="J177" i="80"/>
  <c r="P247" i="80" l="1"/>
  <c r="P277" i="80" s="1"/>
  <c r="U260" i="80"/>
  <c r="X260" i="80"/>
  <c r="Q247" i="80"/>
  <c r="Y260" i="80"/>
  <c r="T260" i="80"/>
  <c r="W260" i="80"/>
  <c r="R260" i="80"/>
  <c r="M247" i="80"/>
  <c r="M277" i="80" s="1"/>
  <c r="S247" i="80"/>
  <c r="S277" i="80" s="1"/>
  <c r="X247" i="80"/>
  <c r="U247" i="80"/>
  <c r="K247" i="80"/>
  <c r="K277" i="80" s="1"/>
  <c r="W247" i="80"/>
  <c r="T247" i="80"/>
  <c r="O247" i="80"/>
  <c r="O277" i="80" s="1"/>
  <c r="J247" i="80"/>
  <c r="H32" i="73"/>
  <c r="L260" i="80"/>
  <c r="L247" i="80"/>
  <c r="N247" i="80"/>
  <c r="N277" i="80" s="1"/>
  <c r="V260" i="80"/>
  <c r="V247" i="80"/>
  <c r="Q260" i="80"/>
  <c r="Y247" i="80"/>
  <c r="R247" i="80"/>
  <c r="J260" i="80"/>
  <c r="L57" i="82"/>
  <c r="K57" i="82"/>
  <c r="M57" i="82"/>
  <c r="O57" i="82"/>
  <c r="N57" i="82"/>
  <c r="X277" i="80" l="1"/>
  <c r="R277" i="80"/>
  <c r="U277" i="80"/>
  <c r="Y277" i="80"/>
  <c r="T277" i="80"/>
  <c r="W277" i="80"/>
  <c r="Q277" i="80"/>
  <c r="J277" i="80"/>
  <c r="L277" i="80"/>
  <c r="J141" i="73"/>
  <c r="O171" i="73"/>
  <c r="O231" i="73" s="1"/>
  <c r="K141" i="73"/>
  <c r="P171" i="73"/>
  <c r="P231" i="73" s="1"/>
  <c r="K171" i="73"/>
  <c r="K231" i="73" s="1"/>
  <c r="O141" i="73"/>
  <c r="Q141" i="73"/>
  <c r="M171" i="73"/>
  <c r="M231" i="73" s="1"/>
  <c r="N171" i="73"/>
  <c r="N231" i="73" s="1"/>
  <c r="M141" i="73"/>
  <c r="J171" i="73"/>
  <c r="J231" i="73" s="1"/>
  <c r="L171" i="73"/>
  <c r="L231" i="73" s="1"/>
  <c r="N141" i="73"/>
  <c r="Q171" i="73"/>
  <c r="Q231" i="73" s="1"/>
  <c r="P141" i="73"/>
  <c r="L141" i="73"/>
  <c r="V277" i="80"/>
  <c r="H277" i="80" l="1"/>
  <c r="K64" i="81" s="1" a="1"/>
  <c r="R64" i="81" s="1"/>
  <c r="R67" i="81" s="1"/>
  <c r="R73" i="81" s="1"/>
  <c r="R76" i="81" s="1"/>
  <c r="R108" i="81" s="1"/>
  <c r="Q58" i="82" s="1"/>
  <c r="H281" i="80" a="1"/>
  <c r="H281" i="80" s="1"/>
  <c r="J50" i="55" s="1"/>
  <c r="O201" i="73"/>
  <c r="O271" i="73"/>
  <c r="O34" i="74" s="1"/>
  <c r="O79" i="74" s="1"/>
  <c r="N201" i="73"/>
  <c r="N271" i="73"/>
  <c r="N34" i="74" s="1"/>
  <c r="N79" i="74" s="1"/>
  <c r="Q271" i="73"/>
  <c r="Q34" i="74" s="1"/>
  <c r="Q79" i="74" s="1"/>
  <c r="Q201" i="73"/>
  <c r="L271" i="73"/>
  <c r="L34" i="74" s="1"/>
  <c r="L79" i="74" s="1"/>
  <c r="L201" i="73"/>
  <c r="M201" i="73"/>
  <c r="M271" i="73"/>
  <c r="M34" i="74" s="1"/>
  <c r="M79" i="74" s="1"/>
  <c r="J271" i="73"/>
  <c r="J34" i="74" s="1"/>
  <c r="J79" i="74" s="1"/>
  <c r="J201" i="73"/>
  <c r="P271" i="73"/>
  <c r="P34" i="74" s="1"/>
  <c r="P79" i="74" s="1"/>
  <c r="P201" i="73"/>
  <c r="K271" i="73"/>
  <c r="K34" i="74" s="1"/>
  <c r="K79" i="74" s="1"/>
  <c r="K201" i="73"/>
  <c r="Q197" i="105"/>
  <c r="Q186" i="105"/>
  <c r="Q187" i="105"/>
  <c r="Q198" i="105"/>
  <c r="K197" i="105"/>
  <c r="K187" i="105"/>
  <c r="K186" i="105"/>
  <c r="K198" i="105"/>
  <c r="N64" i="81" l="1"/>
  <c r="N67" i="81" s="1"/>
  <c r="N73" i="81" s="1"/>
  <c r="N76" i="81" s="1"/>
  <c r="N108" i="81" s="1"/>
  <c r="M58" i="82" s="1"/>
  <c r="S109" i="74"/>
  <c r="S141" i="74" s="1"/>
  <c r="T109" i="74"/>
  <c r="T141" i="74" s="1"/>
  <c r="Y109" i="74"/>
  <c r="Y141" i="74" s="1"/>
  <c r="M109" i="74"/>
  <c r="M141" i="74" s="1"/>
  <c r="N109" i="74"/>
  <c r="N141" i="74" s="1"/>
  <c r="X109" i="74"/>
  <c r="X141" i="74" s="1"/>
  <c r="W109" i="74"/>
  <c r="W141" i="74" s="1"/>
  <c r="V109" i="74"/>
  <c r="V141" i="74" s="1"/>
  <c r="K109" i="74"/>
  <c r="K141" i="74" s="1"/>
  <c r="R109" i="74"/>
  <c r="R141" i="74" s="1"/>
  <c r="U109" i="74"/>
  <c r="U141" i="74" s="1"/>
  <c r="P109" i="74"/>
  <c r="P141" i="74" s="1"/>
  <c r="Q109" i="74"/>
  <c r="Q141" i="74" s="1"/>
  <c r="O109" i="74"/>
  <c r="O141" i="74" s="1"/>
  <c r="M64" i="81"/>
  <c r="M67" i="81" s="1"/>
  <c r="M73" i="81" s="1"/>
  <c r="M76" i="81" s="1"/>
  <c r="M108" i="81" s="1"/>
  <c r="L58" i="82" s="1"/>
  <c r="L64" i="81"/>
  <c r="L67" i="81" s="1"/>
  <c r="L73" i="81" s="1"/>
  <c r="L76" i="81" s="1"/>
  <c r="L108" i="81" s="1"/>
  <c r="K58" i="82" s="1"/>
  <c r="A4" i="80"/>
  <c r="Q64" i="81"/>
  <c r="Q67" i="81" s="1"/>
  <c r="Q73" i="81" s="1"/>
  <c r="Q76" i="81" s="1"/>
  <c r="Q108" i="81" s="1"/>
  <c r="P58" i="82" s="1"/>
  <c r="P64" i="81"/>
  <c r="P67" i="81" s="1"/>
  <c r="P73" i="81" s="1"/>
  <c r="P76" i="81" s="1"/>
  <c r="P108" i="81" s="1"/>
  <c r="O58" i="82" s="1"/>
  <c r="K64" i="81"/>
  <c r="K67" i="81" s="1"/>
  <c r="S64" i="81"/>
  <c r="S67" i="81" s="1"/>
  <c r="S73" i="81" s="1"/>
  <c r="S76" i="81" s="1"/>
  <c r="S108" i="81" s="1"/>
  <c r="R58" i="82" s="1"/>
  <c r="O64" i="81"/>
  <c r="O67" i="81" s="1"/>
  <c r="O73" i="81" s="1"/>
  <c r="O76" i="81" s="1"/>
  <c r="O108" i="81" s="1"/>
  <c r="N58" i="82" s="1"/>
  <c r="L109" i="74"/>
  <c r="L141" i="74" s="1"/>
  <c r="J109" i="74"/>
  <c r="J141" i="74" s="1"/>
  <c r="S78" i="81" l="1"/>
  <c r="S97" i="81" s="1"/>
  <c r="S100" i="81" s="1"/>
  <c r="S115" i="81" s="1"/>
  <c r="H19" i="82" a="1"/>
  <c r="H23" i="82" s="1"/>
  <c r="M78" i="81"/>
  <c r="M97" i="81" s="1"/>
  <c r="M100" i="81" s="1"/>
  <c r="M115" i="81" s="1"/>
  <c r="T78" i="81"/>
  <c r="T97" i="81" s="1"/>
  <c r="U78" i="81"/>
  <c r="U97" i="81" s="1"/>
  <c r="L78" i="81"/>
  <c r="L97" i="81" s="1"/>
  <c r="L100" i="81" s="1"/>
  <c r="L115" i="81" s="1"/>
  <c r="N78" i="81"/>
  <c r="N97" i="81" s="1"/>
  <c r="N100" i="81" s="1"/>
  <c r="N115" i="81" s="1"/>
  <c r="H123" i="81"/>
  <c r="H21" i="76" s="1"/>
  <c r="H35" i="76" s="1"/>
  <c r="J42" i="76" s="1"/>
  <c r="J55" i="74" s="1"/>
  <c r="J156" i="74" s="1"/>
  <c r="P78" i="81"/>
  <c r="P97" i="81" s="1"/>
  <c r="P100" i="81" s="1"/>
  <c r="P115" i="81" s="1"/>
  <c r="Q78" i="81"/>
  <c r="Q97" i="81" s="1"/>
  <c r="Q100" i="81" s="1"/>
  <c r="Q115" i="81" s="1"/>
  <c r="O78" i="81"/>
  <c r="O97" i="81" s="1"/>
  <c r="O100" i="81" s="1"/>
  <c r="O115" i="81" s="1"/>
  <c r="J65" i="81"/>
  <c r="J67" i="81" s="1"/>
  <c r="J100" i="81" s="1"/>
  <c r="J115" i="81" s="1"/>
  <c r="R78" i="81"/>
  <c r="R97" i="81" s="1"/>
  <c r="R100" i="81" s="1"/>
  <c r="R115" i="81" s="1"/>
  <c r="K78" i="81"/>
  <c r="K97" i="81" s="1"/>
  <c r="K100" i="81" s="1"/>
  <c r="K115" i="81" s="1"/>
  <c r="H21" i="82" l="1"/>
  <c r="P42" i="76"/>
  <c r="P55" i="74" s="1"/>
  <c r="P156" i="74" s="1"/>
  <c r="M42" i="76"/>
  <c r="M55" i="74" s="1"/>
  <c r="M156" i="74" s="1"/>
  <c r="L43" i="76"/>
  <c r="L56" i="74" s="1"/>
  <c r="L157" i="74" s="1"/>
  <c r="H19" i="82"/>
  <c r="H22" i="82"/>
  <c r="T43" i="76"/>
  <c r="T56" i="74" s="1"/>
  <c r="T157" i="74" s="1"/>
  <c r="J43" i="76"/>
  <c r="J56" i="74" s="1"/>
  <c r="J157" i="74" s="1"/>
  <c r="L42" i="76"/>
  <c r="L55" i="74" s="1"/>
  <c r="L156" i="74" s="1"/>
  <c r="H20" i="82"/>
  <c r="N43" i="76"/>
  <c r="N56" i="74" s="1"/>
  <c r="N157" i="74" s="1"/>
  <c r="W42" i="76"/>
  <c r="W55" i="74" s="1"/>
  <c r="W156" i="74" s="1"/>
  <c r="P43" i="76"/>
  <c r="P56" i="74" s="1"/>
  <c r="P157" i="74" s="1"/>
  <c r="W43" i="76"/>
  <c r="W56" i="74" s="1"/>
  <c r="W157" i="74" s="1"/>
  <c r="Q43" i="76"/>
  <c r="K42" i="76"/>
  <c r="K55" i="74" s="1"/>
  <c r="K156" i="74" s="1"/>
  <c r="Y43" i="76"/>
  <c r="Y56" i="74" s="1"/>
  <c r="Y157" i="74" s="1"/>
  <c r="O42" i="76"/>
  <c r="O55" i="74" s="1"/>
  <c r="O156" i="74" s="1"/>
  <c r="K43" i="76"/>
  <c r="K56" i="74" s="1"/>
  <c r="K157" i="74" s="1"/>
  <c r="M43" i="76"/>
  <c r="M56" i="74" s="1"/>
  <c r="M157" i="74" s="1"/>
  <c r="O43" i="76"/>
  <c r="O56" i="74" s="1"/>
  <c r="O157" i="74" s="1"/>
  <c r="Q44" i="76"/>
  <c r="Q46" i="71" s="1"/>
  <c r="Q151" i="71" s="1"/>
  <c r="N42" i="76"/>
  <c r="N55" i="74" s="1"/>
  <c r="N156" i="74" s="1"/>
  <c r="X43" i="76"/>
  <c r="X56" i="74" s="1"/>
  <c r="X157" i="74" s="1"/>
  <c r="R43" i="76"/>
  <c r="R56" i="74" s="1"/>
  <c r="R157" i="74" s="1"/>
  <c r="U42" i="76"/>
  <c r="U55" i="74" s="1"/>
  <c r="U156" i="74" s="1"/>
  <c r="R42" i="76"/>
  <c r="R55" i="74" s="1"/>
  <c r="R156" i="74" s="1"/>
  <c r="Q42" i="76"/>
  <c r="U43" i="76"/>
  <c r="U56" i="74" s="1"/>
  <c r="U157" i="74" s="1"/>
  <c r="S43" i="76"/>
  <c r="S56" i="74" s="1"/>
  <c r="S157" i="74" s="1"/>
  <c r="Y42" i="76"/>
  <c r="Y55" i="74" s="1"/>
  <c r="Y156" i="74" s="1"/>
  <c r="S42" i="76"/>
  <c r="S55" i="74" s="1"/>
  <c r="S156" i="74" s="1"/>
  <c r="V42" i="76"/>
  <c r="V55" i="74" s="1"/>
  <c r="V156" i="74" s="1"/>
  <c r="T42" i="76"/>
  <c r="T55" i="74" s="1"/>
  <c r="T156" i="74" s="1"/>
  <c r="X42" i="76"/>
  <c r="X55" i="74" s="1"/>
  <c r="X156" i="74" s="1"/>
  <c r="V43" i="76"/>
  <c r="V56" i="74" s="1"/>
  <c r="V157" i="74" s="1"/>
  <c r="H127" i="81" a="1"/>
  <c r="H127" i="81" s="1"/>
  <c r="H131" i="81" s="1"/>
  <c r="J52" i="55" s="1"/>
  <c r="H65" i="73" a="1"/>
  <c r="H63" i="72" a="1"/>
  <c r="H30" i="83" a="1"/>
  <c r="Q76" i="71" l="1"/>
  <c r="Q181" i="71" s="1"/>
  <c r="Q106" i="71"/>
  <c r="Q211" i="71" s="1"/>
  <c r="H48" i="76" a="1"/>
  <c r="H48" i="76" s="1"/>
  <c r="J54" i="55" s="1"/>
  <c r="A4" i="81"/>
  <c r="H31" i="83"/>
  <c r="H30" i="83"/>
  <c r="H34" i="83"/>
  <c r="H37" i="83"/>
  <c r="H33" i="83"/>
  <c r="H39" i="83"/>
  <c r="H38" i="83"/>
  <c r="H36" i="83"/>
  <c r="H32" i="83"/>
  <c r="H35" i="83"/>
  <c r="H72" i="72"/>
  <c r="H69" i="72"/>
  <c r="H65" i="72"/>
  <c r="H66" i="72"/>
  <c r="H70" i="72"/>
  <c r="H71" i="72"/>
  <c r="H68" i="72"/>
  <c r="H64" i="72"/>
  <c r="H67" i="72"/>
  <c r="H63" i="72"/>
  <c r="H72" i="73"/>
  <c r="H66" i="73"/>
  <c r="H70" i="73"/>
  <c r="H74" i="73"/>
  <c r="H68" i="73"/>
  <c r="H69" i="73"/>
  <c r="H67" i="73"/>
  <c r="H71" i="73"/>
  <c r="H73" i="73"/>
  <c r="H65" i="73"/>
  <c r="A4" i="76" l="1"/>
  <c r="O152" i="73"/>
  <c r="N152" i="73"/>
  <c r="Q152" i="73"/>
  <c r="K182" i="73"/>
  <c r="K242" i="73" s="1"/>
  <c r="N182" i="73"/>
  <c r="N242" i="73" s="1"/>
  <c r="Q182" i="73"/>
  <c r="Q242" i="73" s="1"/>
  <c r="O182" i="73"/>
  <c r="O242" i="73" s="1"/>
  <c r="P182" i="73"/>
  <c r="P242" i="73" s="1"/>
  <c r="M182" i="73"/>
  <c r="M242" i="73" s="1"/>
  <c r="L152" i="73"/>
  <c r="J152" i="73"/>
  <c r="K152" i="73"/>
  <c r="M152" i="73"/>
  <c r="J182" i="73"/>
  <c r="J242" i="73" s="1"/>
  <c r="L182" i="73"/>
  <c r="L242" i="73" s="1"/>
  <c r="P152" i="73"/>
  <c r="K147" i="73"/>
  <c r="J147" i="73"/>
  <c r="P147" i="73"/>
  <c r="M147" i="73"/>
  <c r="J177" i="73"/>
  <c r="J237" i="73" s="1"/>
  <c r="L177" i="73"/>
  <c r="L237" i="73" s="1"/>
  <c r="O147" i="73"/>
  <c r="M177" i="73"/>
  <c r="M237" i="73" s="1"/>
  <c r="Q177" i="73"/>
  <c r="Q237" i="73" s="1"/>
  <c r="P177" i="73"/>
  <c r="P237" i="73" s="1"/>
  <c r="Q147" i="73"/>
  <c r="N147" i="73"/>
  <c r="N177" i="73"/>
  <c r="N237" i="73" s="1"/>
  <c r="K177" i="73"/>
  <c r="K237" i="73" s="1"/>
  <c r="O177" i="73"/>
  <c r="O237" i="73" s="1"/>
  <c r="L147" i="73"/>
  <c r="T180" i="72"/>
  <c r="T215" i="72" s="1"/>
  <c r="T245" i="72" s="1"/>
  <c r="R180" i="72"/>
  <c r="R215" i="72" s="1"/>
  <c r="R245" i="72" s="1"/>
  <c r="X180" i="72"/>
  <c r="X215" i="72" s="1"/>
  <c r="X245" i="72" s="1"/>
  <c r="V180" i="72"/>
  <c r="V215" i="72" s="1"/>
  <c r="V245" i="72" s="1"/>
  <c r="W180" i="72"/>
  <c r="W215" i="72" s="1"/>
  <c r="W245" i="72" s="1"/>
  <c r="Y180" i="72"/>
  <c r="Y215" i="72" s="1"/>
  <c r="Y245" i="72" s="1"/>
  <c r="S180" i="72"/>
  <c r="S215" i="72" s="1"/>
  <c r="S245" i="72" s="1"/>
  <c r="U180" i="72"/>
  <c r="U215" i="72" s="1"/>
  <c r="U245" i="72" s="1"/>
  <c r="V169" i="83"/>
  <c r="V41" i="71" s="1"/>
  <c r="V146" i="71" s="1"/>
  <c r="L140" i="83"/>
  <c r="L142" i="72" s="1"/>
  <c r="L212" i="72" s="1"/>
  <c r="L242" i="72" s="1"/>
  <c r="K198" i="83"/>
  <c r="K71" i="71" s="1"/>
  <c r="K176" i="71" s="1"/>
  <c r="L227" i="83"/>
  <c r="L101" i="71" s="1"/>
  <c r="L206" i="71" s="1"/>
  <c r="Q169" i="83"/>
  <c r="Q41" i="71" s="1"/>
  <c r="Q146" i="71" s="1"/>
  <c r="S227" i="83"/>
  <c r="S101" i="71" s="1"/>
  <c r="S206" i="71" s="1"/>
  <c r="K140" i="83"/>
  <c r="K142" i="72" s="1"/>
  <c r="K212" i="72" s="1"/>
  <c r="K242" i="72" s="1"/>
  <c r="V198" i="83"/>
  <c r="V71" i="71" s="1"/>
  <c r="V176" i="71" s="1"/>
  <c r="O227" i="83"/>
  <c r="O101" i="71" s="1"/>
  <c r="O206" i="71" s="1"/>
  <c r="Y227" i="83"/>
  <c r="Y101" i="71" s="1"/>
  <c r="Y206" i="71" s="1"/>
  <c r="N169" i="83"/>
  <c r="N41" i="71" s="1"/>
  <c r="N146" i="71" s="1"/>
  <c r="N140" i="83"/>
  <c r="N142" i="72" s="1"/>
  <c r="N212" i="72" s="1"/>
  <c r="N242" i="72" s="1"/>
  <c r="M198" i="83"/>
  <c r="M71" i="71" s="1"/>
  <c r="M176" i="71" s="1"/>
  <c r="T169" i="83"/>
  <c r="T41" i="71" s="1"/>
  <c r="T146" i="71" s="1"/>
  <c r="M140" i="83"/>
  <c r="M142" i="72" s="1"/>
  <c r="M212" i="72" s="1"/>
  <c r="M242" i="72" s="1"/>
  <c r="V227" i="83"/>
  <c r="V101" i="71" s="1"/>
  <c r="V206" i="71" s="1"/>
  <c r="U169" i="83"/>
  <c r="U41" i="71" s="1"/>
  <c r="U146" i="71" s="1"/>
  <c r="X169" i="83"/>
  <c r="X41" i="71" s="1"/>
  <c r="X146" i="71" s="1"/>
  <c r="T140" i="83"/>
  <c r="U140" i="83"/>
  <c r="S169" i="83"/>
  <c r="S41" i="71" s="1"/>
  <c r="S146" i="71" s="1"/>
  <c r="Q227" i="83"/>
  <c r="Q101" i="71" s="1"/>
  <c r="Q206" i="71" s="1"/>
  <c r="S140" i="83"/>
  <c r="M227" i="83"/>
  <c r="M101" i="71" s="1"/>
  <c r="M206" i="71" s="1"/>
  <c r="W169" i="83"/>
  <c r="W41" i="71" s="1"/>
  <c r="W146" i="71" s="1"/>
  <c r="T227" i="83"/>
  <c r="T101" i="71" s="1"/>
  <c r="T206" i="71" s="1"/>
  <c r="J140" i="83"/>
  <c r="J142" i="72" s="1"/>
  <c r="J212" i="72" s="1"/>
  <c r="J242" i="72" s="1"/>
  <c r="Q140" i="83"/>
  <c r="Q142" i="72" s="1"/>
  <c r="Q212" i="72" s="1"/>
  <c r="Q242" i="72" s="1"/>
  <c r="Y140" i="83"/>
  <c r="J198" i="83"/>
  <c r="J71" i="71" s="1"/>
  <c r="J176" i="71" s="1"/>
  <c r="W198" i="83"/>
  <c r="W71" i="71" s="1"/>
  <c r="W176" i="71" s="1"/>
  <c r="J227" i="83"/>
  <c r="J101" i="71" s="1"/>
  <c r="J206" i="71" s="1"/>
  <c r="Y169" i="83"/>
  <c r="Y41" i="71" s="1"/>
  <c r="Y146" i="71" s="1"/>
  <c r="Y198" i="83"/>
  <c r="Y71" i="71" s="1"/>
  <c r="Y176" i="71" s="1"/>
  <c r="J169" i="83"/>
  <c r="J41" i="71" s="1"/>
  <c r="J146" i="71" s="1"/>
  <c r="P140" i="83"/>
  <c r="P142" i="72" s="1"/>
  <c r="P212" i="72" s="1"/>
  <c r="P242" i="72" s="1"/>
  <c r="X140" i="83"/>
  <c r="P227" i="83"/>
  <c r="P101" i="71" s="1"/>
  <c r="P206" i="71" s="1"/>
  <c r="R198" i="83"/>
  <c r="R71" i="71" s="1"/>
  <c r="R176" i="71" s="1"/>
  <c r="L198" i="83"/>
  <c r="L71" i="71" s="1"/>
  <c r="L176" i="71" s="1"/>
  <c r="M169" i="83"/>
  <c r="M41" i="71" s="1"/>
  <c r="M146" i="71" s="1"/>
  <c r="R140" i="83"/>
  <c r="W140" i="83"/>
  <c r="N198" i="83"/>
  <c r="N71" i="71" s="1"/>
  <c r="N176" i="71" s="1"/>
  <c r="L169" i="83"/>
  <c r="L41" i="71" s="1"/>
  <c r="L146" i="71" s="1"/>
  <c r="X227" i="83"/>
  <c r="X101" i="71" s="1"/>
  <c r="X206" i="71" s="1"/>
  <c r="N227" i="83"/>
  <c r="N101" i="71" s="1"/>
  <c r="N206" i="71" s="1"/>
  <c r="V140" i="83"/>
  <c r="R169" i="83"/>
  <c r="R41" i="71" s="1"/>
  <c r="R146" i="71" s="1"/>
  <c r="P169" i="83"/>
  <c r="P41" i="71" s="1"/>
  <c r="P146" i="71" s="1"/>
  <c r="O140" i="83"/>
  <c r="O142" i="72" s="1"/>
  <c r="O212" i="72" s="1"/>
  <c r="O242" i="72" s="1"/>
  <c r="R227" i="83"/>
  <c r="R101" i="71" s="1"/>
  <c r="R206" i="71" s="1"/>
  <c r="K169" i="83"/>
  <c r="K41" i="71" s="1"/>
  <c r="K146" i="71" s="1"/>
  <c r="X198" i="83"/>
  <c r="X71" i="71" s="1"/>
  <c r="X176" i="71" s="1"/>
  <c r="S198" i="83"/>
  <c r="S71" i="71" s="1"/>
  <c r="S176" i="71" s="1"/>
  <c r="Q198" i="83"/>
  <c r="Q71" i="71" s="1"/>
  <c r="Q176" i="71" s="1"/>
  <c r="K227" i="83"/>
  <c r="K101" i="71" s="1"/>
  <c r="K206" i="71" s="1"/>
  <c r="O169" i="83"/>
  <c r="O41" i="71" s="1"/>
  <c r="O146" i="71" s="1"/>
  <c r="U227" i="83"/>
  <c r="U101" i="71" s="1"/>
  <c r="U206" i="71" s="1"/>
  <c r="O198" i="83"/>
  <c r="O71" i="71" s="1"/>
  <c r="O176" i="71" s="1"/>
  <c r="U198" i="83"/>
  <c r="U71" i="71" s="1"/>
  <c r="U176" i="71" s="1"/>
  <c r="P198" i="83"/>
  <c r="P71" i="71" s="1"/>
  <c r="P176" i="71" s="1"/>
  <c r="W227" i="83"/>
  <c r="W101" i="71" s="1"/>
  <c r="W206" i="71" s="1"/>
  <c r="T198" i="83"/>
  <c r="T71" i="71" s="1"/>
  <c r="T176" i="71" s="1"/>
  <c r="Y171" i="83"/>
  <c r="Y43" i="71" s="1"/>
  <c r="Y148" i="71" s="1"/>
  <c r="W200" i="83"/>
  <c r="W73" i="71" s="1"/>
  <c r="W178" i="71" s="1"/>
  <c r="U142" i="83"/>
  <c r="K171" i="83"/>
  <c r="K43" i="71" s="1"/>
  <c r="K148" i="71" s="1"/>
  <c r="U229" i="83"/>
  <c r="U103" i="71" s="1"/>
  <c r="U208" i="71" s="1"/>
  <c r="W171" i="83"/>
  <c r="W43" i="71" s="1"/>
  <c r="W148" i="71" s="1"/>
  <c r="K142" i="83"/>
  <c r="K144" i="72" s="1"/>
  <c r="K214" i="72" s="1"/>
  <c r="K244" i="72" s="1"/>
  <c r="T200" i="83"/>
  <c r="T73" i="71" s="1"/>
  <c r="T178" i="71" s="1"/>
  <c r="M142" i="83"/>
  <c r="M144" i="72" s="1"/>
  <c r="M214" i="72" s="1"/>
  <c r="M244" i="72" s="1"/>
  <c r="K229" i="83"/>
  <c r="K103" i="71" s="1"/>
  <c r="K208" i="71" s="1"/>
  <c r="K200" i="83"/>
  <c r="K73" i="71" s="1"/>
  <c r="K178" i="71" s="1"/>
  <c r="Q142" i="83"/>
  <c r="Q144" i="72" s="1"/>
  <c r="Q214" i="72" s="1"/>
  <c r="Q244" i="72" s="1"/>
  <c r="J142" i="83"/>
  <c r="J144" i="72" s="1"/>
  <c r="J214" i="72" s="1"/>
  <c r="J244" i="72" s="1"/>
  <c r="R229" i="83"/>
  <c r="R103" i="71" s="1"/>
  <c r="R208" i="71" s="1"/>
  <c r="R200" i="83"/>
  <c r="R73" i="71" s="1"/>
  <c r="R178" i="71" s="1"/>
  <c r="O142" i="83"/>
  <c r="O144" i="72" s="1"/>
  <c r="O214" i="72" s="1"/>
  <c r="O244" i="72" s="1"/>
  <c r="S229" i="83"/>
  <c r="S103" i="71" s="1"/>
  <c r="S208" i="71" s="1"/>
  <c r="W142" i="83"/>
  <c r="V171" i="83"/>
  <c r="V43" i="71" s="1"/>
  <c r="V148" i="71" s="1"/>
  <c r="N171" i="83"/>
  <c r="N43" i="71" s="1"/>
  <c r="N148" i="71" s="1"/>
  <c r="T229" i="83"/>
  <c r="T103" i="71" s="1"/>
  <c r="T208" i="71" s="1"/>
  <c r="N200" i="83"/>
  <c r="N73" i="71" s="1"/>
  <c r="N178" i="71" s="1"/>
  <c r="Y200" i="83"/>
  <c r="Y73" i="71" s="1"/>
  <c r="Y178" i="71" s="1"/>
  <c r="L229" i="83"/>
  <c r="L103" i="71" s="1"/>
  <c r="L208" i="71" s="1"/>
  <c r="X200" i="83"/>
  <c r="X73" i="71" s="1"/>
  <c r="X178" i="71" s="1"/>
  <c r="P171" i="83"/>
  <c r="P43" i="71" s="1"/>
  <c r="P148" i="71" s="1"/>
  <c r="M200" i="83"/>
  <c r="M73" i="71" s="1"/>
  <c r="M178" i="71" s="1"/>
  <c r="P142" i="83"/>
  <c r="P144" i="72" s="1"/>
  <c r="P214" i="72" s="1"/>
  <c r="P244" i="72" s="1"/>
  <c r="V229" i="83"/>
  <c r="V103" i="71" s="1"/>
  <c r="V208" i="71" s="1"/>
  <c r="S142" i="83"/>
  <c r="S200" i="83"/>
  <c r="S73" i="71" s="1"/>
  <c r="S178" i="71" s="1"/>
  <c r="S171" i="83"/>
  <c r="S43" i="71" s="1"/>
  <c r="S148" i="71" s="1"/>
  <c r="U200" i="83"/>
  <c r="U73" i="71" s="1"/>
  <c r="U178" i="71" s="1"/>
  <c r="U171" i="83"/>
  <c r="U43" i="71" s="1"/>
  <c r="U148" i="71" s="1"/>
  <c r="X229" i="83"/>
  <c r="X103" i="71" s="1"/>
  <c r="X208" i="71" s="1"/>
  <c r="R171" i="83"/>
  <c r="R43" i="71" s="1"/>
  <c r="R148" i="71" s="1"/>
  <c r="J171" i="83"/>
  <c r="J43" i="71" s="1"/>
  <c r="J148" i="71" s="1"/>
  <c r="N229" i="83"/>
  <c r="N103" i="71" s="1"/>
  <c r="N208" i="71" s="1"/>
  <c r="L142" i="83"/>
  <c r="L144" i="72" s="1"/>
  <c r="L214" i="72" s="1"/>
  <c r="L244" i="72" s="1"/>
  <c r="P229" i="83"/>
  <c r="P103" i="71" s="1"/>
  <c r="P208" i="71" s="1"/>
  <c r="O229" i="83"/>
  <c r="O103" i="71" s="1"/>
  <c r="O208" i="71" s="1"/>
  <c r="M171" i="83"/>
  <c r="M43" i="71" s="1"/>
  <c r="M148" i="71" s="1"/>
  <c r="T142" i="83"/>
  <c r="V200" i="83"/>
  <c r="V73" i="71" s="1"/>
  <c r="V178" i="71" s="1"/>
  <c r="Y229" i="83"/>
  <c r="Y103" i="71" s="1"/>
  <c r="Y208" i="71" s="1"/>
  <c r="T171" i="83"/>
  <c r="T43" i="71" s="1"/>
  <c r="T148" i="71" s="1"/>
  <c r="X171" i="83"/>
  <c r="X43" i="71" s="1"/>
  <c r="X148" i="71" s="1"/>
  <c r="Q229" i="83"/>
  <c r="Q103" i="71" s="1"/>
  <c r="Q208" i="71" s="1"/>
  <c r="J229" i="83"/>
  <c r="J103" i="71" s="1"/>
  <c r="J208" i="71" s="1"/>
  <c r="W229" i="83"/>
  <c r="W103" i="71" s="1"/>
  <c r="W208" i="71" s="1"/>
  <c r="N142" i="83"/>
  <c r="N144" i="72" s="1"/>
  <c r="N214" i="72" s="1"/>
  <c r="N244" i="72" s="1"/>
  <c r="V142" i="83"/>
  <c r="J200" i="83"/>
  <c r="J73" i="71" s="1"/>
  <c r="J178" i="71" s="1"/>
  <c r="O200" i="83"/>
  <c r="O73" i="71" s="1"/>
  <c r="O178" i="71" s="1"/>
  <c r="Q200" i="83"/>
  <c r="Q73" i="71" s="1"/>
  <c r="Q178" i="71" s="1"/>
  <c r="M229" i="83"/>
  <c r="M103" i="71" s="1"/>
  <c r="M208" i="71" s="1"/>
  <c r="Q171" i="83"/>
  <c r="Q43" i="71" s="1"/>
  <c r="Q148" i="71" s="1"/>
  <c r="O171" i="83"/>
  <c r="O43" i="71" s="1"/>
  <c r="O148" i="71" s="1"/>
  <c r="P200" i="83"/>
  <c r="P73" i="71" s="1"/>
  <c r="P178" i="71" s="1"/>
  <c r="L171" i="83"/>
  <c r="L43" i="71" s="1"/>
  <c r="L148" i="71" s="1"/>
  <c r="L200" i="83"/>
  <c r="L73" i="71" s="1"/>
  <c r="L178" i="71" s="1"/>
  <c r="Y142" i="83"/>
  <c r="X142" i="83"/>
  <c r="R142" i="83"/>
  <c r="L178" i="73"/>
  <c r="L238" i="73" s="1"/>
  <c r="N148" i="73"/>
  <c r="O148" i="73"/>
  <c r="J148" i="73"/>
  <c r="N178" i="73"/>
  <c r="N238" i="73" s="1"/>
  <c r="P178" i="73"/>
  <c r="P238" i="73" s="1"/>
  <c r="Q148" i="73"/>
  <c r="K178" i="73"/>
  <c r="K238" i="73" s="1"/>
  <c r="M148" i="73"/>
  <c r="L148" i="73"/>
  <c r="J178" i="73"/>
  <c r="J238" i="73" s="1"/>
  <c r="P148" i="73"/>
  <c r="K148" i="73"/>
  <c r="O178" i="73"/>
  <c r="O238" i="73" s="1"/>
  <c r="Q178" i="73"/>
  <c r="Q238" i="73" s="1"/>
  <c r="M178" i="73"/>
  <c r="M238" i="73" s="1"/>
  <c r="Q183" i="73"/>
  <c r="Q243" i="73" s="1"/>
  <c r="L153" i="73"/>
  <c r="K153" i="73"/>
  <c r="N183" i="73"/>
  <c r="N243" i="73" s="1"/>
  <c r="M183" i="73"/>
  <c r="M243" i="73" s="1"/>
  <c r="O153" i="73"/>
  <c r="P153" i="73"/>
  <c r="O183" i="73"/>
  <c r="O243" i="73" s="1"/>
  <c r="K183" i="73"/>
  <c r="K243" i="73" s="1"/>
  <c r="Q153" i="73"/>
  <c r="J153" i="73"/>
  <c r="J183" i="73"/>
  <c r="J243" i="73" s="1"/>
  <c r="N153" i="73"/>
  <c r="P183" i="73"/>
  <c r="P243" i="73" s="1"/>
  <c r="M153" i="73"/>
  <c r="L183" i="73"/>
  <c r="L243" i="73" s="1"/>
  <c r="T179" i="72"/>
  <c r="T214" i="72" s="1"/>
  <c r="T244" i="72" s="1"/>
  <c r="V179" i="72"/>
  <c r="V214" i="72" s="1"/>
  <c r="V244" i="72" s="1"/>
  <c r="W179" i="72"/>
  <c r="W214" i="72" s="1"/>
  <c r="W244" i="72" s="1"/>
  <c r="Y179" i="72"/>
  <c r="Y214" i="72" s="1"/>
  <c r="Y244" i="72" s="1"/>
  <c r="X179" i="72"/>
  <c r="X214" i="72" s="1"/>
  <c r="X244" i="72" s="1"/>
  <c r="R179" i="72"/>
  <c r="R214" i="72" s="1"/>
  <c r="R244" i="72" s="1"/>
  <c r="S179" i="72"/>
  <c r="S214" i="72" s="1"/>
  <c r="S244" i="72" s="1"/>
  <c r="U179" i="72"/>
  <c r="U214" i="72" s="1"/>
  <c r="U244" i="72" s="1"/>
  <c r="Q137" i="83"/>
  <c r="Q139" i="72" s="1"/>
  <c r="Q209" i="72" s="1"/>
  <c r="Q239" i="72" s="1"/>
  <c r="P166" i="83"/>
  <c r="P38" i="71" s="1"/>
  <c r="P143" i="71" s="1"/>
  <c r="N137" i="83"/>
  <c r="N139" i="72" s="1"/>
  <c r="N209" i="72" s="1"/>
  <c r="N239" i="72" s="1"/>
  <c r="O224" i="83"/>
  <c r="O98" i="71" s="1"/>
  <c r="O203" i="71" s="1"/>
  <c r="Q195" i="83"/>
  <c r="Q68" i="71" s="1"/>
  <c r="Q173" i="71" s="1"/>
  <c r="K195" i="83"/>
  <c r="K68" i="71" s="1"/>
  <c r="K173" i="71" s="1"/>
  <c r="W224" i="83"/>
  <c r="W98" i="71" s="1"/>
  <c r="W203" i="71" s="1"/>
  <c r="U137" i="83"/>
  <c r="O195" i="83"/>
  <c r="O68" i="71" s="1"/>
  <c r="O173" i="71" s="1"/>
  <c r="N195" i="83"/>
  <c r="N68" i="71" s="1"/>
  <c r="N173" i="71" s="1"/>
  <c r="P224" i="83"/>
  <c r="P98" i="71" s="1"/>
  <c r="P203" i="71" s="1"/>
  <c r="R137" i="83"/>
  <c r="V195" i="83"/>
  <c r="V68" i="71" s="1"/>
  <c r="V173" i="71" s="1"/>
  <c r="P137" i="83"/>
  <c r="P139" i="72" s="1"/>
  <c r="P209" i="72" s="1"/>
  <c r="P239" i="72" s="1"/>
  <c r="S166" i="83"/>
  <c r="S38" i="71" s="1"/>
  <c r="S143" i="71" s="1"/>
  <c r="S137" i="83"/>
  <c r="J224" i="83"/>
  <c r="J98" i="71" s="1"/>
  <c r="J203" i="71" s="1"/>
  <c r="M166" i="83"/>
  <c r="M38" i="71" s="1"/>
  <c r="M143" i="71" s="1"/>
  <c r="Q166" i="83"/>
  <c r="Q38" i="71" s="1"/>
  <c r="Q143" i="71" s="1"/>
  <c r="Y195" i="83"/>
  <c r="Y68" i="71" s="1"/>
  <c r="Y173" i="71" s="1"/>
  <c r="T224" i="83"/>
  <c r="T98" i="71" s="1"/>
  <c r="T203" i="71" s="1"/>
  <c r="L166" i="83"/>
  <c r="L38" i="71" s="1"/>
  <c r="L143" i="71" s="1"/>
  <c r="J166" i="83"/>
  <c r="J38" i="71" s="1"/>
  <c r="J143" i="71" s="1"/>
  <c r="T195" i="83"/>
  <c r="T68" i="71" s="1"/>
  <c r="T173" i="71" s="1"/>
  <c r="V166" i="83"/>
  <c r="V38" i="71" s="1"/>
  <c r="V143" i="71" s="1"/>
  <c r="Y137" i="83"/>
  <c r="O137" i="83"/>
  <c r="O139" i="72" s="1"/>
  <c r="O209" i="72" s="1"/>
  <c r="O239" i="72" s="1"/>
  <c r="Y166" i="83"/>
  <c r="Y38" i="71" s="1"/>
  <c r="Y143" i="71" s="1"/>
  <c r="R166" i="83"/>
  <c r="R38" i="71" s="1"/>
  <c r="R143" i="71" s="1"/>
  <c r="W195" i="83"/>
  <c r="W68" i="71" s="1"/>
  <c r="W173" i="71" s="1"/>
  <c r="O166" i="83"/>
  <c r="O38" i="71" s="1"/>
  <c r="O143" i="71" s="1"/>
  <c r="X224" i="83"/>
  <c r="X98" i="71" s="1"/>
  <c r="X203" i="71" s="1"/>
  <c r="P195" i="83"/>
  <c r="P68" i="71" s="1"/>
  <c r="P173" i="71" s="1"/>
  <c r="V137" i="83"/>
  <c r="S224" i="83"/>
  <c r="S98" i="71" s="1"/>
  <c r="S203" i="71" s="1"/>
  <c r="X166" i="83"/>
  <c r="X38" i="71" s="1"/>
  <c r="X143" i="71" s="1"/>
  <c r="L137" i="83"/>
  <c r="L139" i="72" s="1"/>
  <c r="L209" i="72" s="1"/>
  <c r="L239" i="72" s="1"/>
  <c r="U195" i="83"/>
  <c r="U68" i="71" s="1"/>
  <c r="U173" i="71" s="1"/>
  <c r="X137" i="83"/>
  <c r="N224" i="83"/>
  <c r="N98" i="71" s="1"/>
  <c r="N203" i="71" s="1"/>
  <c r="W166" i="83"/>
  <c r="W38" i="71" s="1"/>
  <c r="W143" i="71" s="1"/>
  <c r="N166" i="83"/>
  <c r="N38" i="71" s="1"/>
  <c r="N143" i="71" s="1"/>
  <c r="K224" i="83"/>
  <c r="K98" i="71" s="1"/>
  <c r="K203" i="71" s="1"/>
  <c r="M137" i="83"/>
  <c r="M139" i="72" s="1"/>
  <c r="M209" i="72" s="1"/>
  <c r="M239" i="72" s="1"/>
  <c r="Q224" i="83"/>
  <c r="Q98" i="71" s="1"/>
  <c r="Q203" i="71" s="1"/>
  <c r="U166" i="83"/>
  <c r="U38" i="71" s="1"/>
  <c r="U143" i="71" s="1"/>
  <c r="L224" i="83"/>
  <c r="L98" i="71" s="1"/>
  <c r="L203" i="71" s="1"/>
  <c r="K137" i="83"/>
  <c r="K139" i="72" s="1"/>
  <c r="K209" i="72" s="1"/>
  <c r="K239" i="72" s="1"/>
  <c r="T137" i="83"/>
  <c r="Y224" i="83"/>
  <c r="Y98" i="71" s="1"/>
  <c r="Y203" i="71" s="1"/>
  <c r="J195" i="83"/>
  <c r="J68" i="71" s="1"/>
  <c r="J173" i="71" s="1"/>
  <c r="X195" i="83"/>
  <c r="X68" i="71" s="1"/>
  <c r="X173" i="71" s="1"/>
  <c r="V224" i="83"/>
  <c r="V98" i="71" s="1"/>
  <c r="V203" i="71" s="1"/>
  <c r="M224" i="83"/>
  <c r="M98" i="71" s="1"/>
  <c r="M203" i="71" s="1"/>
  <c r="R195" i="83"/>
  <c r="R68" i="71" s="1"/>
  <c r="R173" i="71" s="1"/>
  <c r="S195" i="83"/>
  <c r="S68" i="71" s="1"/>
  <c r="S173" i="71" s="1"/>
  <c r="W137" i="83"/>
  <c r="U224" i="83"/>
  <c r="U98" i="71" s="1"/>
  <c r="U203" i="71" s="1"/>
  <c r="K166" i="83"/>
  <c r="K38" i="71" s="1"/>
  <c r="K143" i="71" s="1"/>
  <c r="L195" i="83"/>
  <c r="L68" i="71" s="1"/>
  <c r="L173" i="71" s="1"/>
  <c r="R224" i="83"/>
  <c r="R98" i="71" s="1"/>
  <c r="R203" i="71" s="1"/>
  <c r="J137" i="83"/>
  <c r="J139" i="72" s="1"/>
  <c r="J209" i="72" s="1"/>
  <c r="J239" i="72" s="1"/>
  <c r="M195" i="83"/>
  <c r="M68" i="71" s="1"/>
  <c r="M173" i="71" s="1"/>
  <c r="T166" i="83"/>
  <c r="T38" i="71" s="1"/>
  <c r="T143" i="71" s="1"/>
  <c r="P226" i="83"/>
  <c r="P100" i="71" s="1"/>
  <c r="P205" i="71" s="1"/>
  <c r="V226" i="83"/>
  <c r="V100" i="71" s="1"/>
  <c r="V205" i="71" s="1"/>
  <c r="W197" i="83"/>
  <c r="W70" i="71" s="1"/>
  <c r="W175" i="71" s="1"/>
  <c r="R139" i="83"/>
  <c r="K139" i="83"/>
  <c r="K141" i="72" s="1"/>
  <c r="K211" i="72" s="1"/>
  <c r="K241" i="72" s="1"/>
  <c r="J226" i="83"/>
  <c r="J100" i="71" s="1"/>
  <c r="J205" i="71" s="1"/>
  <c r="L168" i="83"/>
  <c r="L40" i="71" s="1"/>
  <c r="L145" i="71" s="1"/>
  <c r="Y139" i="83"/>
  <c r="L226" i="83"/>
  <c r="L100" i="71" s="1"/>
  <c r="L205" i="71" s="1"/>
  <c r="Y168" i="83"/>
  <c r="Y40" i="71" s="1"/>
  <c r="Y145" i="71" s="1"/>
  <c r="P197" i="83"/>
  <c r="P70" i="71" s="1"/>
  <c r="P175" i="71" s="1"/>
  <c r="P168" i="83"/>
  <c r="P40" i="71" s="1"/>
  <c r="P145" i="71" s="1"/>
  <c r="U168" i="83"/>
  <c r="U40" i="71" s="1"/>
  <c r="U145" i="71" s="1"/>
  <c r="L197" i="83"/>
  <c r="L70" i="71" s="1"/>
  <c r="L175" i="71" s="1"/>
  <c r="M139" i="83"/>
  <c r="M141" i="72" s="1"/>
  <c r="M211" i="72" s="1"/>
  <c r="M241" i="72" s="1"/>
  <c r="V197" i="83"/>
  <c r="V70" i="71" s="1"/>
  <c r="V175" i="71" s="1"/>
  <c r="Q168" i="83"/>
  <c r="Q40" i="71" s="1"/>
  <c r="Q145" i="71" s="1"/>
  <c r="S168" i="83"/>
  <c r="S40" i="71" s="1"/>
  <c r="S145" i="71" s="1"/>
  <c r="M168" i="83"/>
  <c r="M40" i="71" s="1"/>
  <c r="M145" i="71" s="1"/>
  <c r="M226" i="83"/>
  <c r="M100" i="71" s="1"/>
  <c r="M205" i="71" s="1"/>
  <c r="X168" i="83"/>
  <c r="X40" i="71" s="1"/>
  <c r="X145" i="71" s="1"/>
  <c r="X197" i="83"/>
  <c r="X70" i="71" s="1"/>
  <c r="X175" i="71" s="1"/>
  <c r="X139" i="83"/>
  <c r="N226" i="83"/>
  <c r="N100" i="71" s="1"/>
  <c r="N205" i="71" s="1"/>
  <c r="J197" i="83"/>
  <c r="J70" i="71" s="1"/>
  <c r="J175" i="71" s="1"/>
  <c r="W226" i="83"/>
  <c r="W100" i="71" s="1"/>
  <c r="W205" i="71" s="1"/>
  <c r="T168" i="83"/>
  <c r="T40" i="71" s="1"/>
  <c r="T145" i="71" s="1"/>
  <c r="T197" i="83"/>
  <c r="T70" i="71" s="1"/>
  <c r="T175" i="71" s="1"/>
  <c r="N197" i="83"/>
  <c r="N70" i="71" s="1"/>
  <c r="N175" i="71" s="1"/>
  <c r="O168" i="83"/>
  <c r="O40" i="71" s="1"/>
  <c r="O145" i="71" s="1"/>
  <c r="U226" i="83"/>
  <c r="U100" i="71" s="1"/>
  <c r="U205" i="71" s="1"/>
  <c r="K168" i="83"/>
  <c r="K40" i="71" s="1"/>
  <c r="K145" i="71" s="1"/>
  <c r="M197" i="83"/>
  <c r="M70" i="71" s="1"/>
  <c r="M175" i="71" s="1"/>
  <c r="L139" i="83"/>
  <c r="L141" i="72" s="1"/>
  <c r="L211" i="72" s="1"/>
  <c r="L241" i="72" s="1"/>
  <c r="S197" i="83"/>
  <c r="S70" i="71" s="1"/>
  <c r="S175" i="71" s="1"/>
  <c r="U139" i="83"/>
  <c r="J168" i="83"/>
  <c r="J40" i="71" s="1"/>
  <c r="J145" i="71" s="1"/>
  <c r="S139" i="83"/>
  <c r="W168" i="83"/>
  <c r="W40" i="71" s="1"/>
  <c r="W145" i="71" s="1"/>
  <c r="R168" i="83"/>
  <c r="R40" i="71" s="1"/>
  <c r="R145" i="71" s="1"/>
  <c r="N168" i="83"/>
  <c r="N40" i="71" s="1"/>
  <c r="N145" i="71" s="1"/>
  <c r="V139" i="83"/>
  <c r="T139" i="83"/>
  <c r="O139" i="83"/>
  <c r="O141" i="72" s="1"/>
  <c r="O211" i="72" s="1"/>
  <c r="O241" i="72" s="1"/>
  <c r="Q139" i="83"/>
  <c r="Q141" i="72" s="1"/>
  <c r="Q211" i="72" s="1"/>
  <c r="Q241" i="72" s="1"/>
  <c r="Q197" i="83"/>
  <c r="Q70" i="71" s="1"/>
  <c r="Q175" i="71" s="1"/>
  <c r="S226" i="83"/>
  <c r="S100" i="71" s="1"/>
  <c r="S205" i="71" s="1"/>
  <c r="R197" i="83"/>
  <c r="R70" i="71" s="1"/>
  <c r="R175" i="71" s="1"/>
  <c r="J139" i="83"/>
  <c r="J141" i="72" s="1"/>
  <c r="J211" i="72" s="1"/>
  <c r="J241" i="72" s="1"/>
  <c r="Y197" i="83"/>
  <c r="Y70" i="71" s="1"/>
  <c r="Y175" i="71" s="1"/>
  <c r="K197" i="83"/>
  <c r="K70" i="71" s="1"/>
  <c r="K175" i="71" s="1"/>
  <c r="Y226" i="83"/>
  <c r="Y100" i="71" s="1"/>
  <c r="Y205" i="71" s="1"/>
  <c r="P139" i="83"/>
  <c r="P141" i="72" s="1"/>
  <c r="P211" i="72" s="1"/>
  <c r="P241" i="72" s="1"/>
  <c r="Q226" i="83"/>
  <c r="Q100" i="71" s="1"/>
  <c r="Q205" i="71" s="1"/>
  <c r="O226" i="83"/>
  <c r="O100" i="71" s="1"/>
  <c r="O205" i="71" s="1"/>
  <c r="U197" i="83"/>
  <c r="U70" i="71" s="1"/>
  <c r="U175" i="71" s="1"/>
  <c r="O197" i="83"/>
  <c r="O70" i="71" s="1"/>
  <c r="O175" i="71" s="1"/>
  <c r="N139" i="83"/>
  <c r="N141" i="72" s="1"/>
  <c r="N211" i="72" s="1"/>
  <c r="N241" i="72" s="1"/>
  <c r="V168" i="83"/>
  <c r="V40" i="71" s="1"/>
  <c r="V145" i="71" s="1"/>
  <c r="T226" i="83"/>
  <c r="T100" i="71" s="1"/>
  <c r="T205" i="71" s="1"/>
  <c r="W139" i="83"/>
  <c r="X226" i="83"/>
  <c r="X100" i="71" s="1"/>
  <c r="X205" i="71" s="1"/>
  <c r="K226" i="83"/>
  <c r="K100" i="71" s="1"/>
  <c r="K205" i="71" s="1"/>
  <c r="R226" i="83"/>
  <c r="R100" i="71" s="1"/>
  <c r="R205" i="71" s="1"/>
  <c r="Q180" i="73"/>
  <c r="Q240" i="73" s="1"/>
  <c r="P150" i="73"/>
  <c r="K180" i="73"/>
  <c r="K240" i="73" s="1"/>
  <c r="M150" i="73"/>
  <c r="J180" i="73"/>
  <c r="J240" i="73" s="1"/>
  <c r="J150" i="73"/>
  <c r="O150" i="73"/>
  <c r="M180" i="73"/>
  <c r="M240" i="73" s="1"/>
  <c r="Q150" i="73"/>
  <c r="P180" i="73"/>
  <c r="P240" i="73" s="1"/>
  <c r="O180" i="73"/>
  <c r="O240" i="73" s="1"/>
  <c r="N180" i="73"/>
  <c r="N240" i="73" s="1"/>
  <c r="L180" i="73"/>
  <c r="L240" i="73" s="1"/>
  <c r="L150" i="73"/>
  <c r="N150" i="73"/>
  <c r="K150" i="73"/>
  <c r="V172" i="72"/>
  <c r="V207" i="72" s="1"/>
  <c r="V237" i="72" s="1"/>
  <c r="S172" i="72"/>
  <c r="S207" i="72" s="1"/>
  <c r="S237" i="72" s="1"/>
  <c r="R172" i="72"/>
  <c r="R207" i="72" s="1"/>
  <c r="R237" i="72" s="1"/>
  <c r="X172" i="72"/>
  <c r="X207" i="72" s="1"/>
  <c r="X237" i="72" s="1"/>
  <c r="T172" i="72"/>
  <c r="T207" i="72" s="1"/>
  <c r="T237" i="72" s="1"/>
  <c r="W172" i="72"/>
  <c r="W207" i="72" s="1"/>
  <c r="W237" i="72" s="1"/>
  <c r="Y172" i="72"/>
  <c r="Y207" i="72" s="1"/>
  <c r="Y237" i="72" s="1"/>
  <c r="U172" i="72"/>
  <c r="U207" i="72" s="1"/>
  <c r="U237" i="72" s="1"/>
  <c r="X175" i="72"/>
  <c r="X210" i="72" s="1"/>
  <c r="X240" i="72" s="1"/>
  <c r="Y175" i="72"/>
  <c r="Y210" i="72" s="1"/>
  <c r="Y240" i="72" s="1"/>
  <c r="S175" i="72"/>
  <c r="S210" i="72" s="1"/>
  <c r="S240" i="72" s="1"/>
  <c r="V175" i="72"/>
  <c r="V210" i="72" s="1"/>
  <c r="V240" i="72" s="1"/>
  <c r="R175" i="72"/>
  <c r="R210" i="72" s="1"/>
  <c r="R240" i="72" s="1"/>
  <c r="U175" i="72"/>
  <c r="U210" i="72" s="1"/>
  <c r="U240" i="72" s="1"/>
  <c r="W175" i="72"/>
  <c r="W210" i="72" s="1"/>
  <c r="W240" i="72" s="1"/>
  <c r="T175" i="72"/>
  <c r="T210" i="72" s="1"/>
  <c r="T240" i="72" s="1"/>
  <c r="X199" i="83"/>
  <c r="X72" i="71" s="1"/>
  <c r="X177" i="71" s="1"/>
  <c r="P228" i="83"/>
  <c r="P102" i="71" s="1"/>
  <c r="P207" i="71" s="1"/>
  <c r="M228" i="83"/>
  <c r="M102" i="71" s="1"/>
  <c r="M207" i="71" s="1"/>
  <c r="M199" i="83"/>
  <c r="M72" i="71" s="1"/>
  <c r="M177" i="71" s="1"/>
  <c r="Y228" i="83"/>
  <c r="Y102" i="71" s="1"/>
  <c r="Y207" i="71" s="1"/>
  <c r="O170" i="83"/>
  <c r="O42" i="71" s="1"/>
  <c r="O147" i="71" s="1"/>
  <c r="P141" i="83"/>
  <c r="P143" i="72" s="1"/>
  <c r="P213" i="72" s="1"/>
  <c r="P243" i="72" s="1"/>
  <c r="R199" i="83"/>
  <c r="R72" i="71" s="1"/>
  <c r="R177" i="71" s="1"/>
  <c r="T199" i="83"/>
  <c r="T72" i="71" s="1"/>
  <c r="T177" i="71" s="1"/>
  <c r="N170" i="83"/>
  <c r="N42" i="71" s="1"/>
  <c r="N147" i="71" s="1"/>
  <c r="Q228" i="83"/>
  <c r="Q102" i="71" s="1"/>
  <c r="Q207" i="71" s="1"/>
  <c r="P170" i="83"/>
  <c r="P42" i="71" s="1"/>
  <c r="P147" i="71" s="1"/>
  <c r="X141" i="83"/>
  <c r="V199" i="83"/>
  <c r="V72" i="71" s="1"/>
  <c r="V177" i="71" s="1"/>
  <c r="V170" i="83"/>
  <c r="V42" i="71" s="1"/>
  <c r="V147" i="71" s="1"/>
  <c r="J228" i="83"/>
  <c r="J102" i="71" s="1"/>
  <c r="J207" i="71" s="1"/>
  <c r="T141" i="83"/>
  <c r="P199" i="83"/>
  <c r="P72" i="71" s="1"/>
  <c r="P177" i="71" s="1"/>
  <c r="T228" i="83"/>
  <c r="T102" i="71" s="1"/>
  <c r="T207" i="71" s="1"/>
  <c r="N228" i="83"/>
  <c r="N102" i="71" s="1"/>
  <c r="N207" i="71" s="1"/>
  <c r="L199" i="83"/>
  <c r="L72" i="71" s="1"/>
  <c r="L177" i="71" s="1"/>
  <c r="L228" i="83"/>
  <c r="L102" i="71" s="1"/>
  <c r="L207" i="71" s="1"/>
  <c r="R141" i="83"/>
  <c r="R228" i="83"/>
  <c r="R102" i="71" s="1"/>
  <c r="R207" i="71" s="1"/>
  <c r="Q199" i="83"/>
  <c r="Q72" i="71" s="1"/>
  <c r="Q177" i="71" s="1"/>
  <c r="K141" i="83"/>
  <c r="K143" i="72" s="1"/>
  <c r="K213" i="72" s="1"/>
  <c r="K243" i="72" s="1"/>
  <c r="S170" i="83"/>
  <c r="S42" i="71" s="1"/>
  <c r="S147" i="71" s="1"/>
  <c r="Y141" i="83"/>
  <c r="U141" i="83"/>
  <c r="W141" i="83"/>
  <c r="K228" i="83"/>
  <c r="K102" i="71" s="1"/>
  <c r="K207" i="71" s="1"/>
  <c r="M170" i="83"/>
  <c r="M42" i="71" s="1"/>
  <c r="M147" i="71" s="1"/>
  <c r="U228" i="83"/>
  <c r="U102" i="71" s="1"/>
  <c r="U207" i="71" s="1"/>
  <c r="O199" i="83"/>
  <c r="O72" i="71" s="1"/>
  <c r="O177" i="71" s="1"/>
  <c r="S228" i="83"/>
  <c r="S102" i="71" s="1"/>
  <c r="S207" i="71" s="1"/>
  <c r="V228" i="83"/>
  <c r="V102" i="71" s="1"/>
  <c r="V207" i="71" s="1"/>
  <c r="K199" i="83"/>
  <c r="K72" i="71" s="1"/>
  <c r="K177" i="71" s="1"/>
  <c r="W199" i="83"/>
  <c r="W72" i="71" s="1"/>
  <c r="W177" i="71" s="1"/>
  <c r="O228" i="83"/>
  <c r="O102" i="71" s="1"/>
  <c r="O207" i="71" s="1"/>
  <c r="T170" i="83"/>
  <c r="T42" i="71" s="1"/>
  <c r="T147" i="71" s="1"/>
  <c r="V141" i="83"/>
  <c r="J199" i="83"/>
  <c r="J72" i="71" s="1"/>
  <c r="J177" i="71" s="1"/>
  <c r="R170" i="83"/>
  <c r="R42" i="71" s="1"/>
  <c r="R147" i="71" s="1"/>
  <c r="S199" i="83"/>
  <c r="S72" i="71" s="1"/>
  <c r="S177" i="71" s="1"/>
  <c r="M141" i="83"/>
  <c r="M143" i="72" s="1"/>
  <c r="M213" i="72" s="1"/>
  <c r="M243" i="72" s="1"/>
  <c r="W228" i="83"/>
  <c r="W102" i="71" s="1"/>
  <c r="W207" i="71" s="1"/>
  <c r="L141" i="83"/>
  <c r="L143" i="72" s="1"/>
  <c r="L213" i="72" s="1"/>
  <c r="L243" i="72" s="1"/>
  <c r="Q170" i="83"/>
  <c r="Q42" i="71" s="1"/>
  <c r="Q147" i="71" s="1"/>
  <c r="J141" i="83"/>
  <c r="J143" i="72" s="1"/>
  <c r="J213" i="72" s="1"/>
  <c r="J243" i="72" s="1"/>
  <c r="U170" i="83"/>
  <c r="U42" i="71" s="1"/>
  <c r="U147" i="71" s="1"/>
  <c r="N141" i="83"/>
  <c r="N143" i="72" s="1"/>
  <c r="N213" i="72" s="1"/>
  <c r="N243" i="72" s="1"/>
  <c r="K170" i="83"/>
  <c r="K42" i="71" s="1"/>
  <c r="K147" i="71" s="1"/>
  <c r="X170" i="83"/>
  <c r="X42" i="71" s="1"/>
  <c r="X147" i="71" s="1"/>
  <c r="Y170" i="83"/>
  <c r="Y42" i="71" s="1"/>
  <c r="Y147" i="71" s="1"/>
  <c r="S141" i="83"/>
  <c r="O141" i="83"/>
  <c r="O143" i="72" s="1"/>
  <c r="O213" i="72" s="1"/>
  <c r="O243" i="72" s="1"/>
  <c r="W170" i="83"/>
  <c r="W42" i="71" s="1"/>
  <c r="W147" i="71" s="1"/>
  <c r="N199" i="83"/>
  <c r="N72" i="71" s="1"/>
  <c r="N177" i="71" s="1"/>
  <c r="Q141" i="83"/>
  <c r="Q143" i="72" s="1"/>
  <c r="Q213" i="72" s="1"/>
  <c r="Q243" i="72" s="1"/>
  <c r="L170" i="83"/>
  <c r="L42" i="71" s="1"/>
  <c r="L147" i="71" s="1"/>
  <c r="X228" i="83"/>
  <c r="X102" i="71" s="1"/>
  <c r="X207" i="71" s="1"/>
  <c r="J170" i="83"/>
  <c r="J42" i="71" s="1"/>
  <c r="J147" i="71" s="1"/>
  <c r="Y199" i="83"/>
  <c r="Y72" i="71" s="1"/>
  <c r="Y177" i="71" s="1"/>
  <c r="U199" i="83"/>
  <c r="U72" i="71" s="1"/>
  <c r="U177" i="71" s="1"/>
  <c r="V164" i="83"/>
  <c r="K222" i="83"/>
  <c r="K96" i="71" s="1"/>
  <c r="K201" i="71" s="1"/>
  <c r="S193" i="83"/>
  <c r="S66" i="71" s="1"/>
  <c r="S171" i="71" s="1"/>
  <c r="W222" i="83"/>
  <c r="W96" i="71" s="1"/>
  <c r="W201" i="71" s="1"/>
  <c r="T193" i="83"/>
  <c r="T66" i="71" s="1"/>
  <c r="T171" i="71" s="1"/>
  <c r="M135" i="83"/>
  <c r="M137" i="72" s="1"/>
  <c r="M207" i="72" s="1"/>
  <c r="M237" i="72" s="1"/>
  <c r="W164" i="83"/>
  <c r="T164" i="83"/>
  <c r="N135" i="83"/>
  <c r="N137" i="72" s="1"/>
  <c r="N207" i="72" s="1"/>
  <c r="N237" i="72" s="1"/>
  <c r="V193" i="83"/>
  <c r="V66" i="71" s="1"/>
  <c r="V171" i="71" s="1"/>
  <c r="W135" i="83"/>
  <c r="U164" i="83"/>
  <c r="P164" i="83"/>
  <c r="S164" i="83"/>
  <c r="R164" i="83"/>
  <c r="J193" i="83"/>
  <c r="J66" i="71" s="1"/>
  <c r="J171" i="71" s="1"/>
  <c r="K193" i="83"/>
  <c r="K66" i="71" s="1"/>
  <c r="K171" i="71" s="1"/>
  <c r="V135" i="83"/>
  <c r="S135" i="83"/>
  <c r="L222" i="83"/>
  <c r="L96" i="71" s="1"/>
  <c r="L201" i="71" s="1"/>
  <c r="K164" i="83"/>
  <c r="L193" i="83"/>
  <c r="L66" i="71" s="1"/>
  <c r="L171" i="71" s="1"/>
  <c r="W193" i="83"/>
  <c r="W66" i="71" s="1"/>
  <c r="W171" i="71" s="1"/>
  <c r="S222" i="83"/>
  <c r="S96" i="71" s="1"/>
  <c r="S201" i="71" s="1"/>
  <c r="M193" i="83"/>
  <c r="M66" i="71" s="1"/>
  <c r="M171" i="71" s="1"/>
  <c r="K135" i="83"/>
  <c r="K137" i="72" s="1"/>
  <c r="K207" i="72" s="1"/>
  <c r="K237" i="72" s="1"/>
  <c r="Q135" i="83"/>
  <c r="Q137" i="72" s="1"/>
  <c r="Q207" i="72" s="1"/>
  <c r="Q237" i="72" s="1"/>
  <c r="R222" i="83"/>
  <c r="R96" i="71" s="1"/>
  <c r="R201" i="71" s="1"/>
  <c r="Y164" i="83"/>
  <c r="O135" i="83"/>
  <c r="O137" i="72" s="1"/>
  <c r="O207" i="72" s="1"/>
  <c r="O237" i="72" s="1"/>
  <c r="N164" i="83"/>
  <c r="R135" i="83"/>
  <c r="J222" i="83"/>
  <c r="J96" i="71" s="1"/>
  <c r="J201" i="71" s="1"/>
  <c r="U135" i="83"/>
  <c r="Y193" i="83"/>
  <c r="Y66" i="71" s="1"/>
  <c r="Y171" i="71" s="1"/>
  <c r="V222" i="83"/>
  <c r="V96" i="71" s="1"/>
  <c r="V201" i="71" s="1"/>
  <c r="L135" i="83"/>
  <c r="L137" i="72" s="1"/>
  <c r="L207" i="72" s="1"/>
  <c r="L237" i="72" s="1"/>
  <c r="R193" i="83"/>
  <c r="R66" i="71" s="1"/>
  <c r="R171" i="71" s="1"/>
  <c r="O193" i="83"/>
  <c r="O66" i="71" s="1"/>
  <c r="O171" i="71" s="1"/>
  <c r="Q193" i="83"/>
  <c r="Q66" i="71" s="1"/>
  <c r="Q171" i="71" s="1"/>
  <c r="T222" i="83"/>
  <c r="T96" i="71" s="1"/>
  <c r="T201" i="71" s="1"/>
  <c r="U193" i="83"/>
  <c r="U66" i="71" s="1"/>
  <c r="U171" i="71" s="1"/>
  <c r="X193" i="83"/>
  <c r="X66" i="71" s="1"/>
  <c r="X171" i="71" s="1"/>
  <c r="Y222" i="83"/>
  <c r="Y96" i="71" s="1"/>
  <c r="Y201" i="71" s="1"/>
  <c r="T135" i="83"/>
  <c r="X164" i="83"/>
  <c r="P193" i="83"/>
  <c r="P66" i="71" s="1"/>
  <c r="P171" i="71" s="1"/>
  <c r="U222" i="83"/>
  <c r="U96" i="71" s="1"/>
  <c r="U201" i="71" s="1"/>
  <c r="N193" i="83"/>
  <c r="N66" i="71" s="1"/>
  <c r="N171" i="71" s="1"/>
  <c r="Y135" i="83"/>
  <c r="P222" i="83"/>
  <c r="P96" i="71" s="1"/>
  <c r="P201" i="71" s="1"/>
  <c r="X222" i="83"/>
  <c r="X96" i="71" s="1"/>
  <c r="X201" i="71" s="1"/>
  <c r="P135" i="83"/>
  <c r="P137" i="72" s="1"/>
  <c r="P207" i="72" s="1"/>
  <c r="P237" i="72" s="1"/>
  <c r="N222" i="83"/>
  <c r="N96" i="71" s="1"/>
  <c r="N201" i="71" s="1"/>
  <c r="Q164" i="83"/>
  <c r="Q222" i="83"/>
  <c r="Q96" i="71" s="1"/>
  <c r="Q201" i="71" s="1"/>
  <c r="J135" i="83"/>
  <c r="M164" i="83"/>
  <c r="M222" i="83"/>
  <c r="M96" i="71" s="1"/>
  <c r="M201" i="71" s="1"/>
  <c r="J164" i="83"/>
  <c r="X135" i="83"/>
  <c r="O222" i="83"/>
  <c r="O96" i="71" s="1"/>
  <c r="O201" i="71" s="1"/>
  <c r="L164" i="83"/>
  <c r="O164" i="83"/>
  <c r="M149" i="73"/>
  <c r="L179" i="73"/>
  <c r="L239" i="73" s="1"/>
  <c r="O179" i="73"/>
  <c r="O239" i="73" s="1"/>
  <c r="N149" i="73"/>
  <c r="M179" i="73"/>
  <c r="M239" i="73" s="1"/>
  <c r="K149" i="73"/>
  <c r="J179" i="73"/>
  <c r="J239" i="73" s="1"/>
  <c r="K179" i="73"/>
  <c r="K239" i="73" s="1"/>
  <c r="P149" i="73"/>
  <c r="L149" i="73"/>
  <c r="P179" i="73"/>
  <c r="P239" i="73" s="1"/>
  <c r="Q149" i="73"/>
  <c r="O149" i="73"/>
  <c r="N179" i="73"/>
  <c r="N239" i="73" s="1"/>
  <c r="J149" i="73"/>
  <c r="Q179" i="73"/>
  <c r="Q239" i="73" s="1"/>
  <c r="W176" i="72"/>
  <c r="W211" i="72" s="1"/>
  <c r="W241" i="72" s="1"/>
  <c r="U176" i="72"/>
  <c r="U211" i="72" s="1"/>
  <c r="U241" i="72" s="1"/>
  <c r="S176" i="72"/>
  <c r="S211" i="72" s="1"/>
  <c r="S241" i="72" s="1"/>
  <c r="R176" i="72"/>
  <c r="R211" i="72" s="1"/>
  <c r="R241" i="72" s="1"/>
  <c r="T176" i="72"/>
  <c r="T211" i="72" s="1"/>
  <c r="T241" i="72" s="1"/>
  <c r="V176" i="72"/>
  <c r="V211" i="72" s="1"/>
  <c r="V241" i="72" s="1"/>
  <c r="X176" i="72"/>
  <c r="X211" i="72" s="1"/>
  <c r="X241" i="72" s="1"/>
  <c r="Y176" i="72"/>
  <c r="Y211" i="72" s="1"/>
  <c r="Y241" i="72" s="1"/>
  <c r="X174" i="72"/>
  <c r="X209" i="72" s="1"/>
  <c r="X239" i="72" s="1"/>
  <c r="T174" i="72"/>
  <c r="T209" i="72" s="1"/>
  <c r="T239" i="72" s="1"/>
  <c r="Y174" i="72"/>
  <c r="Y209" i="72" s="1"/>
  <c r="Y239" i="72" s="1"/>
  <c r="V174" i="72"/>
  <c r="V209" i="72" s="1"/>
  <c r="V239" i="72" s="1"/>
  <c r="R174" i="72"/>
  <c r="R209" i="72" s="1"/>
  <c r="R239" i="72" s="1"/>
  <c r="W174" i="72"/>
  <c r="W209" i="72" s="1"/>
  <c r="W239" i="72" s="1"/>
  <c r="S174" i="72"/>
  <c r="S209" i="72" s="1"/>
  <c r="S239" i="72" s="1"/>
  <c r="U174" i="72"/>
  <c r="U209" i="72" s="1"/>
  <c r="U239" i="72" s="1"/>
  <c r="S230" i="83"/>
  <c r="S104" i="71" s="1"/>
  <c r="S209" i="71" s="1"/>
  <c r="W230" i="83"/>
  <c r="W104" i="71" s="1"/>
  <c r="W209" i="71" s="1"/>
  <c r="W143" i="83"/>
  <c r="L230" i="83"/>
  <c r="L104" i="71" s="1"/>
  <c r="L209" i="71" s="1"/>
  <c r="S172" i="83"/>
  <c r="S44" i="71" s="1"/>
  <c r="S149" i="71" s="1"/>
  <c r="X201" i="83"/>
  <c r="X74" i="71" s="1"/>
  <c r="X179" i="71" s="1"/>
  <c r="N230" i="83"/>
  <c r="N104" i="71" s="1"/>
  <c r="N209" i="71" s="1"/>
  <c r="K172" i="83"/>
  <c r="K44" i="71" s="1"/>
  <c r="K149" i="71" s="1"/>
  <c r="R201" i="83"/>
  <c r="R74" i="71" s="1"/>
  <c r="R179" i="71" s="1"/>
  <c r="U143" i="83"/>
  <c r="R172" i="83"/>
  <c r="R44" i="71" s="1"/>
  <c r="R149" i="71" s="1"/>
  <c r="N201" i="83"/>
  <c r="N74" i="71" s="1"/>
  <c r="N179" i="71" s="1"/>
  <c r="P230" i="83"/>
  <c r="P104" i="71" s="1"/>
  <c r="P209" i="71" s="1"/>
  <c r="S201" i="83"/>
  <c r="S74" i="71" s="1"/>
  <c r="S179" i="71" s="1"/>
  <c r="P201" i="83"/>
  <c r="P74" i="71" s="1"/>
  <c r="P179" i="71" s="1"/>
  <c r="P143" i="83"/>
  <c r="P145" i="72" s="1"/>
  <c r="P215" i="72" s="1"/>
  <c r="P245" i="72" s="1"/>
  <c r="M201" i="83"/>
  <c r="M74" i="71" s="1"/>
  <c r="M179" i="71" s="1"/>
  <c r="P172" i="83"/>
  <c r="P44" i="71" s="1"/>
  <c r="P149" i="71" s="1"/>
  <c r="V172" i="83"/>
  <c r="V44" i="71" s="1"/>
  <c r="V149" i="71" s="1"/>
  <c r="O172" i="83"/>
  <c r="O44" i="71" s="1"/>
  <c r="O149" i="71" s="1"/>
  <c r="L201" i="83"/>
  <c r="L74" i="71" s="1"/>
  <c r="L179" i="71" s="1"/>
  <c r="M230" i="83"/>
  <c r="M104" i="71" s="1"/>
  <c r="M209" i="71" s="1"/>
  <c r="T172" i="83"/>
  <c r="T44" i="71" s="1"/>
  <c r="T149" i="71" s="1"/>
  <c r="Q230" i="83"/>
  <c r="Q104" i="71" s="1"/>
  <c r="Q209" i="71" s="1"/>
  <c r="X143" i="83"/>
  <c r="U201" i="83"/>
  <c r="U74" i="71" s="1"/>
  <c r="U179" i="71" s="1"/>
  <c r="T143" i="83"/>
  <c r="T201" i="83"/>
  <c r="T74" i="71" s="1"/>
  <c r="T179" i="71" s="1"/>
  <c r="S143" i="83"/>
  <c r="Q201" i="83"/>
  <c r="Q74" i="71" s="1"/>
  <c r="Q179" i="71" s="1"/>
  <c r="Y143" i="83"/>
  <c r="V143" i="83"/>
  <c r="X172" i="83"/>
  <c r="X44" i="71" s="1"/>
  <c r="X149" i="71" s="1"/>
  <c r="J230" i="83"/>
  <c r="J104" i="71" s="1"/>
  <c r="J209" i="71" s="1"/>
  <c r="L143" i="83"/>
  <c r="L145" i="72" s="1"/>
  <c r="L215" i="72" s="1"/>
  <c r="L245" i="72" s="1"/>
  <c r="M143" i="83"/>
  <c r="M145" i="72" s="1"/>
  <c r="M215" i="72" s="1"/>
  <c r="M245" i="72" s="1"/>
  <c r="O201" i="83"/>
  <c r="O74" i="71" s="1"/>
  <c r="O179" i="71" s="1"/>
  <c r="J172" i="83"/>
  <c r="J44" i="71" s="1"/>
  <c r="J149" i="71" s="1"/>
  <c r="K230" i="83"/>
  <c r="K104" i="71" s="1"/>
  <c r="K209" i="71" s="1"/>
  <c r="V230" i="83"/>
  <c r="V104" i="71" s="1"/>
  <c r="V209" i="71" s="1"/>
  <c r="N172" i="83"/>
  <c r="N44" i="71" s="1"/>
  <c r="N149" i="71" s="1"/>
  <c r="O230" i="83"/>
  <c r="O104" i="71" s="1"/>
  <c r="O209" i="71" s="1"/>
  <c r="K201" i="83"/>
  <c r="K74" i="71" s="1"/>
  <c r="K179" i="71" s="1"/>
  <c r="L172" i="83"/>
  <c r="L44" i="71" s="1"/>
  <c r="L149" i="71" s="1"/>
  <c r="U172" i="83"/>
  <c r="U44" i="71" s="1"/>
  <c r="U149" i="71" s="1"/>
  <c r="W201" i="83"/>
  <c r="W74" i="71" s="1"/>
  <c r="W179" i="71" s="1"/>
  <c r="R143" i="83"/>
  <c r="J143" i="83"/>
  <c r="J145" i="72" s="1"/>
  <c r="J215" i="72" s="1"/>
  <c r="J245" i="72" s="1"/>
  <c r="V201" i="83"/>
  <c r="V74" i="71" s="1"/>
  <c r="V179" i="71" s="1"/>
  <c r="X230" i="83"/>
  <c r="X104" i="71" s="1"/>
  <c r="X209" i="71" s="1"/>
  <c r="Y230" i="83"/>
  <c r="Y104" i="71" s="1"/>
  <c r="Y209" i="71" s="1"/>
  <c r="T230" i="83"/>
  <c r="T104" i="71" s="1"/>
  <c r="T209" i="71" s="1"/>
  <c r="K143" i="83"/>
  <c r="K145" i="72" s="1"/>
  <c r="K215" i="72" s="1"/>
  <c r="K245" i="72" s="1"/>
  <c r="U230" i="83"/>
  <c r="U104" i="71" s="1"/>
  <c r="U209" i="71" s="1"/>
  <c r="Q143" i="83"/>
  <c r="Q145" i="72" s="1"/>
  <c r="Q215" i="72" s="1"/>
  <c r="Q245" i="72" s="1"/>
  <c r="J201" i="83"/>
  <c r="J74" i="71" s="1"/>
  <c r="J179" i="71" s="1"/>
  <c r="Y172" i="83"/>
  <c r="Y44" i="71" s="1"/>
  <c r="Y149" i="71" s="1"/>
  <c r="M172" i="83"/>
  <c r="M44" i="71" s="1"/>
  <c r="M149" i="71" s="1"/>
  <c r="N143" i="83"/>
  <c r="N145" i="72" s="1"/>
  <c r="N215" i="72" s="1"/>
  <c r="N245" i="72" s="1"/>
  <c r="R230" i="83"/>
  <c r="R104" i="71" s="1"/>
  <c r="R209" i="71" s="1"/>
  <c r="O143" i="83"/>
  <c r="O145" i="72" s="1"/>
  <c r="O215" i="72" s="1"/>
  <c r="O245" i="72" s="1"/>
  <c r="Y201" i="83"/>
  <c r="Y74" i="71" s="1"/>
  <c r="Y179" i="71" s="1"/>
  <c r="W172" i="83"/>
  <c r="W44" i="71" s="1"/>
  <c r="W149" i="71" s="1"/>
  <c r="Q172" i="83"/>
  <c r="Q44" i="71" s="1"/>
  <c r="Q149" i="71" s="1"/>
  <c r="N165" i="83"/>
  <c r="N37" i="71" s="1"/>
  <c r="N142" i="71" s="1"/>
  <c r="S194" i="83"/>
  <c r="S67" i="71" s="1"/>
  <c r="S172" i="71" s="1"/>
  <c r="Q165" i="83"/>
  <c r="Q37" i="71" s="1"/>
  <c r="Q142" i="71" s="1"/>
  <c r="N136" i="83"/>
  <c r="N138" i="72" s="1"/>
  <c r="N208" i="72" s="1"/>
  <c r="N238" i="72" s="1"/>
  <c r="M194" i="83"/>
  <c r="M67" i="71" s="1"/>
  <c r="M172" i="71" s="1"/>
  <c r="S223" i="83"/>
  <c r="S97" i="71" s="1"/>
  <c r="S202" i="71" s="1"/>
  <c r="T194" i="83"/>
  <c r="T67" i="71" s="1"/>
  <c r="T172" i="71" s="1"/>
  <c r="X223" i="83"/>
  <c r="X97" i="71" s="1"/>
  <c r="X202" i="71" s="1"/>
  <c r="W136" i="83"/>
  <c r="U136" i="83"/>
  <c r="R136" i="83"/>
  <c r="T165" i="83"/>
  <c r="T37" i="71" s="1"/>
  <c r="T142" i="71" s="1"/>
  <c r="K223" i="83"/>
  <c r="K97" i="71" s="1"/>
  <c r="K202" i="71" s="1"/>
  <c r="S136" i="83"/>
  <c r="Y136" i="83"/>
  <c r="R223" i="83"/>
  <c r="R97" i="71" s="1"/>
  <c r="R202" i="71" s="1"/>
  <c r="L136" i="83"/>
  <c r="L138" i="72" s="1"/>
  <c r="L208" i="72" s="1"/>
  <c r="L238" i="72" s="1"/>
  <c r="V136" i="83"/>
  <c r="M136" i="83"/>
  <c r="M138" i="72" s="1"/>
  <c r="M208" i="72" s="1"/>
  <c r="M238" i="72" s="1"/>
  <c r="P223" i="83"/>
  <c r="P97" i="71" s="1"/>
  <c r="P202" i="71" s="1"/>
  <c r="K194" i="83"/>
  <c r="K67" i="71" s="1"/>
  <c r="K172" i="71" s="1"/>
  <c r="U223" i="83"/>
  <c r="U97" i="71" s="1"/>
  <c r="U202" i="71" s="1"/>
  <c r="V223" i="83"/>
  <c r="V97" i="71" s="1"/>
  <c r="V202" i="71" s="1"/>
  <c r="K165" i="83"/>
  <c r="K37" i="71" s="1"/>
  <c r="K142" i="71" s="1"/>
  <c r="X194" i="83"/>
  <c r="X67" i="71" s="1"/>
  <c r="X172" i="71" s="1"/>
  <c r="Q194" i="83"/>
  <c r="Q67" i="71" s="1"/>
  <c r="Q172" i="71" s="1"/>
  <c r="J165" i="83"/>
  <c r="J37" i="71" s="1"/>
  <c r="J142" i="71" s="1"/>
  <c r="N223" i="83"/>
  <c r="N97" i="71" s="1"/>
  <c r="N202" i="71" s="1"/>
  <c r="R165" i="83"/>
  <c r="R37" i="71" s="1"/>
  <c r="R142" i="71" s="1"/>
  <c r="O136" i="83"/>
  <c r="O138" i="72" s="1"/>
  <c r="O208" i="72" s="1"/>
  <c r="O238" i="72" s="1"/>
  <c r="P165" i="83"/>
  <c r="P37" i="71" s="1"/>
  <c r="P142" i="71" s="1"/>
  <c r="W194" i="83"/>
  <c r="W67" i="71" s="1"/>
  <c r="W172" i="71" s="1"/>
  <c r="K136" i="83"/>
  <c r="K138" i="72" s="1"/>
  <c r="K208" i="72" s="1"/>
  <c r="K238" i="72" s="1"/>
  <c r="W223" i="83"/>
  <c r="W97" i="71" s="1"/>
  <c r="W202" i="71" s="1"/>
  <c r="J223" i="83"/>
  <c r="J97" i="71" s="1"/>
  <c r="J202" i="71" s="1"/>
  <c r="R194" i="83"/>
  <c r="R67" i="71" s="1"/>
  <c r="R172" i="71" s="1"/>
  <c r="U194" i="83"/>
  <c r="U67" i="71" s="1"/>
  <c r="U172" i="71" s="1"/>
  <c r="W165" i="83"/>
  <c r="W37" i="71" s="1"/>
  <c r="W142" i="71" s="1"/>
  <c r="O165" i="83"/>
  <c r="O37" i="71" s="1"/>
  <c r="O142" i="71" s="1"/>
  <c r="J136" i="83"/>
  <c r="J138" i="72" s="1"/>
  <c r="J208" i="72" s="1"/>
  <c r="J238" i="72" s="1"/>
  <c r="P136" i="83"/>
  <c r="P138" i="72" s="1"/>
  <c r="P208" i="72" s="1"/>
  <c r="P238" i="72" s="1"/>
  <c r="P194" i="83"/>
  <c r="P67" i="71" s="1"/>
  <c r="P172" i="71" s="1"/>
  <c r="T223" i="83"/>
  <c r="T97" i="71" s="1"/>
  <c r="T202" i="71" s="1"/>
  <c r="V194" i="83"/>
  <c r="V67" i="71" s="1"/>
  <c r="V172" i="71" s="1"/>
  <c r="M165" i="83"/>
  <c r="M37" i="71" s="1"/>
  <c r="M142" i="71" s="1"/>
  <c r="J194" i="83"/>
  <c r="J67" i="71" s="1"/>
  <c r="J172" i="71" s="1"/>
  <c r="Y165" i="83"/>
  <c r="Y37" i="71" s="1"/>
  <c r="Y142" i="71" s="1"/>
  <c r="L165" i="83"/>
  <c r="L37" i="71" s="1"/>
  <c r="L142" i="71" s="1"/>
  <c r="Y194" i="83"/>
  <c r="Y67" i="71" s="1"/>
  <c r="Y172" i="71" s="1"/>
  <c r="X165" i="83"/>
  <c r="X37" i="71" s="1"/>
  <c r="X142" i="71" s="1"/>
  <c r="Q136" i="83"/>
  <c r="Q138" i="72" s="1"/>
  <c r="Q208" i="72" s="1"/>
  <c r="Q238" i="72" s="1"/>
  <c r="X136" i="83"/>
  <c r="L194" i="83"/>
  <c r="L67" i="71" s="1"/>
  <c r="L172" i="71" s="1"/>
  <c r="U165" i="83"/>
  <c r="U37" i="71" s="1"/>
  <c r="U142" i="71" s="1"/>
  <c r="L223" i="83"/>
  <c r="L97" i="71" s="1"/>
  <c r="L202" i="71" s="1"/>
  <c r="Y223" i="83"/>
  <c r="Y97" i="71" s="1"/>
  <c r="Y202" i="71" s="1"/>
  <c r="O223" i="83"/>
  <c r="O97" i="71" s="1"/>
  <c r="O202" i="71" s="1"/>
  <c r="T136" i="83"/>
  <c r="V165" i="83"/>
  <c r="V37" i="71" s="1"/>
  <c r="V142" i="71" s="1"/>
  <c r="S165" i="83"/>
  <c r="S37" i="71" s="1"/>
  <c r="S142" i="71" s="1"/>
  <c r="Q223" i="83"/>
  <c r="Q97" i="71" s="1"/>
  <c r="Q202" i="71" s="1"/>
  <c r="N194" i="83"/>
  <c r="N67" i="71" s="1"/>
  <c r="N172" i="71" s="1"/>
  <c r="M223" i="83"/>
  <c r="M97" i="71" s="1"/>
  <c r="M202" i="71" s="1"/>
  <c r="O194" i="83"/>
  <c r="O67" i="71" s="1"/>
  <c r="O172" i="71" s="1"/>
  <c r="P146" i="73"/>
  <c r="M176" i="73"/>
  <c r="M236" i="73" s="1"/>
  <c r="N176" i="73"/>
  <c r="N236" i="73" s="1"/>
  <c r="L176" i="73"/>
  <c r="L236" i="73" s="1"/>
  <c r="M146" i="73"/>
  <c r="L146" i="73"/>
  <c r="P176" i="73"/>
  <c r="P236" i="73" s="1"/>
  <c r="J146" i="73"/>
  <c r="J176" i="73"/>
  <c r="J236" i="73" s="1"/>
  <c r="N146" i="73"/>
  <c r="Q176" i="73"/>
  <c r="Q236" i="73" s="1"/>
  <c r="Q146" i="73"/>
  <c r="K146" i="73"/>
  <c r="K176" i="73"/>
  <c r="K236" i="73" s="1"/>
  <c r="O146" i="73"/>
  <c r="O176" i="73"/>
  <c r="O236" i="73" s="1"/>
  <c r="O185" i="73"/>
  <c r="O245" i="73" s="1"/>
  <c r="M185" i="73"/>
  <c r="M245" i="73" s="1"/>
  <c r="L185" i="73"/>
  <c r="L245" i="73" s="1"/>
  <c r="J185" i="73"/>
  <c r="J245" i="73" s="1"/>
  <c r="K155" i="73"/>
  <c r="N185" i="73"/>
  <c r="N245" i="73" s="1"/>
  <c r="O155" i="73"/>
  <c r="P155" i="73"/>
  <c r="L155" i="73"/>
  <c r="Q185" i="73"/>
  <c r="Q245" i="73" s="1"/>
  <c r="K185" i="73"/>
  <c r="K245" i="73" s="1"/>
  <c r="J155" i="73"/>
  <c r="M155" i="73"/>
  <c r="Q155" i="73"/>
  <c r="P185" i="73"/>
  <c r="P245" i="73" s="1"/>
  <c r="N155" i="73"/>
  <c r="S173" i="72"/>
  <c r="S208" i="72" s="1"/>
  <c r="S238" i="72" s="1"/>
  <c r="W173" i="72"/>
  <c r="W208" i="72" s="1"/>
  <c r="W238" i="72" s="1"/>
  <c r="X173" i="72"/>
  <c r="X208" i="72" s="1"/>
  <c r="X238" i="72" s="1"/>
  <c r="T173" i="72"/>
  <c r="T208" i="72" s="1"/>
  <c r="T238" i="72" s="1"/>
  <c r="U173" i="72"/>
  <c r="U208" i="72" s="1"/>
  <c r="U238" i="72" s="1"/>
  <c r="V173" i="72"/>
  <c r="V208" i="72" s="1"/>
  <c r="V238" i="72" s="1"/>
  <c r="Y173" i="72"/>
  <c r="Y208" i="72" s="1"/>
  <c r="Y238" i="72" s="1"/>
  <c r="R173" i="72"/>
  <c r="R208" i="72" s="1"/>
  <c r="R238" i="72" s="1"/>
  <c r="T178" i="72"/>
  <c r="T213" i="72" s="1"/>
  <c r="T243" i="72" s="1"/>
  <c r="R178" i="72"/>
  <c r="R213" i="72" s="1"/>
  <c r="R243" i="72" s="1"/>
  <c r="U178" i="72"/>
  <c r="U213" i="72" s="1"/>
  <c r="U243" i="72" s="1"/>
  <c r="W178" i="72"/>
  <c r="W213" i="72" s="1"/>
  <c r="W243" i="72" s="1"/>
  <c r="Y178" i="72"/>
  <c r="Y213" i="72" s="1"/>
  <c r="Y243" i="72" s="1"/>
  <c r="V178" i="72"/>
  <c r="V213" i="72" s="1"/>
  <c r="V243" i="72" s="1"/>
  <c r="X178" i="72"/>
  <c r="X213" i="72" s="1"/>
  <c r="X243" i="72" s="1"/>
  <c r="S178" i="72"/>
  <c r="S213" i="72" s="1"/>
  <c r="S243" i="72" s="1"/>
  <c r="P231" i="83"/>
  <c r="P105" i="71" s="1"/>
  <c r="P210" i="71" s="1"/>
  <c r="M202" i="83"/>
  <c r="M75" i="71" s="1"/>
  <c r="M180" i="71" s="1"/>
  <c r="R202" i="83"/>
  <c r="R75" i="71" s="1"/>
  <c r="R180" i="71" s="1"/>
  <c r="N202" i="83"/>
  <c r="N75" i="71" s="1"/>
  <c r="N180" i="71" s="1"/>
  <c r="Q173" i="83"/>
  <c r="Q45" i="71" s="1"/>
  <c r="Q150" i="71" s="1"/>
  <c r="R144" i="83"/>
  <c r="N144" i="83"/>
  <c r="N146" i="72" s="1"/>
  <c r="N216" i="72" s="1"/>
  <c r="N246" i="72" s="1"/>
  <c r="J202" i="83"/>
  <c r="J75" i="71" s="1"/>
  <c r="J180" i="71" s="1"/>
  <c r="M173" i="83"/>
  <c r="M45" i="71" s="1"/>
  <c r="M150" i="71" s="1"/>
  <c r="P144" i="83"/>
  <c r="P146" i="72" s="1"/>
  <c r="P216" i="72" s="1"/>
  <c r="P246" i="72" s="1"/>
  <c r="K173" i="83"/>
  <c r="K45" i="71" s="1"/>
  <c r="K150" i="71" s="1"/>
  <c r="W144" i="83"/>
  <c r="V144" i="83"/>
  <c r="P202" i="83"/>
  <c r="P75" i="71" s="1"/>
  <c r="P180" i="71" s="1"/>
  <c r="W231" i="83"/>
  <c r="W105" i="71" s="1"/>
  <c r="W210" i="71" s="1"/>
  <c r="R231" i="83"/>
  <c r="R105" i="71" s="1"/>
  <c r="R210" i="71" s="1"/>
  <c r="J144" i="83"/>
  <c r="J146" i="72" s="1"/>
  <c r="J216" i="72" s="1"/>
  <c r="J246" i="72" s="1"/>
  <c r="T144" i="83"/>
  <c r="R173" i="83"/>
  <c r="R45" i="71" s="1"/>
  <c r="R150" i="71" s="1"/>
  <c r="X202" i="83"/>
  <c r="X75" i="71" s="1"/>
  <c r="X180" i="71" s="1"/>
  <c r="X173" i="83"/>
  <c r="X45" i="71" s="1"/>
  <c r="X150" i="71" s="1"/>
  <c r="T173" i="83"/>
  <c r="T45" i="71" s="1"/>
  <c r="T150" i="71" s="1"/>
  <c r="L202" i="83"/>
  <c r="L75" i="71" s="1"/>
  <c r="L180" i="71" s="1"/>
  <c r="J231" i="83"/>
  <c r="J105" i="71" s="1"/>
  <c r="J210" i="71" s="1"/>
  <c r="W202" i="83"/>
  <c r="W75" i="71" s="1"/>
  <c r="W180" i="71" s="1"/>
  <c r="Y231" i="83"/>
  <c r="Y105" i="71" s="1"/>
  <c r="Y210" i="71" s="1"/>
  <c r="O202" i="83"/>
  <c r="O75" i="71" s="1"/>
  <c r="O180" i="71" s="1"/>
  <c r="L173" i="83"/>
  <c r="L45" i="71" s="1"/>
  <c r="L150" i="71" s="1"/>
  <c r="J173" i="83"/>
  <c r="J45" i="71" s="1"/>
  <c r="J150" i="71" s="1"/>
  <c r="Q231" i="83"/>
  <c r="Q105" i="71" s="1"/>
  <c r="Q210" i="71" s="1"/>
  <c r="L231" i="83"/>
  <c r="L105" i="71" s="1"/>
  <c r="L210" i="71" s="1"/>
  <c r="O173" i="83"/>
  <c r="O45" i="71" s="1"/>
  <c r="O150" i="71" s="1"/>
  <c r="K231" i="83"/>
  <c r="K105" i="71" s="1"/>
  <c r="K210" i="71" s="1"/>
  <c r="S202" i="83"/>
  <c r="S75" i="71" s="1"/>
  <c r="S180" i="71" s="1"/>
  <c r="V231" i="83"/>
  <c r="V105" i="71" s="1"/>
  <c r="V210" i="71" s="1"/>
  <c r="O144" i="83"/>
  <c r="O146" i="72" s="1"/>
  <c r="O216" i="72" s="1"/>
  <c r="O246" i="72" s="1"/>
  <c r="U144" i="83"/>
  <c r="Y173" i="83"/>
  <c r="Y45" i="71" s="1"/>
  <c r="Y150" i="71" s="1"/>
  <c r="U173" i="83"/>
  <c r="U45" i="71" s="1"/>
  <c r="U150" i="71" s="1"/>
  <c r="S173" i="83"/>
  <c r="S45" i="71" s="1"/>
  <c r="S150" i="71" s="1"/>
  <c r="S231" i="83"/>
  <c r="S105" i="71" s="1"/>
  <c r="S210" i="71" s="1"/>
  <c r="Q202" i="83"/>
  <c r="Q75" i="71" s="1"/>
  <c r="Q180" i="71" s="1"/>
  <c r="U202" i="83"/>
  <c r="U75" i="71" s="1"/>
  <c r="U180" i="71" s="1"/>
  <c r="S144" i="83"/>
  <c r="W173" i="83"/>
  <c r="W45" i="71" s="1"/>
  <c r="W150" i="71" s="1"/>
  <c r="K144" i="83"/>
  <c r="K146" i="72" s="1"/>
  <c r="K216" i="72" s="1"/>
  <c r="K246" i="72" s="1"/>
  <c r="T231" i="83"/>
  <c r="T105" i="71" s="1"/>
  <c r="T210" i="71" s="1"/>
  <c r="K202" i="83"/>
  <c r="K75" i="71" s="1"/>
  <c r="K180" i="71" s="1"/>
  <c r="X144" i="83"/>
  <c r="O231" i="83"/>
  <c r="O105" i="71" s="1"/>
  <c r="O210" i="71" s="1"/>
  <c r="V173" i="83"/>
  <c r="V45" i="71" s="1"/>
  <c r="V150" i="71" s="1"/>
  <c r="V202" i="83"/>
  <c r="V75" i="71" s="1"/>
  <c r="V180" i="71" s="1"/>
  <c r="N231" i="83"/>
  <c r="N105" i="71" s="1"/>
  <c r="N210" i="71" s="1"/>
  <c r="M231" i="83"/>
  <c r="M105" i="71" s="1"/>
  <c r="M210" i="71" s="1"/>
  <c r="X231" i="83"/>
  <c r="X105" i="71" s="1"/>
  <c r="X210" i="71" s="1"/>
  <c r="Y202" i="83"/>
  <c r="Y75" i="71" s="1"/>
  <c r="Y180" i="71" s="1"/>
  <c r="Q144" i="83"/>
  <c r="Q146" i="72" s="1"/>
  <c r="Q216" i="72" s="1"/>
  <c r="Q246" i="72" s="1"/>
  <c r="M144" i="83"/>
  <c r="M146" i="72" s="1"/>
  <c r="M216" i="72" s="1"/>
  <c r="M246" i="72" s="1"/>
  <c r="U231" i="83"/>
  <c r="U105" i="71" s="1"/>
  <c r="U210" i="71" s="1"/>
  <c r="Y144" i="83"/>
  <c r="T202" i="83"/>
  <c r="T75" i="71" s="1"/>
  <c r="T180" i="71" s="1"/>
  <c r="N173" i="83"/>
  <c r="N45" i="71" s="1"/>
  <c r="N150" i="71" s="1"/>
  <c r="P173" i="83"/>
  <c r="P45" i="71" s="1"/>
  <c r="P150" i="71" s="1"/>
  <c r="L144" i="83"/>
  <c r="L146" i="72" s="1"/>
  <c r="L216" i="72" s="1"/>
  <c r="L246" i="72" s="1"/>
  <c r="P184" i="73"/>
  <c r="P244" i="73" s="1"/>
  <c r="L184" i="73"/>
  <c r="L244" i="73" s="1"/>
  <c r="P154" i="73"/>
  <c r="Q154" i="73"/>
  <c r="O154" i="73"/>
  <c r="M154" i="73"/>
  <c r="N154" i="73"/>
  <c r="J154" i="73"/>
  <c r="N184" i="73"/>
  <c r="N244" i="73" s="1"/>
  <c r="Q184" i="73"/>
  <c r="Q244" i="73" s="1"/>
  <c r="M184" i="73"/>
  <c r="M244" i="73" s="1"/>
  <c r="K154" i="73"/>
  <c r="L154" i="73"/>
  <c r="K184" i="73"/>
  <c r="K244" i="73" s="1"/>
  <c r="O184" i="73"/>
  <c r="O244" i="73" s="1"/>
  <c r="J184" i="73"/>
  <c r="J244" i="73" s="1"/>
  <c r="O151" i="73"/>
  <c r="K151" i="73"/>
  <c r="N181" i="73"/>
  <c r="N241" i="73" s="1"/>
  <c r="L151" i="73"/>
  <c r="K181" i="73"/>
  <c r="K241" i="73" s="1"/>
  <c r="L181" i="73"/>
  <c r="L241" i="73" s="1"/>
  <c r="P181" i="73"/>
  <c r="P241" i="73" s="1"/>
  <c r="Q151" i="73"/>
  <c r="J181" i="73"/>
  <c r="J241" i="73" s="1"/>
  <c r="P151" i="73"/>
  <c r="N151" i="73"/>
  <c r="Q181" i="73"/>
  <c r="Q241" i="73" s="1"/>
  <c r="O181" i="73"/>
  <c r="O241" i="73" s="1"/>
  <c r="M181" i="73"/>
  <c r="M241" i="73" s="1"/>
  <c r="J151" i="73"/>
  <c r="M151" i="73"/>
  <c r="X177" i="72"/>
  <c r="X212" i="72" s="1"/>
  <c r="X242" i="72" s="1"/>
  <c r="T177" i="72"/>
  <c r="T212" i="72" s="1"/>
  <c r="T242" i="72" s="1"/>
  <c r="V177" i="72"/>
  <c r="V212" i="72" s="1"/>
  <c r="V242" i="72" s="1"/>
  <c r="S177" i="72"/>
  <c r="S212" i="72" s="1"/>
  <c r="S242" i="72" s="1"/>
  <c r="Y177" i="72"/>
  <c r="Y212" i="72" s="1"/>
  <c r="Y242" i="72" s="1"/>
  <c r="R177" i="72"/>
  <c r="R212" i="72" s="1"/>
  <c r="R242" i="72" s="1"/>
  <c r="U177" i="72"/>
  <c r="U212" i="72" s="1"/>
  <c r="U242" i="72" s="1"/>
  <c r="W177" i="72"/>
  <c r="W212" i="72" s="1"/>
  <c r="W242" i="72" s="1"/>
  <c r="W181" i="72"/>
  <c r="W216" i="72" s="1"/>
  <c r="W246" i="72" s="1"/>
  <c r="R181" i="72"/>
  <c r="R216" i="72" s="1"/>
  <c r="R246" i="72" s="1"/>
  <c r="S181" i="72"/>
  <c r="S216" i="72" s="1"/>
  <c r="S246" i="72" s="1"/>
  <c r="T181" i="72"/>
  <c r="T216" i="72" s="1"/>
  <c r="T246" i="72" s="1"/>
  <c r="X181" i="72"/>
  <c r="X216" i="72" s="1"/>
  <c r="X246" i="72" s="1"/>
  <c r="V181" i="72"/>
  <c r="V216" i="72" s="1"/>
  <c r="V246" i="72" s="1"/>
  <c r="U181" i="72"/>
  <c r="U216" i="72" s="1"/>
  <c r="U246" i="72" s="1"/>
  <c r="Y181" i="72"/>
  <c r="Y216" i="72" s="1"/>
  <c r="Y246" i="72" s="1"/>
  <c r="L138" i="83"/>
  <c r="L140" i="72" s="1"/>
  <c r="L210" i="72" s="1"/>
  <c r="L240" i="72" s="1"/>
  <c r="V225" i="83"/>
  <c r="V99" i="71" s="1"/>
  <c r="V204" i="71" s="1"/>
  <c r="R138" i="83"/>
  <c r="P225" i="83"/>
  <c r="P99" i="71" s="1"/>
  <c r="P204" i="71" s="1"/>
  <c r="P196" i="83"/>
  <c r="P69" i="71" s="1"/>
  <c r="P174" i="71" s="1"/>
  <c r="Q167" i="83"/>
  <c r="Q39" i="71" s="1"/>
  <c r="Q144" i="71" s="1"/>
  <c r="K196" i="83"/>
  <c r="K69" i="71" s="1"/>
  <c r="K174" i="71" s="1"/>
  <c r="O225" i="83"/>
  <c r="O99" i="71" s="1"/>
  <c r="O204" i="71" s="1"/>
  <c r="L225" i="83"/>
  <c r="L99" i="71" s="1"/>
  <c r="L204" i="71" s="1"/>
  <c r="Y196" i="83"/>
  <c r="Y69" i="71" s="1"/>
  <c r="Y174" i="71" s="1"/>
  <c r="L196" i="83"/>
  <c r="L69" i="71" s="1"/>
  <c r="L174" i="71" s="1"/>
  <c r="V196" i="83"/>
  <c r="V69" i="71" s="1"/>
  <c r="V174" i="71" s="1"/>
  <c r="V167" i="83"/>
  <c r="V39" i="71" s="1"/>
  <c r="V144" i="71" s="1"/>
  <c r="T225" i="83"/>
  <c r="T99" i="71" s="1"/>
  <c r="T204" i="71" s="1"/>
  <c r="P167" i="83"/>
  <c r="P39" i="71" s="1"/>
  <c r="P144" i="71" s="1"/>
  <c r="P138" i="83"/>
  <c r="P140" i="72" s="1"/>
  <c r="P210" i="72" s="1"/>
  <c r="P240" i="72" s="1"/>
  <c r="M225" i="83"/>
  <c r="M99" i="71" s="1"/>
  <c r="M204" i="71" s="1"/>
  <c r="R167" i="83"/>
  <c r="R39" i="71" s="1"/>
  <c r="R144" i="71" s="1"/>
  <c r="L167" i="83"/>
  <c r="L39" i="71" s="1"/>
  <c r="L144" i="71" s="1"/>
  <c r="J167" i="83"/>
  <c r="J39" i="71" s="1"/>
  <c r="J144" i="71" s="1"/>
  <c r="W138" i="83"/>
  <c r="S138" i="83"/>
  <c r="Q138" i="83"/>
  <c r="Q140" i="72" s="1"/>
  <c r="Q210" i="72" s="1"/>
  <c r="Q240" i="72" s="1"/>
  <c r="S167" i="83"/>
  <c r="S39" i="71" s="1"/>
  <c r="S144" i="71" s="1"/>
  <c r="U138" i="83"/>
  <c r="N167" i="83"/>
  <c r="N39" i="71" s="1"/>
  <c r="N144" i="71" s="1"/>
  <c r="O138" i="83"/>
  <c r="O140" i="72" s="1"/>
  <c r="O210" i="72" s="1"/>
  <c r="O240" i="72" s="1"/>
  <c r="M138" i="83"/>
  <c r="M140" i="72" s="1"/>
  <c r="M210" i="72" s="1"/>
  <c r="M240" i="72" s="1"/>
  <c r="O167" i="83"/>
  <c r="O39" i="71" s="1"/>
  <c r="O144" i="71" s="1"/>
  <c r="U167" i="83"/>
  <c r="U39" i="71" s="1"/>
  <c r="U144" i="71" s="1"/>
  <c r="M196" i="83"/>
  <c r="M69" i="71" s="1"/>
  <c r="M174" i="71" s="1"/>
  <c r="Y225" i="83"/>
  <c r="Y99" i="71" s="1"/>
  <c r="Y204" i="71" s="1"/>
  <c r="U225" i="83"/>
  <c r="U99" i="71" s="1"/>
  <c r="U204" i="71" s="1"/>
  <c r="S196" i="83"/>
  <c r="S69" i="71" s="1"/>
  <c r="S174" i="71" s="1"/>
  <c r="R225" i="83"/>
  <c r="R99" i="71" s="1"/>
  <c r="R204" i="71" s="1"/>
  <c r="V138" i="83"/>
  <c r="M167" i="83"/>
  <c r="M39" i="71" s="1"/>
  <c r="M144" i="71" s="1"/>
  <c r="Y167" i="83"/>
  <c r="Y39" i="71" s="1"/>
  <c r="Y144" i="71" s="1"/>
  <c r="W167" i="83"/>
  <c r="W39" i="71" s="1"/>
  <c r="W144" i="71" s="1"/>
  <c r="U196" i="83"/>
  <c r="U69" i="71" s="1"/>
  <c r="U174" i="71" s="1"/>
  <c r="T138" i="83"/>
  <c r="Y138" i="83"/>
  <c r="J225" i="83"/>
  <c r="J99" i="71" s="1"/>
  <c r="J204" i="71" s="1"/>
  <c r="K138" i="83"/>
  <c r="K140" i="72" s="1"/>
  <c r="K210" i="72" s="1"/>
  <c r="K240" i="72" s="1"/>
  <c r="X196" i="83"/>
  <c r="X69" i="71" s="1"/>
  <c r="X174" i="71" s="1"/>
  <c r="X167" i="83"/>
  <c r="X39" i="71" s="1"/>
  <c r="X144" i="71" s="1"/>
  <c r="J196" i="83"/>
  <c r="J69" i="71" s="1"/>
  <c r="J174" i="71" s="1"/>
  <c r="Q196" i="83"/>
  <c r="Q69" i="71" s="1"/>
  <c r="Q174" i="71" s="1"/>
  <c r="J138" i="83"/>
  <c r="J140" i="72" s="1"/>
  <c r="J210" i="72" s="1"/>
  <c r="J240" i="72" s="1"/>
  <c r="K167" i="83"/>
  <c r="K39" i="71" s="1"/>
  <c r="K144" i="71" s="1"/>
  <c r="W225" i="83"/>
  <c r="W99" i="71" s="1"/>
  <c r="W204" i="71" s="1"/>
  <c r="X138" i="83"/>
  <c r="R196" i="83"/>
  <c r="R69" i="71" s="1"/>
  <c r="R174" i="71" s="1"/>
  <c r="N138" i="83"/>
  <c r="N140" i="72" s="1"/>
  <c r="N210" i="72" s="1"/>
  <c r="N240" i="72" s="1"/>
  <c r="O196" i="83"/>
  <c r="O69" i="71" s="1"/>
  <c r="O174" i="71" s="1"/>
  <c r="W196" i="83"/>
  <c r="W69" i="71" s="1"/>
  <c r="W174" i="71" s="1"/>
  <c r="S225" i="83"/>
  <c r="S99" i="71" s="1"/>
  <c r="S204" i="71" s="1"/>
  <c r="X225" i="83"/>
  <c r="X99" i="71" s="1"/>
  <c r="X204" i="71" s="1"/>
  <c r="Q225" i="83"/>
  <c r="Q99" i="71" s="1"/>
  <c r="Q204" i="71" s="1"/>
  <c r="T196" i="83"/>
  <c r="T69" i="71" s="1"/>
  <c r="T174" i="71" s="1"/>
  <c r="T167" i="83"/>
  <c r="T39" i="71" s="1"/>
  <c r="T144" i="71" s="1"/>
  <c r="K225" i="83"/>
  <c r="K99" i="71" s="1"/>
  <c r="K204" i="71" s="1"/>
  <c r="N196" i="83"/>
  <c r="N69" i="71" s="1"/>
  <c r="N174" i="71" s="1"/>
  <c r="N225" i="83"/>
  <c r="N99" i="71" s="1"/>
  <c r="N204" i="71" s="1"/>
  <c r="O257" i="73" l="1"/>
  <c r="O25" i="41" s="1"/>
  <c r="Y45" i="41" s="1"/>
  <c r="L257" i="73"/>
  <c r="L25" i="41" s="1"/>
  <c r="O45" i="41" s="1"/>
  <c r="N219" i="71"/>
  <c r="N22" i="41" s="1"/>
  <c r="R42" i="41" s="1"/>
  <c r="U218" i="71"/>
  <c r="U21" i="41" s="1"/>
  <c r="AK41" i="41" s="1"/>
  <c r="AK76" i="41" s="1"/>
  <c r="V219" i="71"/>
  <c r="V22" i="41" s="1"/>
  <c r="AL42" i="41" s="1"/>
  <c r="AL22" i="65" s="1"/>
  <c r="O250" i="72"/>
  <c r="O26" i="41" s="1"/>
  <c r="Z46" i="41" s="1"/>
  <c r="S219" i="71"/>
  <c r="S22" i="41" s="1"/>
  <c r="AI42" i="41" s="1"/>
  <c r="AI77" i="41" s="1"/>
  <c r="J36" i="71"/>
  <c r="J141" i="71" s="1"/>
  <c r="J217" i="71" s="1"/>
  <c r="J20" i="41" s="1"/>
  <c r="J40" i="41" s="1"/>
  <c r="J239" i="83"/>
  <c r="J257" i="73"/>
  <c r="J25" i="41" s="1"/>
  <c r="J45" i="41" s="1"/>
  <c r="N257" i="73"/>
  <c r="N25" i="41" s="1"/>
  <c r="M219" i="71"/>
  <c r="M22" i="41" s="1"/>
  <c r="Q42" i="41" s="1"/>
  <c r="P250" i="72"/>
  <c r="P26" i="41" s="1"/>
  <c r="P218" i="71"/>
  <c r="P21" i="41" s="1"/>
  <c r="T219" i="71"/>
  <c r="T22" i="41" s="1"/>
  <c r="AJ42" i="41" s="1"/>
  <c r="Y218" i="71"/>
  <c r="Y21" i="41" s="1"/>
  <c r="AO41" i="41" s="1"/>
  <c r="Y36" i="71"/>
  <c r="Y141" i="71" s="1"/>
  <c r="Y217" i="71" s="1"/>
  <c r="Y20" i="41" s="1"/>
  <c r="AO40" i="41" s="1"/>
  <c r="AO20" i="65" s="1"/>
  <c r="Y239" i="83"/>
  <c r="W218" i="71"/>
  <c r="W21" i="41" s="1"/>
  <c r="AM41" i="41" s="1"/>
  <c r="K218" i="71"/>
  <c r="K21" i="41" s="1"/>
  <c r="K41" i="41" s="1"/>
  <c r="T218" i="71"/>
  <c r="T21" i="41" s="1"/>
  <c r="AJ41" i="41" s="1"/>
  <c r="Y250" i="72"/>
  <c r="Y26" i="41" s="1"/>
  <c r="AO46" i="41" s="1"/>
  <c r="V250" i="72"/>
  <c r="V26" i="41" s="1"/>
  <c r="AL46" i="41" s="1"/>
  <c r="U36" i="71"/>
  <c r="U141" i="71" s="1"/>
  <c r="U217" i="71" s="1"/>
  <c r="U20" i="41" s="1"/>
  <c r="AK40" i="41" s="1"/>
  <c r="AK20" i="65" s="1"/>
  <c r="U239" i="83"/>
  <c r="S250" i="72"/>
  <c r="S26" i="41" s="1"/>
  <c r="AI46" i="41" s="1"/>
  <c r="K257" i="73"/>
  <c r="K25" i="41" s="1"/>
  <c r="K45" i="41" s="1"/>
  <c r="M257" i="73"/>
  <c r="M25" i="41" s="1"/>
  <c r="Q45" i="41" s="1"/>
  <c r="O36" i="71"/>
  <c r="O141" i="71" s="1"/>
  <c r="O217" i="71" s="1"/>
  <c r="O20" i="41" s="1"/>
  <c r="Z40" i="41" s="1"/>
  <c r="O239" i="83"/>
  <c r="M36" i="71"/>
  <c r="M141" i="71" s="1"/>
  <c r="M217" i="71" s="1"/>
  <c r="M20" i="41" s="1"/>
  <c r="Q40" i="41" s="1"/>
  <c r="Q75" i="41" s="1"/>
  <c r="M239" i="83"/>
  <c r="X219" i="71"/>
  <c r="X22" i="41" s="1"/>
  <c r="AN42" i="41" s="1"/>
  <c r="X36" i="71"/>
  <c r="X141" i="71" s="1"/>
  <c r="X217" i="71" s="1"/>
  <c r="X20" i="41" s="1"/>
  <c r="AN40" i="41" s="1"/>
  <c r="AN20" i="65" s="1"/>
  <c r="X239" i="83"/>
  <c r="Q218" i="71"/>
  <c r="Q21" i="41" s="1"/>
  <c r="AG41" i="41" s="1"/>
  <c r="R219" i="71"/>
  <c r="R22" i="41" s="1"/>
  <c r="AH42" i="41" s="1"/>
  <c r="L218" i="71"/>
  <c r="L21" i="41" s="1"/>
  <c r="J218" i="71"/>
  <c r="J21" i="41" s="1"/>
  <c r="J41" i="41" s="1"/>
  <c r="V218" i="71"/>
  <c r="V21" i="41" s="1"/>
  <c r="AL41" i="41" s="1"/>
  <c r="W219" i="71"/>
  <c r="W22" i="41" s="1"/>
  <c r="AM42" i="41" s="1"/>
  <c r="W250" i="72"/>
  <c r="W26" i="41" s="1"/>
  <c r="AM46" i="41" s="1"/>
  <c r="U250" i="72"/>
  <c r="U26" i="41" s="1"/>
  <c r="AK46" i="41" s="1"/>
  <c r="P257" i="73"/>
  <c r="P25" i="41" s="1"/>
  <c r="L36" i="71"/>
  <c r="L141" i="71" s="1"/>
  <c r="L217" i="71" s="1"/>
  <c r="L20" i="41" s="1"/>
  <c r="L40" i="41" s="1"/>
  <c r="L239" i="83"/>
  <c r="P219" i="71"/>
  <c r="P22" i="41" s="1"/>
  <c r="O218" i="71"/>
  <c r="O21" i="41" s="1"/>
  <c r="J219" i="71"/>
  <c r="J22" i="41" s="1"/>
  <c r="J42" i="41" s="1"/>
  <c r="Q250" i="72"/>
  <c r="Q26" i="41" s="1"/>
  <c r="AG46" i="41" s="1"/>
  <c r="K36" i="71"/>
  <c r="K141" i="71" s="1"/>
  <c r="K217" i="71" s="1"/>
  <c r="K20" i="41" s="1"/>
  <c r="K40" i="41" s="1"/>
  <c r="K20" i="65" s="1"/>
  <c r="K239" i="83"/>
  <c r="R36" i="71"/>
  <c r="R141" i="71" s="1"/>
  <c r="R217" i="71" s="1"/>
  <c r="R20" i="41" s="1"/>
  <c r="AH40" i="41" s="1"/>
  <c r="AH75" i="41" s="1"/>
  <c r="R239" i="83"/>
  <c r="N250" i="72"/>
  <c r="N26" i="41" s="1"/>
  <c r="S218" i="71"/>
  <c r="S21" i="41" s="1"/>
  <c r="AI41" i="41" s="1"/>
  <c r="T250" i="72"/>
  <c r="T26" i="41" s="1"/>
  <c r="AJ46" i="41" s="1"/>
  <c r="O219" i="71"/>
  <c r="O22" i="41" s="1"/>
  <c r="Q219" i="71"/>
  <c r="Q22" i="41" s="1"/>
  <c r="AG42" i="41" s="1"/>
  <c r="Y219" i="71"/>
  <c r="Y22" i="41" s="1"/>
  <c r="AO42" i="41" s="1"/>
  <c r="R218" i="71"/>
  <c r="R21" i="41" s="1"/>
  <c r="AH41" i="41" s="1"/>
  <c r="K250" i="72"/>
  <c r="K26" i="41" s="1"/>
  <c r="K46" i="41" s="1"/>
  <c r="L219" i="71"/>
  <c r="L22" i="41" s="1"/>
  <c r="S36" i="71"/>
  <c r="S141" i="71" s="1"/>
  <c r="S217" i="71" s="1"/>
  <c r="S20" i="41" s="1"/>
  <c r="AI40" i="41" s="1"/>
  <c r="AI20" i="65" s="1"/>
  <c r="S239" i="83"/>
  <c r="T36" i="71"/>
  <c r="T141" i="71" s="1"/>
  <c r="T217" i="71" s="1"/>
  <c r="T20" i="41" s="1"/>
  <c r="AJ40" i="41" s="1"/>
  <c r="AJ75" i="41" s="1"/>
  <c r="T239" i="83"/>
  <c r="K219" i="71"/>
  <c r="K22" i="41" s="1"/>
  <c r="K42" i="41" s="1"/>
  <c r="X250" i="72"/>
  <c r="X26" i="41" s="1"/>
  <c r="AN46" i="41" s="1"/>
  <c r="U219" i="71"/>
  <c r="U22" i="41" s="1"/>
  <c r="AK42" i="41" s="1"/>
  <c r="M250" i="72"/>
  <c r="M26" i="41" s="1"/>
  <c r="Q46" i="41" s="1"/>
  <c r="Q257" i="73"/>
  <c r="Q25" i="41" s="1"/>
  <c r="AG45" i="41" s="1"/>
  <c r="Q36" i="71"/>
  <c r="Q141" i="71" s="1"/>
  <c r="Q217" i="71" s="1"/>
  <c r="Q20" i="41" s="1"/>
  <c r="AG40" i="41" s="1"/>
  <c r="AG20" i="65" s="1"/>
  <c r="Q239" i="83"/>
  <c r="N218" i="71"/>
  <c r="N21" i="41" s="1"/>
  <c r="X218" i="71"/>
  <c r="X21" i="41" s="1"/>
  <c r="AN41" i="41" s="1"/>
  <c r="L250" i="72"/>
  <c r="L26" i="41" s="1"/>
  <c r="N36" i="71"/>
  <c r="N141" i="71" s="1"/>
  <c r="N217" i="71" s="1"/>
  <c r="N20" i="41" s="1"/>
  <c r="R40" i="41" s="1"/>
  <c r="N239" i="83"/>
  <c r="M218" i="71"/>
  <c r="M21" i="41" s="1"/>
  <c r="Q41" i="41" s="1"/>
  <c r="P36" i="71"/>
  <c r="P141" i="71" s="1"/>
  <c r="P217" i="71" s="1"/>
  <c r="P20" i="41" s="1"/>
  <c r="AC40" i="41" s="1"/>
  <c r="P239" i="83"/>
  <c r="W36" i="71"/>
  <c r="W141" i="71" s="1"/>
  <c r="W217" i="71" s="1"/>
  <c r="W20" i="41" s="1"/>
  <c r="AM40" i="41" s="1"/>
  <c r="AM75" i="41" s="1"/>
  <c r="W239" i="83"/>
  <c r="V36" i="71"/>
  <c r="V141" i="71" s="1"/>
  <c r="V217" i="71" s="1"/>
  <c r="V20" i="41" s="1"/>
  <c r="AL40" i="41" s="1"/>
  <c r="AL20" i="65" s="1"/>
  <c r="V239" i="83"/>
  <c r="R250" i="72"/>
  <c r="R26" i="41" s="1"/>
  <c r="AH46" i="41" s="1"/>
  <c r="Q211" i="73"/>
  <c r="Q281" i="73"/>
  <c r="Q44" i="74" s="1"/>
  <c r="Q89" i="74" s="1"/>
  <c r="K281" i="73"/>
  <c r="K44" i="74" s="1"/>
  <c r="K89" i="74" s="1"/>
  <c r="K211" i="73"/>
  <c r="K214" i="73"/>
  <c r="K284" i="73"/>
  <c r="K47" i="74" s="1"/>
  <c r="K92" i="74" s="1"/>
  <c r="M284" i="73"/>
  <c r="M47" i="74" s="1"/>
  <c r="M92" i="74" s="1"/>
  <c r="M214" i="73"/>
  <c r="J285" i="73"/>
  <c r="J48" i="74" s="1"/>
  <c r="J93" i="74" s="1"/>
  <c r="J215" i="73"/>
  <c r="N206" i="73"/>
  <c r="N276" i="73"/>
  <c r="N39" i="74" s="1"/>
  <c r="N84" i="74" s="1"/>
  <c r="J280" i="73"/>
  <c r="J43" i="74" s="1"/>
  <c r="J88" i="74" s="1"/>
  <c r="J210" i="73"/>
  <c r="L213" i="73"/>
  <c r="L283" i="73"/>
  <c r="L46" i="74" s="1"/>
  <c r="L91" i="74" s="1"/>
  <c r="P208" i="73"/>
  <c r="P278" i="73"/>
  <c r="P41" i="74" s="1"/>
  <c r="P86" i="74" s="1"/>
  <c r="J207" i="73"/>
  <c r="J277" i="73"/>
  <c r="J40" i="74" s="1"/>
  <c r="J85" i="74" s="1"/>
  <c r="K212" i="73"/>
  <c r="K282" i="73"/>
  <c r="K45" i="74" s="1"/>
  <c r="K90" i="74" s="1"/>
  <c r="O211" i="73"/>
  <c r="O281" i="73"/>
  <c r="O44" i="74" s="1"/>
  <c r="O89" i="74" s="1"/>
  <c r="O284" i="73"/>
  <c r="O47" i="74" s="1"/>
  <c r="O92" i="74" s="1"/>
  <c r="O214" i="73"/>
  <c r="K215" i="73"/>
  <c r="K285" i="73"/>
  <c r="K48" i="74" s="1"/>
  <c r="K93" i="74" s="1"/>
  <c r="O276" i="73"/>
  <c r="O39" i="74" s="1"/>
  <c r="O84" i="74" s="1"/>
  <c r="O206" i="73"/>
  <c r="O209" i="73"/>
  <c r="O279" i="73"/>
  <c r="O42" i="74" s="1"/>
  <c r="O87" i="74" s="1"/>
  <c r="M209" i="73"/>
  <c r="M279" i="73"/>
  <c r="M42" i="74" s="1"/>
  <c r="M87" i="74" s="1"/>
  <c r="N213" i="73"/>
  <c r="N283" i="73"/>
  <c r="N46" i="74" s="1"/>
  <c r="N91" i="74" s="1"/>
  <c r="P213" i="73"/>
  <c r="P283" i="73"/>
  <c r="P46" i="74" s="1"/>
  <c r="P91" i="74" s="1"/>
  <c r="O277" i="73"/>
  <c r="O40" i="74" s="1"/>
  <c r="O85" i="74" s="1"/>
  <c r="O207" i="73"/>
  <c r="K277" i="73"/>
  <c r="K40" i="74" s="1"/>
  <c r="K85" i="74" s="1"/>
  <c r="K207" i="73"/>
  <c r="J212" i="73"/>
  <c r="J282" i="73"/>
  <c r="J45" i="74" s="1"/>
  <c r="J90" i="74" s="1"/>
  <c r="Q284" i="73"/>
  <c r="Q47" i="74" s="1"/>
  <c r="Q92" i="74" s="1"/>
  <c r="Q214" i="73"/>
  <c r="N285" i="73"/>
  <c r="N48" i="74" s="1"/>
  <c r="N93" i="74" s="1"/>
  <c r="N215" i="73"/>
  <c r="J276" i="73"/>
  <c r="J39" i="74" s="1"/>
  <c r="J84" i="74" s="1"/>
  <c r="J206" i="73"/>
  <c r="Q279" i="73"/>
  <c r="Q42" i="74" s="1"/>
  <c r="Q87" i="74" s="1"/>
  <c r="Q209" i="73"/>
  <c r="K209" i="73"/>
  <c r="K279" i="73"/>
  <c r="K42" i="74" s="1"/>
  <c r="K87" i="74" s="1"/>
  <c r="K210" i="73"/>
  <c r="K280" i="73"/>
  <c r="K43" i="74" s="1"/>
  <c r="K88" i="74" s="1"/>
  <c r="M210" i="73"/>
  <c r="M280" i="73"/>
  <c r="M43" i="74" s="1"/>
  <c r="M88" i="74" s="1"/>
  <c r="O213" i="73"/>
  <c r="O283" i="73"/>
  <c r="O46" i="74" s="1"/>
  <c r="O91" i="74" s="1"/>
  <c r="L278" i="73"/>
  <c r="L41" i="74" s="1"/>
  <c r="L86" i="74" s="1"/>
  <c r="L208" i="73"/>
  <c r="J208" i="73"/>
  <c r="J278" i="73"/>
  <c r="J41" i="74" s="1"/>
  <c r="J86" i="74" s="1"/>
  <c r="N207" i="73"/>
  <c r="N277" i="73"/>
  <c r="N40" i="74" s="1"/>
  <c r="N85" i="74" s="1"/>
  <c r="P282" i="73"/>
  <c r="P45" i="74" s="1"/>
  <c r="P90" i="74" s="1"/>
  <c r="P212" i="73"/>
  <c r="L282" i="73"/>
  <c r="L45" i="74" s="1"/>
  <c r="L90" i="74" s="1"/>
  <c r="L212" i="73"/>
  <c r="J137" i="72"/>
  <c r="H237" i="83" a="1"/>
  <c r="H237" i="83" s="1"/>
  <c r="N280" i="73"/>
  <c r="N43" i="74" s="1"/>
  <c r="N88" i="74" s="1"/>
  <c r="N210" i="73"/>
  <c r="Q280" i="73"/>
  <c r="Q43" i="74" s="1"/>
  <c r="Q88" i="74" s="1"/>
  <c r="Q210" i="73"/>
  <c r="J213" i="73"/>
  <c r="J283" i="73"/>
  <c r="J46" i="74" s="1"/>
  <c r="J91" i="74" s="1"/>
  <c r="M208" i="73"/>
  <c r="M278" i="73"/>
  <c r="M41" i="74" s="1"/>
  <c r="M86" i="74" s="1"/>
  <c r="O278" i="73"/>
  <c r="O41" i="74" s="1"/>
  <c r="O86" i="74" s="1"/>
  <c r="O208" i="73"/>
  <c r="Q207" i="73"/>
  <c r="Q277" i="73"/>
  <c r="Q40" i="74" s="1"/>
  <c r="Q85" i="74" s="1"/>
  <c r="Q282" i="73"/>
  <c r="Q45" i="74" s="1"/>
  <c r="Q90" i="74" s="1"/>
  <c r="Q212" i="73"/>
  <c r="P284" i="73"/>
  <c r="P47" i="74" s="1"/>
  <c r="P92" i="74" s="1"/>
  <c r="P214" i="73"/>
  <c r="L285" i="73"/>
  <c r="L48" i="74" s="1"/>
  <c r="L93" i="74" s="1"/>
  <c r="L215" i="73"/>
  <c r="K206" i="73"/>
  <c r="K276" i="73"/>
  <c r="K39" i="74" s="1"/>
  <c r="K84" i="74" s="1"/>
  <c r="P206" i="73"/>
  <c r="P276" i="73"/>
  <c r="P39" i="74" s="1"/>
  <c r="P84" i="74" s="1"/>
  <c r="M281" i="73"/>
  <c r="M44" i="74" s="1"/>
  <c r="M89" i="74" s="1"/>
  <c r="M211" i="73"/>
  <c r="P281" i="73"/>
  <c r="P44" i="74" s="1"/>
  <c r="P89" i="74" s="1"/>
  <c r="P211" i="73"/>
  <c r="L211" i="73"/>
  <c r="L281" i="73"/>
  <c r="L44" i="74" s="1"/>
  <c r="L89" i="74" s="1"/>
  <c r="J284" i="73"/>
  <c r="J47" i="74" s="1"/>
  <c r="J92" i="74" s="1"/>
  <c r="J214" i="73"/>
  <c r="Q285" i="73"/>
  <c r="Q48" i="74" s="1"/>
  <c r="Q93" i="74" s="1"/>
  <c r="Q215" i="73"/>
  <c r="P285" i="73"/>
  <c r="P48" i="74" s="1"/>
  <c r="P93" i="74" s="1"/>
  <c r="P215" i="73"/>
  <c r="Q276" i="73"/>
  <c r="Q39" i="74" s="1"/>
  <c r="Q84" i="74" s="1"/>
  <c r="Q206" i="73"/>
  <c r="L206" i="73"/>
  <c r="L276" i="73"/>
  <c r="L39" i="74" s="1"/>
  <c r="L84" i="74" s="1"/>
  <c r="L209" i="73"/>
  <c r="L279" i="73"/>
  <c r="L42" i="74" s="1"/>
  <c r="L87" i="74" s="1"/>
  <c r="N279" i="73"/>
  <c r="N42" i="74" s="1"/>
  <c r="N87" i="74" s="1"/>
  <c r="N209" i="73"/>
  <c r="L210" i="73"/>
  <c r="L280" i="73"/>
  <c r="L43" i="74" s="1"/>
  <c r="L88" i="74" s="1"/>
  <c r="P280" i="73"/>
  <c r="P43" i="74" s="1"/>
  <c r="P88" i="74" s="1"/>
  <c r="P210" i="73"/>
  <c r="Q213" i="73"/>
  <c r="Q283" i="73"/>
  <c r="Q46" i="74" s="1"/>
  <c r="Q91" i="74" s="1"/>
  <c r="N208" i="73"/>
  <c r="N278" i="73"/>
  <c r="N41" i="74" s="1"/>
  <c r="N86" i="74" s="1"/>
  <c r="L207" i="73"/>
  <c r="L277" i="73"/>
  <c r="L40" i="74" s="1"/>
  <c r="L85" i="74" s="1"/>
  <c r="M277" i="73"/>
  <c r="M40" i="74" s="1"/>
  <c r="M85" i="74" s="1"/>
  <c r="M207" i="73"/>
  <c r="N212" i="73"/>
  <c r="N282" i="73"/>
  <c r="N45" i="74" s="1"/>
  <c r="N90" i="74" s="1"/>
  <c r="N281" i="73"/>
  <c r="N44" i="74" s="1"/>
  <c r="N89" i="74" s="1"/>
  <c r="N211" i="73"/>
  <c r="J211" i="73"/>
  <c r="J281" i="73"/>
  <c r="J44" i="74" s="1"/>
  <c r="J89" i="74" s="1"/>
  <c r="L284" i="73"/>
  <c r="L47" i="74" s="1"/>
  <c r="L92" i="74" s="1"/>
  <c r="L214" i="73"/>
  <c r="N284" i="73"/>
  <c r="N47" i="74" s="1"/>
  <c r="N92" i="74" s="1"/>
  <c r="N214" i="73"/>
  <c r="M285" i="73"/>
  <c r="M48" i="74" s="1"/>
  <c r="M93" i="74" s="1"/>
  <c r="M215" i="73"/>
  <c r="O285" i="73"/>
  <c r="O48" i="74" s="1"/>
  <c r="O93" i="74" s="1"/>
  <c r="O215" i="73"/>
  <c r="M206" i="73"/>
  <c r="M276" i="73"/>
  <c r="M39" i="74" s="1"/>
  <c r="M84" i="74" s="1"/>
  <c r="J279" i="73"/>
  <c r="J42" i="74" s="1"/>
  <c r="J87" i="74" s="1"/>
  <c r="J209" i="73"/>
  <c r="P279" i="73"/>
  <c r="P42" i="74" s="1"/>
  <c r="P87" i="74" s="1"/>
  <c r="P209" i="73"/>
  <c r="O210" i="73"/>
  <c r="O280" i="73"/>
  <c r="O43" i="74" s="1"/>
  <c r="O88" i="74" s="1"/>
  <c r="M213" i="73"/>
  <c r="M283" i="73"/>
  <c r="M46" i="74" s="1"/>
  <c r="M91" i="74" s="1"/>
  <c r="K283" i="73"/>
  <c r="K46" i="74" s="1"/>
  <c r="K91" i="74" s="1"/>
  <c r="K213" i="73"/>
  <c r="K208" i="73"/>
  <c r="K278" i="73"/>
  <c r="K41" i="74" s="1"/>
  <c r="K86" i="74" s="1"/>
  <c r="Q278" i="73"/>
  <c r="Q41" i="74" s="1"/>
  <c r="Q86" i="74" s="1"/>
  <c r="Q208" i="73"/>
  <c r="P277" i="73"/>
  <c r="P40" i="74" s="1"/>
  <c r="P85" i="74" s="1"/>
  <c r="P207" i="73"/>
  <c r="M282" i="73"/>
  <c r="M45" i="74" s="1"/>
  <c r="M90" i="74" s="1"/>
  <c r="M212" i="73"/>
  <c r="O282" i="73"/>
  <c r="O45" i="74" s="1"/>
  <c r="O90" i="74" s="1"/>
  <c r="O212" i="73"/>
  <c r="T42" i="41" l="1"/>
  <c r="T22" i="65" s="1"/>
  <c r="N40" i="41"/>
  <c r="N75" i="41" s="1"/>
  <c r="AK75" i="41"/>
  <c r="N45" i="41"/>
  <c r="N80" i="41" s="1"/>
  <c r="L45" i="41"/>
  <c r="L25" i="65" s="1"/>
  <c r="L115" i="65" s="1"/>
  <c r="K75" i="41"/>
  <c r="P40" i="41"/>
  <c r="P75" i="41" s="1"/>
  <c r="O40" i="41"/>
  <c r="O20" i="65" s="1"/>
  <c r="X45" i="41"/>
  <c r="X25" i="65" s="1"/>
  <c r="X115" i="65" s="1"/>
  <c r="AL77" i="41"/>
  <c r="AG75" i="41"/>
  <c r="M45" i="41"/>
  <c r="M25" i="65" s="1"/>
  <c r="M115" i="65" s="1"/>
  <c r="P45" i="41"/>
  <c r="P80" i="41" s="1"/>
  <c r="S40" i="41"/>
  <c r="S20" i="65" s="1"/>
  <c r="AK21" i="65"/>
  <c r="AJ20" i="65"/>
  <c r="T40" i="41"/>
  <c r="T20" i="65" s="1"/>
  <c r="AO75" i="41"/>
  <c r="Q20" i="65"/>
  <c r="M40" i="41"/>
  <c r="M20" i="65" s="1"/>
  <c r="AL75" i="41"/>
  <c r="S42" i="41"/>
  <c r="S22" i="65" s="1"/>
  <c r="V42" i="41"/>
  <c r="V22" i="65" s="1"/>
  <c r="U42" i="41"/>
  <c r="U77" i="41" s="1"/>
  <c r="J114" i="74"/>
  <c r="J146" i="74" s="1"/>
  <c r="AN75" i="41"/>
  <c r="AI75" i="41"/>
  <c r="AH20" i="65"/>
  <c r="Y46" i="41"/>
  <c r="Y81" i="41" s="1"/>
  <c r="AB40" i="41"/>
  <c r="AB20" i="65" s="1"/>
  <c r="J115" i="74"/>
  <c r="J147" i="74" s="1"/>
  <c r="U40" i="41"/>
  <c r="U20" i="65" s="1"/>
  <c r="V40" i="41"/>
  <c r="V20" i="65" s="1"/>
  <c r="AA40" i="41"/>
  <c r="AA75" i="41" s="1"/>
  <c r="X46" i="41"/>
  <c r="X81" i="41" s="1"/>
  <c r="Z45" i="41"/>
  <c r="Z80" i="41" s="1"/>
  <c r="AI22" i="65"/>
  <c r="AA46" i="41"/>
  <c r="AA81" i="41" s="1"/>
  <c r="AA45" i="41"/>
  <c r="AA25" i="65" s="1"/>
  <c r="AA115" i="65" s="1"/>
  <c r="W46" i="41"/>
  <c r="W26" i="65" s="1"/>
  <c r="W116" i="65" s="1"/>
  <c r="W45" i="41"/>
  <c r="W25" i="65" s="1"/>
  <c r="W115" i="65" s="1"/>
  <c r="AF40" i="41"/>
  <c r="AF20" i="65" s="1"/>
  <c r="AD40" i="41"/>
  <c r="AD20" i="65" s="1"/>
  <c r="AE40" i="41"/>
  <c r="AE20" i="65" s="1"/>
  <c r="P256" i="73"/>
  <c r="P24" i="41" s="1"/>
  <c r="AF44" i="41" s="1"/>
  <c r="Y40" i="41"/>
  <c r="Y20" i="65" s="1"/>
  <c r="J256" i="73"/>
  <c r="J24" i="41" s="1"/>
  <c r="J44" i="41" s="1"/>
  <c r="AN21" i="65"/>
  <c r="AN76" i="41"/>
  <c r="AK22" i="65"/>
  <c r="AK77" i="41"/>
  <c r="AA42" i="41"/>
  <c r="W42" i="41"/>
  <c r="Y42" i="41"/>
  <c r="X42" i="41"/>
  <c r="Z42" i="41"/>
  <c r="Z41" i="41"/>
  <c r="X41" i="41"/>
  <c r="Y41" i="41"/>
  <c r="W41" i="41"/>
  <c r="AA41" i="41"/>
  <c r="AL21" i="65"/>
  <c r="AL76" i="41"/>
  <c r="Q25" i="65"/>
  <c r="Q115" i="65" s="1"/>
  <c r="Q80" i="41"/>
  <c r="AL26" i="65"/>
  <c r="AL116" i="65" s="1"/>
  <c r="AL81" i="41"/>
  <c r="S45" i="41"/>
  <c r="R45" i="41"/>
  <c r="V45" i="41"/>
  <c r="U45" i="41"/>
  <c r="T45" i="41"/>
  <c r="Q81" i="41"/>
  <c r="Q26" i="65"/>
  <c r="Q116" i="65" s="1"/>
  <c r="R46" i="41"/>
  <c r="V46" i="41"/>
  <c r="T46" i="41"/>
  <c r="S46" i="41"/>
  <c r="U46" i="41"/>
  <c r="R77" i="41"/>
  <c r="R22" i="65"/>
  <c r="Q77" i="41"/>
  <c r="Q22" i="65"/>
  <c r="L256" i="73"/>
  <c r="L24" i="41" s="1"/>
  <c r="X40" i="41"/>
  <c r="X20" i="65" s="1"/>
  <c r="AH26" i="65"/>
  <c r="AH116" i="65" s="1"/>
  <c r="AH81" i="41"/>
  <c r="V41" i="41"/>
  <c r="R41" i="41"/>
  <c r="S41" i="41"/>
  <c r="U41" i="41"/>
  <c r="T41" i="41"/>
  <c r="AN26" i="65"/>
  <c r="AN116" i="65" s="1"/>
  <c r="AN81" i="41"/>
  <c r="P42" i="41"/>
  <c r="N42" i="41"/>
  <c r="M42" i="41"/>
  <c r="L42" i="41"/>
  <c r="O42" i="41"/>
  <c r="AE42" i="41"/>
  <c r="AF42" i="41"/>
  <c r="AD42" i="41"/>
  <c r="AC42" i="41"/>
  <c r="AB42" i="41"/>
  <c r="J76" i="41"/>
  <c r="J21" i="65"/>
  <c r="AN22" i="65"/>
  <c r="AN77" i="41"/>
  <c r="K25" i="65"/>
  <c r="K115" i="65" s="1"/>
  <c r="K80" i="41"/>
  <c r="AO26" i="65"/>
  <c r="AO116" i="65" s="1"/>
  <c r="AO127" i="65" s="1"/>
  <c r="AO156" i="65" s="1"/>
  <c r="AO61" i="105" s="1"/>
  <c r="AO101" i="105" s="1"/>
  <c r="AO81" i="41"/>
  <c r="AO21" i="65"/>
  <c r="AO76" i="41"/>
  <c r="J25" i="65"/>
  <c r="J115" i="65" s="1"/>
  <c r="J80" i="41"/>
  <c r="AK26" i="65"/>
  <c r="AK116" i="65" s="1"/>
  <c r="AK127" i="65" s="1"/>
  <c r="AK156" i="65" s="1"/>
  <c r="AK61" i="105" s="1"/>
  <c r="AK101" i="105" s="1"/>
  <c r="AK81" i="41"/>
  <c r="AM20" i="65"/>
  <c r="K256" i="73"/>
  <c r="K24" i="41" s="1"/>
  <c r="K44" i="41" s="1"/>
  <c r="Q256" i="73"/>
  <c r="Q24" i="41" s="1"/>
  <c r="AG44" i="41" s="1"/>
  <c r="N256" i="73"/>
  <c r="N24" i="41" s="1"/>
  <c r="Q21" i="65"/>
  <c r="Q76" i="41"/>
  <c r="K77" i="41"/>
  <c r="K22" i="65"/>
  <c r="K26" i="65"/>
  <c r="K116" i="65" s="1"/>
  <c r="K81" i="41"/>
  <c r="Z81" i="41"/>
  <c r="Z26" i="65"/>
  <c r="Z116" i="65" s="1"/>
  <c r="N41" i="41"/>
  <c r="O41" i="41"/>
  <c r="L41" i="41"/>
  <c r="M41" i="41"/>
  <c r="P41" i="41"/>
  <c r="AI26" i="65"/>
  <c r="AI116" i="65" s="1"/>
  <c r="AI81" i="41"/>
  <c r="Y80" i="41"/>
  <c r="Y25" i="65"/>
  <c r="Y115" i="65" s="1"/>
  <c r="AJ21" i="65"/>
  <c r="AJ76" i="41"/>
  <c r="AJ22" i="65"/>
  <c r="AJ77" i="41"/>
  <c r="M46" i="41"/>
  <c r="N46" i="41"/>
  <c r="L46" i="41"/>
  <c r="P46" i="41"/>
  <c r="O46" i="41"/>
  <c r="J22" i="65"/>
  <c r="J77" i="41"/>
  <c r="M256" i="73"/>
  <c r="M24" i="41" s="1"/>
  <c r="Q44" i="41" s="1"/>
  <c r="W40" i="41"/>
  <c r="W20" i="65" s="1"/>
  <c r="AH76" i="41"/>
  <c r="AH21" i="65"/>
  <c r="AJ26" i="65"/>
  <c r="AJ116" i="65" s="1"/>
  <c r="AJ81" i="41"/>
  <c r="AH22" i="65"/>
  <c r="AH77" i="41"/>
  <c r="K76" i="41"/>
  <c r="K21" i="65"/>
  <c r="AB41" i="41"/>
  <c r="AE41" i="41"/>
  <c r="AC41" i="41"/>
  <c r="AD41" i="41"/>
  <c r="AF41" i="41"/>
  <c r="O80" i="41"/>
  <c r="O25" i="65"/>
  <c r="O115" i="65" s="1"/>
  <c r="AG22" i="65"/>
  <c r="AG77" i="41"/>
  <c r="AM77" i="41"/>
  <c r="AM22" i="65"/>
  <c r="O256" i="73"/>
  <c r="O24" i="41" s="1"/>
  <c r="AG80" i="41"/>
  <c r="AG25" i="65"/>
  <c r="AG115" i="65" s="1"/>
  <c r="AO22" i="65"/>
  <c r="AO77" i="41"/>
  <c r="AI21" i="65"/>
  <c r="AI76" i="41"/>
  <c r="AG81" i="41"/>
  <c r="AG26" i="65"/>
  <c r="AG116" i="65" s="1"/>
  <c r="AD45" i="41"/>
  <c r="AC45" i="41"/>
  <c r="AE45" i="41"/>
  <c r="AF45" i="41"/>
  <c r="AB45" i="41"/>
  <c r="AM26" i="65"/>
  <c r="AM116" i="65" s="1"/>
  <c r="AM127" i="65" s="1"/>
  <c r="AM156" i="65" s="1"/>
  <c r="AM61" i="105" s="1"/>
  <c r="AM101" i="105" s="1"/>
  <c r="AM81" i="41"/>
  <c r="AG21" i="65"/>
  <c r="AG76" i="41"/>
  <c r="AM21" i="65"/>
  <c r="AM76" i="41"/>
  <c r="AF46" i="41"/>
  <c r="AB46" i="41"/>
  <c r="AC46" i="41"/>
  <c r="AE46" i="41"/>
  <c r="AD46" i="41"/>
  <c r="H239" i="83"/>
  <c r="H241" i="83" s="1"/>
  <c r="J118" i="74"/>
  <c r="J150" i="74" s="1"/>
  <c r="Y116" i="74"/>
  <c r="Y148" i="74" s="1"/>
  <c r="O116" i="74"/>
  <c r="O148" i="74" s="1"/>
  <c r="X116" i="74"/>
  <c r="X148" i="74" s="1"/>
  <c r="K116" i="74"/>
  <c r="K148" i="74" s="1"/>
  <c r="R116" i="74"/>
  <c r="R148" i="74" s="1"/>
  <c r="V116" i="74"/>
  <c r="V148" i="74" s="1"/>
  <c r="T116" i="74"/>
  <c r="T148" i="74" s="1"/>
  <c r="Q116" i="74"/>
  <c r="Q148" i="74" s="1"/>
  <c r="P116" i="74"/>
  <c r="P148" i="74" s="1"/>
  <c r="S116" i="74"/>
  <c r="S148" i="74" s="1"/>
  <c r="M116" i="74"/>
  <c r="M148" i="74" s="1"/>
  <c r="W116" i="74"/>
  <c r="W148" i="74" s="1"/>
  <c r="N116" i="74"/>
  <c r="N148" i="74" s="1"/>
  <c r="U116" i="74"/>
  <c r="U148" i="74" s="1"/>
  <c r="Z75" i="41"/>
  <c r="Z20" i="65"/>
  <c r="J75" i="41"/>
  <c r="J20" i="65"/>
  <c r="X115" i="74"/>
  <c r="X147" i="74" s="1"/>
  <c r="L115" i="74"/>
  <c r="L147" i="74" s="1"/>
  <c r="M122" i="74"/>
  <c r="M154" i="74" s="1"/>
  <c r="O122" i="74"/>
  <c r="O154" i="74" s="1"/>
  <c r="S122" i="74"/>
  <c r="S154" i="74" s="1"/>
  <c r="N122" i="74"/>
  <c r="N154" i="74" s="1"/>
  <c r="V122" i="74"/>
  <c r="V154" i="74" s="1"/>
  <c r="K122" i="74"/>
  <c r="K154" i="74" s="1"/>
  <c r="Y122" i="74"/>
  <c r="Y154" i="74" s="1"/>
  <c r="U122" i="74"/>
  <c r="U154" i="74" s="1"/>
  <c r="X122" i="74"/>
  <c r="X154" i="74" s="1"/>
  <c r="Q122" i="74"/>
  <c r="Q154" i="74" s="1"/>
  <c r="W122" i="74"/>
  <c r="W154" i="74" s="1"/>
  <c r="R122" i="74"/>
  <c r="R154" i="74" s="1"/>
  <c r="T122" i="74"/>
  <c r="T154" i="74" s="1"/>
  <c r="P122" i="74"/>
  <c r="P154" i="74" s="1"/>
  <c r="L120" i="74"/>
  <c r="L152" i="74" s="1"/>
  <c r="J120" i="74"/>
  <c r="J152" i="74" s="1"/>
  <c r="S123" i="74"/>
  <c r="S155" i="74" s="1"/>
  <c r="X123" i="74"/>
  <c r="X155" i="74" s="1"/>
  <c r="M123" i="74"/>
  <c r="M155" i="74" s="1"/>
  <c r="N123" i="74"/>
  <c r="N155" i="74" s="1"/>
  <c r="O123" i="74"/>
  <c r="O155" i="74" s="1"/>
  <c r="K123" i="74"/>
  <c r="K155" i="74" s="1"/>
  <c r="Y123" i="74"/>
  <c r="Y155" i="74" s="1"/>
  <c r="P123" i="74"/>
  <c r="P155" i="74" s="1"/>
  <c r="R123" i="74"/>
  <c r="R155" i="74" s="1"/>
  <c r="U123" i="74"/>
  <c r="U155" i="74" s="1"/>
  <c r="T123" i="74"/>
  <c r="T155" i="74" s="1"/>
  <c r="V123" i="74"/>
  <c r="V155" i="74" s="1"/>
  <c r="Q123" i="74"/>
  <c r="Q155" i="74" s="1"/>
  <c r="W123" i="74"/>
  <c r="W155" i="74" s="1"/>
  <c r="L118" i="74"/>
  <c r="L150" i="74" s="1"/>
  <c r="J119" i="74"/>
  <c r="J151" i="74" s="1"/>
  <c r="L119" i="74"/>
  <c r="L151" i="74" s="1"/>
  <c r="Q114" i="74"/>
  <c r="Q146" i="74" s="1"/>
  <c r="W114" i="74"/>
  <c r="W146" i="74" s="1"/>
  <c r="K114" i="74"/>
  <c r="K146" i="74" s="1"/>
  <c r="N114" i="74"/>
  <c r="N146" i="74" s="1"/>
  <c r="O114" i="74"/>
  <c r="O146" i="74" s="1"/>
  <c r="R114" i="74"/>
  <c r="R146" i="74" s="1"/>
  <c r="S114" i="74"/>
  <c r="S146" i="74" s="1"/>
  <c r="V114" i="74"/>
  <c r="V146" i="74" s="1"/>
  <c r="X114" i="74"/>
  <c r="X146" i="74" s="1"/>
  <c r="U114" i="74"/>
  <c r="U146" i="74" s="1"/>
  <c r="M114" i="74"/>
  <c r="M146" i="74" s="1"/>
  <c r="T114" i="74"/>
  <c r="T146" i="74" s="1"/>
  <c r="Y114" i="74"/>
  <c r="Y146" i="74" s="1"/>
  <c r="P114" i="74"/>
  <c r="P146" i="74" s="1"/>
  <c r="L20" i="65"/>
  <c r="L75" i="41"/>
  <c r="X121" i="74"/>
  <c r="X153" i="74" s="1"/>
  <c r="Q121" i="74"/>
  <c r="Q153" i="74" s="1"/>
  <c r="M121" i="74"/>
  <c r="M153" i="74" s="1"/>
  <c r="P121" i="74"/>
  <c r="P153" i="74" s="1"/>
  <c r="N121" i="74"/>
  <c r="N153" i="74" s="1"/>
  <c r="W121" i="74"/>
  <c r="W153" i="74" s="1"/>
  <c r="Y121" i="74"/>
  <c r="Y153" i="74" s="1"/>
  <c r="T121" i="74"/>
  <c r="T153" i="74" s="1"/>
  <c r="R121" i="74"/>
  <c r="R153" i="74" s="1"/>
  <c r="U121" i="74"/>
  <c r="U153" i="74" s="1"/>
  <c r="S121" i="74"/>
  <c r="S153" i="74" s="1"/>
  <c r="V121" i="74"/>
  <c r="V153" i="74" s="1"/>
  <c r="O121" i="74"/>
  <c r="O153" i="74" s="1"/>
  <c r="K121" i="74"/>
  <c r="K153" i="74" s="1"/>
  <c r="R20" i="65"/>
  <c r="R75" i="41"/>
  <c r="L117" i="74"/>
  <c r="L149" i="74" s="1"/>
  <c r="J117" i="74"/>
  <c r="J149" i="74" s="1"/>
  <c r="J207" i="72"/>
  <c r="J237" i="72" s="1"/>
  <c r="J250" i="72" s="1"/>
  <c r="J26" i="41" s="1"/>
  <c r="J46" i="41" s="1"/>
  <c r="L116" i="74"/>
  <c r="L148" i="74" s="1"/>
  <c r="J116" i="74"/>
  <c r="J148" i="74" s="1"/>
  <c r="L114" i="74"/>
  <c r="L146" i="74" s="1"/>
  <c r="AC75" i="41"/>
  <c r="AC20" i="65"/>
  <c r="L121" i="74"/>
  <c r="L153" i="74" s="1"/>
  <c r="J121" i="74"/>
  <c r="J153" i="74" s="1"/>
  <c r="V117" i="74"/>
  <c r="V149" i="74" s="1"/>
  <c r="P117" i="74"/>
  <c r="P149" i="74" s="1"/>
  <c r="T117" i="74"/>
  <c r="T149" i="74" s="1"/>
  <c r="S117" i="74"/>
  <c r="S149" i="74" s="1"/>
  <c r="R117" i="74"/>
  <c r="R149" i="74" s="1"/>
  <c r="X117" i="74"/>
  <c r="X149" i="74" s="1"/>
  <c r="N117" i="74"/>
  <c r="N149" i="74" s="1"/>
  <c r="M117" i="74"/>
  <c r="M149" i="74" s="1"/>
  <c r="O117" i="74"/>
  <c r="O149" i="74" s="1"/>
  <c r="U117" i="74"/>
  <c r="U149" i="74" s="1"/>
  <c r="Y117" i="74"/>
  <c r="Y149" i="74" s="1"/>
  <c r="K117" i="74"/>
  <c r="K149" i="74" s="1"/>
  <c r="W117" i="74"/>
  <c r="W149" i="74" s="1"/>
  <c r="Q117" i="74"/>
  <c r="Q149" i="74" s="1"/>
  <c r="L123" i="74"/>
  <c r="L155" i="74" s="1"/>
  <c r="J123" i="74"/>
  <c r="J155" i="74" s="1"/>
  <c r="K119" i="74"/>
  <c r="K151" i="74" s="1"/>
  <c r="T119" i="74"/>
  <c r="T151" i="74" s="1"/>
  <c r="P119" i="74"/>
  <c r="P151" i="74" s="1"/>
  <c r="N119" i="74"/>
  <c r="N151" i="74" s="1"/>
  <c r="M119" i="74"/>
  <c r="M151" i="74" s="1"/>
  <c r="V119" i="74"/>
  <c r="V151" i="74" s="1"/>
  <c r="U119" i="74"/>
  <c r="U151" i="74" s="1"/>
  <c r="O119" i="74"/>
  <c r="O151" i="74" s="1"/>
  <c r="Y119" i="74"/>
  <c r="Y151" i="74" s="1"/>
  <c r="R119" i="74"/>
  <c r="R151" i="74" s="1"/>
  <c r="X119" i="74"/>
  <c r="X151" i="74" s="1"/>
  <c r="Q119" i="74"/>
  <c r="Q151" i="74" s="1"/>
  <c r="S119" i="74"/>
  <c r="S151" i="74" s="1"/>
  <c r="W119" i="74"/>
  <c r="W151" i="74" s="1"/>
  <c r="L122" i="74"/>
  <c r="L154" i="74" s="1"/>
  <c r="J122" i="74"/>
  <c r="J154" i="74" s="1"/>
  <c r="O75" i="41"/>
  <c r="P118" i="74"/>
  <c r="P150" i="74" s="1"/>
  <c r="O118" i="74"/>
  <c r="O150" i="74" s="1"/>
  <c r="N118" i="74"/>
  <c r="N150" i="74" s="1"/>
  <c r="W118" i="74"/>
  <c r="W150" i="74" s="1"/>
  <c r="M118" i="74"/>
  <c r="M150" i="74" s="1"/>
  <c r="T118" i="74"/>
  <c r="T150" i="74" s="1"/>
  <c r="X118" i="74"/>
  <c r="X150" i="74" s="1"/>
  <c r="V118" i="74"/>
  <c r="V150" i="74" s="1"/>
  <c r="U118" i="74"/>
  <c r="U150" i="74" s="1"/>
  <c r="S118" i="74"/>
  <c r="S150" i="74" s="1"/>
  <c r="Y118" i="74"/>
  <c r="Y150" i="74" s="1"/>
  <c r="K118" i="74"/>
  <c r="K150" i="74" s="1"/>
  <c r="R118" i="74"/>
  <c r="R150" i="74" s="1"/>
  <c r="Q118" i="74"/>
  <c r="Q150" i="74" s="1"/>
  <c r="N115" i="74"/>
  <c r="N147" i="74" s="1"/>
  <c r="S115" i="74"/>
  <c r="S147" i="74" s="1"/>
  <c r="K115" i="74"/>
  <c r="K147" i="74" s="1"/>
  <c r="M115" i="74"/>
  <c r="M147" i="74" s="1"/>
  <c r="W115" i="74"/>
  <c r="W147" i="74" s="1"/>
  <c r="T115" i="74"/>
  <c r="T147" i="74" s="1"/>
  <c r="V115" i="74"/>
  <c r="V147" i="74" s="1"/>
  <c r="R115" i="74"/>
  <c r="R147" i="74" s="1"/>
  <c r="U115" i="74"/>
  <c r="U147" i="74" s="1"/>
  <c r="P115" i="74"/>
  <c r="P147" i="74" s="1"/>
  <c r="Y115" i="74"/>
  <c r="Y147" i="74" s="1"/>
  <c r="Q115" i="74"/>
  <c r="Q147" i="74" s="1"/>
  <c r="O115" i="74"/>
  <c r="O147" i="74" s="1"/>
  <c r="S120" i="74"/>
  <c r="S152" i="74" s="1"/>
  <c r="N120" i="74"/>
  <c r="N152" i="74" s="1"/>
  <c r="M120" i="74"/>
  <c r="M152" i="74" s="1"/>
  <c r="U120" i="74"/>
  <c r="U152" i="74" s="1"/>
  <c r="T120" i="74"/>
  <c r="T152" i="74" s="1"/>
  <c r="O120" i="74"/>
  <c r="O152" i="74" s="1"/>
  <c r="P120" i="74"/>
  <c r="P152" i="74" s="1"/>
  <c r="X120" i="74"/>
  <c r="X152" i="74" s="1"/>
  <c r="Q120" i="74"/>
  <c r="Q152" i="74" s="1"/>
  <c r="R120" i="74"/>
  <c r="R152" i="74" s="1"/>
  <c r="K120" i="74"/>
  <c r="K152" i="74" s="1"/>
  <c r="Y120" i="74"/>
  <c r="Y152" i="74" s="1"/>
  <c r="W120" i="74"/>
  <c r="W152" i="74" s="1"/>
  <c r="V120" i="74"/>
  <c r="V152" i="74" s="1"/>
  <c r="H223" i="71" a="1"/>
  <c r="H223" i="71" s="1"/>
  <c r="N20" i="65" l="1"/>
  <c r="AD44" i="41"/>
  <c r="AD24" i="65" s="1"/>
  <c r="AD114" i="65" s="1"/>
  <c r="T77" i="41"/>
  <c r="T75" i="41"/>
  <c r="X26" i="65"/>
  <c r="X116" i="65" s="1"/>
  <c r="X145" i="65" s="1"/>
  <c r="X174" i="65" s="1"/>
  <c r="X79" i="105" s="1"/>
  <c r="W80" i="41"/>
  <c r="L80" i="41"/>
  <c r="AB75" i="41"/>
  <c r="P20" i="65"/>
  <c r="N25" i="65"/>
  <c r="N115" i="65" s="1"/>
  <c r="N126" i="65" s="1"/>
  <c r="N155" i="65" s="1"/>
  <c r="N60" i="105" s="1"/>
  <c r="N100" i="105" s="1"/>
  <c r="P25" i="65"/>
  <c r="P115" i="65" s="1"/>
  <c r="P43" i="82" s="1"/>
  <c r="U22" i="65"/>
  <c r="M80" i="41"/>
  <c r="M75" i="41"/>
  <c r="X80" i="41"/>
  <c r="AA80" i="41"/>
  <c r="S75" i="41"/>
  <c r="V75" i="41"/>
  <c r="X75" i="41"/>
  <c r="AA26" i="65"/>
  <c r="AA116" i="65" s="1"/>
  <c r="AA145" i="65" s="1"/>
  <c r="AA174" i="65" s="1"/>
  <c r="AA79" i="105" s="1"/>
  <c r="AD75" i="41"/>
  <c r="W75" i="41"/>
  <c r="AF75" i="41"/>
  <c r="AB44" i="41"/>
  <c r="AB24" i="65" s="1"/>
  <c r="AB114" i="65" s="1"/>
  <c r="V77" i="41"/>
  <c r="S77" i="41"/>
  <c r="Y26" i="65"/>
  <c r="Y116" i="65" s="1"/>
  <c r="Y127" i="65" s="1"/>
  <c r="Y156" i="65" s="1"/>
  <c r="Y61" i="105" s="1"/>
  <c r="Y101" i="105" s="1"/>
  <c r="AC44" i="41"/>
  <c r="AC24" i="65" s="1"/>
  <c r="AC114" i="65" s="1"/>
  <c r="AE44" i="41"/>
  <c r="AE79" i="41" s="1"/>
  <c r="U75" i="41"/>
  <c r="AE75" i="41"/>
  <c r="W81" i="41"/>
  <c r="AA20" i="65"/>
  <c r="Z25" i="65"/>
  <c r="Z115" i="65" s="1"/>
  <c r="Z144" i="65" s="1"/>
  <c r="Z173" i="65" s="1"/>
  <c r="Z78" i="105" s="1"/>
  <c r="Y75" i="41"/>
  <c r="T161" i="74"/>
  <c r="T23" i="41" s="1"/>
  <c r="AJ43" i="41" s="1"/>
  <c r="AJ23" i="65" s="1"/>
  <c r="J161" i="74"/>
  <c r="J23" i="41" s="1"/>
  <c r="J43" i="41" s="1"/>
  <c r="J23" i="65" s="1"/>
  <c r="S161" i="74"/>
  <c r="S23" i="41" s="1"/>
  <c r="AI43" i="41" s="1"/>
  <c r="AI23" i="65" s="1"/>
  <c r="A4" i="83"/>
  <c r="J53" i="55"/>
  <c r="AE81" i="41"/>
  <c r="AE26" i="65"/>
  <c r="AE116" i="65" s="1"/>
  <c r="AD80" i="41"/>
  <c r="AD25" i="65"/>
  <c r="AD115" i="65" s="1"/>
  <c r="O76" i="41"/>
  <c r="O21" i="65"/>
  <c r="N22" i="65"/>
  <c r="N77" i="41"/>
  <c r="U26" i="65"/>
  <c r="U116" i="65" s="1"/>
  <c r="U81" i="41"/>
  <c r="S80" i="41"/>
  <c r="S25" i="65"/>
  <c r="S115" i="65" s="1"/>
  <c r="M161" i="74"/>
  <c r="M23" i="41" s="1"/>
  <c r="Q43" i="41" s="1"/>
  <c r="O161" i="74"/>
  <c r="O23" i="41" s="1"/>
  <c r="AC81" i="41"/>
  <c r="AC26" i="65"/>
  <c r="AC116" i="65" s="1"/>
  <c r="AG44" i="82"/>
  <c r="AG127" i="65"/>
  <c r="AG156" i="65" s="1"/>
  <c r="AG61" i="105" s="1"/>
  <c r="AG101" i="105" s="1"/>
  <c r="AG145" i="65"/>
  <c r="AG174" i="65" s="1"/>
  <c r="AG79" i="105" s="1"/>
  <c r="AG136" i="65"/>
  <c r="AG165" i="65" s="1"/>
  <c r="AG70" i="105" s="1"/>
  <c r="AG144" i="65"/>
  <c r="AG173" i="65" s="1"/>
  <c r="AG78" i="105" s="1"/>
  <c r="AG43" i="82"/>
  <c r="AG126" i="65"/>
  <c r="AG155" i="65" s="1"/>
  <c r="AG60" i="105" s="1"/>
  <c r="AG100" i="105" s="1"/>
  <c r="AG135" i="65"/>
  <c r="AG164" i="65" s="1"/>
  <c r="AG69" i="105" s="1"/>
  <c r="AE76" i="41"/>
  <c r="AE21" i="65"/>
  <c r="Q24" i="65"/>
  <c r="Q114" i="65" s="1"/>
  <c r="Q79" i="41"/>
  <c r="N81" i="41"/>
  <c r="N26" i="65"/>
  <c r="N116" i="65" s="1"/>
  <c r="N76" i="41"/>
  <c r="N21" i="65"/>
  <c r="K44" i="82"/>
  <c r="K136" i="65"/>
  <c r="K165" i="65" s="1"/>
  <c r="K70" i="105" s="1"/>
  <c r="K111" i="105" s="1"/>
  <c r="K145" i="65"/>
  <c r="K174" i="65" s="1"/>
  <c r="K79" i="105" s="1"/>
  <c r="K121" i="105" s="1"/>
  <c r="K127" i="65"/>
  <c r="K156" i="65" s="1"/>
  <c r="K61" i="105" s="1"/>
  <c r="K101" i="105" s="1"/>
  <c r="AG24" i="65"/>
  <c r="AG114" i="65" s="1"/>
  <c r="AG79" i="41"/>
  <c r="K144" i="65"/>
  <c r="K173" i="65" s="1"/>
  <c r="K78" i="105" s="1"/>
  <c r="K120" i="105" s="1"/>
  <c r="K126" i="65"/>
  <c r="K155" i="65" s="1"/>
  <c r="K60" i="105" s="1"/>
  <c r="K100" i="105" s="1"/>
  <c r="K135" i="65"/>
  <c r="K164" i="65" s="1"/>
  <c r="K69" i="105" s="1"/>
  <c r="K110" i="105" s="1"/>
  <c r="K43" i="82"/>
  <c r="AF77" i="41"/>
  <c r="AF22" i="65"/>
  <c r="P22" i="65"/>
  <c r="P77" i="41"/>
  <c r="R76" i="41"/>
  <c r="R21" i="65"/>
  <c r="M44" i="41"/>
  <c r="P44" i="41"/>
  <c r="N44" i="41"/>
  <c r="O44" i="41"/>
  <c r="L44" i="41"/>
  <c r="S81" i="41"/>
  <c r="S26" i="65"/>
  <c r="S116" i="65" s="1"/>
  <c r="AB79" i="41"/>
  <c r="Y21" i="65"/>
  <c r="Y76" i="41"/>
  <c r="W22" i="65"/>
  <c r="W77" i="41"/>
  <c r="J79" i="41"/>
  <c r="J24" i="65"/>
  <c r="J114" i="65" s="1"/>
  <c r="Y161" i="74"/>
  <c r="Y23" i="41" s="1"/>
  <c r="AO43" i="41" s="1"/>
  <c r="AA44" i="82"/>
  <c r="AC76" i="41"/>
  <c r="AC21" i="65"/>
  <c r="L26" i="65"/>
  <c r="L116" i="65" s="1"/>
  <c r="L81" i="41"/>
  <c r="Y22" i="65"/>
  <c r="Y77" i="41"/>
  <c r="U161" i="74"/>
  <c r="U23" i="41" s="1"/>
  <c r="AK43" i="41" s="1"/>
  <c r="N161" i="74"/>
  <c r="N23" i="41" s="1"/>
  <c r="AB81" i="41"/>
  <c r="AB26" i="65"/>
  <c r="AB116" i="65" s="1"/>
  <c r="AB25" i="65"/>
  <c r="AB115" i="65" s="1"/>
  <c r="AB80" i="41"/>
  <c r="X43" i="82"/>
  <c r="X144" i="65"/>
  <c r="X173" i="65" s="1"/>
  <c r="X78" i="105" s="1"/>
  <c r="X126" i="65"/>
  <c r="X155" i="65" s="1"/>
  <c r="X60" i="105" s="1"/>
  <c r="X100" i="105" s="1"/>
  <c r="O126" i="65"/>
  <c r="O155" i="65" s="1"/>
  <c r="O60" i="105" s="1"/>
  <c r="O100" i="105" s="1"/>
  <c r="O43" i="82"/>
  <c r="O144" i="65"/>
  <c r="O173" i="65" s="1"/>
  <c r="O78" i="105" s="1"/>
  <c r="O135" i="65"/>
  <c r="O164" i="65" s="1"/>
  <c r="O69" i="105" s="1"/>
  <c r="AB21" i="65"/>
  <c r="AB76" i="41"/>
  <c r="AJ44" i="82"/>
  <c r="AJ136" i="65"/>
  <c r="AJ165" i="65" s="1"/>
  <c r="AJ70" i="105" s="1"/>
  <c r="AJ127" i="65"/>
  <c r="AJ156" i="65" s="1"/>
  <c r="AJ61" i="105" s="1"/>
  <c r="AJ101" i="105" s="1"/>
  <c r="AJ145" i="65"/>
  <c r="AJ174" i="65" s="1"/>
  <c r="AJ79" i="105" s="1"/>
  <c r="M81" i="41"/>
  <c r="M26" i="65"/>
  <c r="M116" i="65" s="1"/>
  <c r="AI44" i="82"/>
  <c r="AI127" i="65"/>
  <c r="AI156" i="65" s="1"/>
  <c r="AI61" i="105" s="1"/>
  <c r="AI101" i="105" s="1"/>
  <c r="AI145" i="65"/>
  <c r="AI174" i="65" s="1"/>
  <c r="AI79" i="105" s="1"/>
  <c r="K24" i="65"/>
  <c r="K114" i="65" s="1"/>
  <c r="K79" i="41"/>
  <c r="W44" i="82"/>
  <c r="W127" i="65"/>
  <c r="W156" i="65" s="1"/>
  <c r="W61" i="105" s="1"/>
  <c r="W101" i="105" s="1"/>
  <c r="W145" i="65"/>
  <c r="W174" i="65" s="1"/>
  <c r="W79" i="105" s="1"/>
  <c r="AE22" i="65"/>
  <c r="AE77" i="41"/>
  <c r="V21" i="65"/>
  <c r="V76" i="41"/>
  <c r="T81" i="41"/>
  <c r="T26" i="65"/>
  <c r="T116" i="65" s="1"/>
  <c r="AD79" i="41"/>
  <c r="T25" i="65"/>
  <c r="T115" i="65" s="1"/>
  <c r="T80" i="41"/>
  <c r="AK44" i="82"/>
  <c r="AL145" i="65"/>
  <c r="AL174" i="65" s="1"/>
  <c r="AL79" i="105" s="1"/>
  <c r="AL127" i="65"/>
  <c r="AL156" i="65" s="1"/>
  <c r="AL61" i="105" s="1"/>
  <c r="AL101" i="105" s="1"/>
  <c r="X21" i="65"/>
  <c r="X76" i="41"/>
  <c r="AA77" i="41"/>
  <c r="AA22" i="65"/>
  <c r="AA126" i="65"/>
  <c r="AA155" i="65" s="1"/>
  <c r="AA60" i="105" s="1"/>
  <c r="AA100" i="105" s="1"/>
  <c r="AA144" i="65"/>
  <c r="AA173" i="65" s="1"/>
  <c r="AA78" i="105" s="1"/>
  <c r="AA43" i="82"/>
  <c r="U44" i="41"/>
  <c r="R44" i="41"/>
  <c r="T44" i="41"/>
  <c r="V44" i="41"/>
  <c r="S44" i="41"/>
  <c r="S76" i="41"/>
  <c r="S21" i="65"/>
  <c r="L144" i="65"/>
  <c r="L173" i="65" s="1"/>
  <c r="L78" i="105" s="1"/>
  <c r="L126" i="65"/>
  <c r="L155" i="65" s="1"/>
  <c r="L60" i="105" s="1"/>
  <c r="L100" i="105" s="1"/>
  <c r="L43" i="82"/>
  <c r="L135" i="65"/>
  <c r="L164" i="65" s="1"/>
  <c r="L69" i="105" s="1"/>
  <c r="X161" i="74"/>
  <c r="X23" i="41" s="1"/>
  <c r="AN43" i="41" s="1"/>
  <c r="K161" i="74"/>
  <c r="K23" i="41" s="1"/>
  <c r="K43" i="41" s="1"/>
  <c r="AF26" i="65"/>
  <c r="AF116" i="65" s="1"/>
  <c r="AF81" i="41"/>
  <c r="AF25" i="65"/>
  <c r="AF115" i="65" s="1"/>
  <c r="AF80" i="41"/>
  <c r="AA44" i="41"/>
  <c r="Z44" i="41"/>
  <c r="Y44" i="41"/>
  <c r="W44" i="41"/>
  <c r="X44" i="41"/>
  <c r="P76" i="41"/>
  <c r="P21" i="65"/>
  <c r="M43" i="82"/>
  <c r="M135" i="65"/>
  <c r="M164" i="65" s="1"/>
  <c r="M69" i="105" s="1"/>
  <c r="M144" i="65"/>
  <c r="M173" i="65" s="1"/>
  <c r="M78" i="105" s="1"/>
  <c r="M126" i="65"/>
  <c r="M155" i="65" s="1"/>
  <c r="M60" i="105" s="1"/>
  <c r="M100" i="105" s="1"/>
  <c r="O77" i="41"/>
  <c r="O22" i="65"/>
  <c r="AL44" i="82"/>
  <c r="AN145" i="65"/>
  <c r="AN174" i="65" s="1"/>
  <c r="AN79" i="105" s="1"/>
  <c r="AN127" i="65"/>
  <c r="AN156" i="65" s="1"/>
  <c r="AN61" i="105" s="1"/>
  <c r="AN101" i="105" s="1"/>
  <c r="V81" i="41"/>
  <c r="V26" i="65"/>
  <c r="V116" i="65" s="1"/>
  <c r="U25" i="65"/>
  <c r="U115" i="65" s="1"/>
  <c r="U80" i="41"/>
  <c r="Z76" i="41"/>
  <c r="Z21" i="65"/>
  <c r="Q161" i="74"/>
  <c r="Q23" i="41" s="1"/>
  <c r="AG43" i="41" s="1"/>
  <c r="R161" i="74"/>
  <c r="R23" i="41" s="1"/>
  <c r="AH43" i="41" s="1"/>
  <c r="AD22" i="65"/>
  <c r="AD77" i="41"/>
  <c r="W76" i="41"/>
  <c r="W21" i="65"/>
  <c r="L161" i="74"/>
  <c r="L23" i="41" s="1"/>
  <c r="P43" i="41" s="1"/>
  <c r="P161" i="74"/>
  <c r="P23" i="41" s="1"/>
  <c r="V161" i="74"/>
  <c r="V23" i="41" s="1"/>
  <c r="AL43" i="41" s="1"/>
  <c r="W161" i="74"/>
  <c r="W23" i="41" s="1"/>
  <c r="AM43" i="41" s="1"/>
  <c r="AE25" i="65"/>
  <c r="AE115" i="65" s="1"/>
  <c r="AE80" i="41"/>
  <c r="AF76" i="41"/>
  <c r="AF21" i="65"/>
  <c r="O81" i="41"/>
  <c r="O26" i="65"/>
  <c r="O116" i="65" s="1"/>
  <c r="M76" i="41"/>
  <c r="M21" i="65"/>
  <c r="Z145" i="65"/>
  <c r="Z174" i="65" s="1"/>
  <c r="Z79" i="105" s="1"/>
  <c r="Z127" i="65"/>
  <c r="Z156" i="65" s="1"/>
  <c r="Z61" i="105" s="1"/>
  <c r="Z101" i="105" s="1"/>
  <c r="Z44" i="82"/>
  <c r="AB22" i="65"/>
  <c r="AB77" i="41"/>
  <c r="L77" i="41"/>
  <c r="L22" i="65"/>
  <c r="T76" i="41"/>
  <c r="T21" i="65"/>
  <c r="AH44" i="82"/>
  <c r="AH145" i="65"/>
  <c r="AH174" i="65" s="1"/>
  <c r="AH79" i="105" s="1"/>
  <c r="AH136" i="65"/>
  <c r="AH165" i="65" s="1"/>
  <c r="AH70" i="105" s="1"/>
  <c r="AH127" i="65"/>
  <c r="AH156" i="65" s="1"/>
  <c r="AH61" i="105" s="1"/>
  <c r="AH101" i="105" s="1"/>
  <c r="R26" i="65"/>
  <c r="R116" i="65" s="1"/>
  <c r="R81" i="41"/>
  <c r="V25" i="65"/>
  <c r="V115" i="65" s="1"/>
  <c r="V80" i="41"/>
  <c r="Q126" i="65"/>
  <c r="Q155" i="65" s="1"/>
  <c r="Q60" i="105" s="1"/>
  <c r="Q100" i="105" s="1"/>
  <c r="Q135" i="65"/>
  <c r="Q164" i="65" s="1"/>
  <c r="Q69" i="105" s="1"/>
  <c r="Q110" i="105" s="1"/>
  <c r="Q43" i="82"/>
  <c r="Q144" i="65"/>
  <c r="Q173" i="65" s="1"/>
  <c r="Q78" i="105" s="1"/>
  <c r="Q120" i="105" s="1"/>
  <c r="Z22" i="65"/>
  <c r="Z77" i="41"/>
  <c r="H291" i="73" a="1"/>
  <c r="H291" i="73" s="1"/>
  <c r="H295" i="73" s="1"/>
  <c r="J56" i="55" s="1"/>
  <c r="AD26" i="65"/>
  <c r="AD116" i="65" s="1"/>
  <c r="AD81" i="41"/>
  <c r="AC25" i="65"/>
  <c r="AC115" i="65" s="1"/>
  <c r="AC80" i="41"/>
  <c r="AD76" i="41"/>
  <c r="AD21" i="65"/>
  <c r="P81" i="41"/>
  <c r="P26" i="65"/>
  <c r="P116" i="65" s="1"/>
  <c r="Y43" i="82"/>
  <c r="Y144" i="65"/>
  <c r="Y173" i="65" s="1"/>
  <c r="Y78" i="105" s="1"/>
  <c r="Y126" i="65"/>
  <c r="Y155" i="65" s="1"/>
  <c r="Y60" i="105" s="1"/>
  <c r="Y100" i="105" s="1"/>
  <c r="L76" i="41"/>
  <c r="L21" i="65"/>
  <c r="J126" i="65"/>
  <c r="J155" i="65" s="1"/>
  <c r="J60" i="105" s="1"/>
  <c r="J100" i="105" s="1"/>
  <c r="J135" i="65"/>
  <c r="J164" i="65" s="1"/>
  <c r="J69" i="105" s="1"/>
  <c r="J144" i="65"/>
  <c r="J173" i="65" s="1"/>
  <c r="J78" i="105" s="1"/>
  <c r="J43" i="82"/>
  <c r="W126" i="65"/>
  <c r="W155" i="65" s="1"/>
  <c r="W60" i="105" s="1"/>
  <c r="W100" i="105" s="1"/>
  <c r="W144" i="65"/>
  <c r="W173" i="65" s="1"/>
  <c r="W78" i="105" s="1"/>
  <c r="W43" i="82"/>
  <c r="AC22" i="65"/>
  <c r="AC77" i="41"/>
  <c r="M77" i="41"/>
  <c r="M22" i="65"/>
  <c r="U76" i="41"/>
  <c r="U21" i="65"/>
  <c r="Q127" i="65"/>
  <c r="Q156" i="65" s="1"/>
  <c r="Q61" i="105" s="1"/>
  <c r="Q101" i="105" s="1"/>
  <c r="Q44" i="82"/>
  <c r="Q136" i="65"/>
  <c r="Q165" i="65" s="1"/>
  <c r="Q70" i="105" s="1"/>
  <c r="Q111" i="105" s="1"/>
  <c r="Q145" i="65"/>
  <c r="Q174" i="65" s="1"/>
  <c r="Q79" i="105" s="1"/>
  <c r="Q121" i="105" s="1"/>
  <c r="AF79" i="41"/>
  <c r="AF24" i="65"/>
  <c r="AF114" i="65" s="1"/>
  <c r="R80" i="41"/>
  <c r="R25" i="65"/>
  <c r="R115" i="65" s="1"/>
  <c r="AA76" i="41"/>
  <c r="AA21" i="65"/>
  <c r="X77" i="41"/>
  <c r="X22" i="65"/>
  <c r="H254" i="72" a="1"/>
  <c r="H254" i="72" s="1"/>
  <c r="J57" i="55" s="1"/>
  <c r="J81" i="41"/>
  <c r="J26" i="65"/>
  <c r="J116" i="65" s="1"/>
  <c r="J55" i="55"/>
  <c r="A4" i="71"/>
  <c r="X44" i="82" l="1"/>
  <c r="X127" i="65"/>
  <c r="X156" i="65" s="1"/>
  <c r="X61" i="105" s="1"/>
  <c r="X101" i="105" s="1"/>
  <c r="Z43" i="82"/>
  <c r="N43" i="82"/>
  <c r="P135" i="65"/>
  <c r="P164" i="65" s="1"/>
  <c r="P69" i="105" s="1"/>
  <c r="P110" i="105" s="1"/>
  <c r="P144" i="65"/>
  <c r="P173" i="65" s="1"/>
  <c r="P78" i="105" s="1"/>
  <c r="P120" i="105" s="1"/>
  <c r="N144" i="65"/>
  <c r="N173" i="65" s="1"/>
  <c r="N78" i="105" s="1"/>
  <c r="N120" i="105" s="1"/>
  <c r="N135" i="65"/>
  <c r="N164" i="65" s="1"/>
  <c r="N69" i="105" s="1"/>
  <c r="N110" i="105" s="1"/>
  <c r="P126" i="65"/>
  <c r="P155" i="65" s="1"/>
  <c r="P60" i="105" s="1"/>
  <c r="P100" i="105" s="1"/>
  <c r="Z126" i="65"/>
  <c r="Z155" i="65" s="1"/>
  <c r="Z60" i="105" s="1"/>
  <c r="Z100" i="105" s="1"/>
  <c r="AA127" i="65"/>
  <c r="AA156" i="65" s="1"/>
  <c r="AA61" i="105" s="1"/>
  <c r="AA101" i="105" s="1"/>
  <c r="AG120" i="105"/>
  <c r="AG198" i="105"/>
  <c r="AG111" i="105"/>
  <c r="AG188" i="105"/>
  <c r="AG121" i="105"/>
  <c r="AG199" i="105"/>
  <c r="AG110" i="105"/>
  <c r="AG187" i="105"/>
  <c r="Y145" i="65"/>
  <c r="Y174" i="65" s="1"/>
  <c r="Y79" i="105" s="1"/>
  <c r="Y199" i="105" s="1"/>
  <c r="AI78" i="41"/>
  <c r="AI82" i="41" s="1"/>
  <c r="Y44" i="82"/>
  <c r="H75" i="41"/>
  <c r="AC79" i="41"/>
  <c r="L43" i="41"/>
  <c r="L78" i="41" s="1"/>
  <c r="N43" i="41"/>
  <c r="N78" i="41" s="1"/>
  <c r="AE24" i="65"/>
  <c r="AE114" i="65" s="1"/>
  <c r="AE143" i="65" s="1"/>
  <c r="AE172" i="65" s="1"/>
  <c r="AE77" i="105" s="1"/>
  <c r="AJ78" i="41"/>
  <c r="AJ82" i="41" s="1"/>
  <c r="H165" i="74" a="1"/>
  <c r="H165" i="74" s="1"/>
  <c r="A4" i="74" s="1"/>
  <c r="M43" i="41"/>
  <c r="O43" i="41"/>
  <c r="O78" i="41" s="1"/>
  <c r="J78" i="41"/>
  <c r="J82" i="41" s="1"/>
  <c r="H77" i="41"/>
  <c r="H80" i="41"/>
  <c r="U126" i="65"/>
  <c r="U155" i="65" s="1"/>
  <c r="U60" i="105" s="1"/>
  <c r="U100" i="105" s="1"/>
  <c r="U135" i="65"/>
  <c r="U164" i="65" s="1"/>
  <c r="U69" i="105" s="1"/>
  <c r="U43" i="82"/>
  <c r="U144" i="65"/>
  <c r="U173" i="65" s="1"/>
  <c r="U78" i="105" s="1"/>
  <c r="M187" i="105"/>
  <c r="M110" i="105"/>
  <c r="L110" i="105"/>
  <c r="L187" i="105"/>
  <c r="S24" i="65"/>
  <c r="S114" i="65" s="1"/>
  <c r="S79" i="41"/>
  <c r="AO23" i="65"/>
  <c r="AO78" i="41"/>
  <c r="AO82" i="41" s="1"/>
  <c r="AC44" i="82"/>
  <c r="AC127" i="65"/>
  <c r="AC156" i="65" s="1"/>
  <c r="AC61" i="105" s="1"/>
  <c r="AC101" i="105" s="1"/>
  <c r="AC145" i="65"/>
  <c r="AC174" i="65" s="1"/>
  <c r="AC79" i="105" s="1"/>
  <c r="AD43" i="82"/>
  <c r="AD126" i="65"/>
  <c r="AD155" i="65" s="1"/>
  <c r="AD60" i="105" s="1"/>
  <c r="AD100" i="105" s="1"/>
  <c r="AD144" i="65"/>
  <c r="AD173" i="65" s="1"/>
  <c r="AD78" i="105" s="1"/>
  <c r="W120" i="105"/>
  <c r="W198" i="105"/>
  <c r="X121" i="105"/>
  <c r="X199" i="105"/>
  <c r="Z79" i="41"/>
  <c r="Z24" i="65"/>
  <c r="Z114" i="65" s="1"/>
  <c r="V79" i="41"/>
  <c r="V24" i="65"/>
  <c r="V114" i="65" s="1"/>
  <c r="AJ188" i="105"/>
  <c r="AJ111" i="105"/>
  <c r="AA121" i="105"/>
  <c r="AA199" i="105"/>
  <c r="Q143" i="65"/>
  <c r="Q172" i="65" s="1"/>
  <c r="Q77" i="105" s="1"/>
  <c r="Q119" i="105" s="1"/>
  <c r="Q134" i="65"/>
  <c r="Q163" i="65" s="1"/>
  <c r="Q68" i="105" s="1"/>
  <c r="Q109" i="105" s="1"/>
  <c r="Q42" i="82"/>
  <c r="Q125" i="65"/>
  <c r="Q154" i="65" s="1"/>
  <c r="Q59" i="105" s="1"/>
  <c r="Q99" i="105" s="1"/>
  <c r="H76" i="41"/>
  <c r="V144" i="65"/>
  <c r="V173" i="65" s="1"/>
  <c r="V78" i="105" s="1"/>
  <c r="V135" i="65"/>
  <c r="V164" i="65" s="1"/>
  <c r="V69" i="105" s="1"/>
  <c r="V126" i="65"/>
  <c r="V155" i="65" s="1"/>
  <c r="V60" i="105" s="1"/>
  <c r="V100" i="105" s="1"/>
  <c r="V43" i="82"/>
  <c r="AH188" i="105"/>
  <c r="AH111" i="105"/>
  <c r="AL23" i="65"/>
  <c r="AL78" i="41"/>
  <c r="AL82" i="41" s="1"/>
  <c r="AC125" i="65"/>
  <c r="AC154" i="65" s="1"/>
  <c r="AC59" i="105" s="1"/>
  <c r="AC99" i="105" s="1"/>
  <c r="AC42" i="82"/>
  <c r="AC143" i="65"/>
  <c r="AC172" i="65" s="1"/>
  <c r="AC77" i="105" s="1"/>
  <c r="AA79" i="41"/>
  <c r="AA24" i="65"/>
  <c r="AA114" i="65" s="1"/>
  <c r="T79" i="41"/>
  <c r="T24" i="65"/>
  <c r="T114" i="65" s="1"/>
  <c r="T126" i="65"/>
  <c r="T155" i="65" s="1"/>
  <c r="T60" i="105" s="1"/>
  <c r="T100" i="105" s="1"/>
  <c r="T144" i="65"/>
  <c r="T173" i="65" s="1"/>
  <c r="T78" i="105" s="1"/>
  <c r="T43" i="82"/>
  <c r="T135" i="65"/>
  <c r="T164" i="65" s="1"/>
  <c r="T69" i="105" s="1"/>
  <c r="M44" i="82"/>
  <c r="M127" i="65"/>
  <c r="M156" i="65" s="1"/>
  <c r="M61" i="105" s="1"/>
  <c r="M101" i="105" s="1"/>
  <c r="M145" i="65"/>
  <c r="M174" i="65" s="1"/>
  <c r="M79" i="105" s="1"/>
  <c r="M136" i="65"/>
  <c r="M165" i="65" s="1"/>
  <c r="M70" i="105" s="1"/>
  <c r="AB44" i="82"/>
  <c r="AB127" i="65"/>
  <c r="AB156" i="65" s="1"/>
  <c r="AB61" i="105" s="1"/>
  <c r="AB101" i="105" s="1"/>
  <c r="AB145" i="65"/>
  <c r="AB174" i="65" s="1"/>
  <c r="AB79" i="105" s="1"/>
  <c r="P24" i="65"/>
  <c r="P114" i="65" s="1"/>
  <c r="P79" i="41"/>
  <c r="AA43" i="41"/>
  <c r="Y43" i="41"/>
  <c r="Z43" i="41"/>
  <c r="X43" i="41"/>
  <c r="W43" i="41"/>
  <c r="AE145" i="65"/>
  <c r="AE174" i="65" s="1"/>
  <c r="AE79" i="105" s="1"/>
  <c r="AE44" i="82"/>
  <c r="AE127" i="65"/>
  <c r="AE156" i="65" s="1"/>
  <c r="AE61" i="105" s="1"/>
  <c r="AE101" i="105" s="1"/>
  <c r="A4" i="73"/>
  <c r="AF42" i="82"/>
  <c r="AF143" i="65"/>
  <c r="AF172" i="65" s="1"/>
  <c r="AF77" i="105" s="1"/>
  <c r="AF125" i="65"/>
  <c r="AF154" i="65" s="1"/>
  <c r="AF59" i="105" s="1"/>
  <c r="AF99" i="105" s="1"/>
  <c r="R127" i="65"/>
  <c r="R156" i="65" s="1"/>
  <c r="R61" i="105" s="1"/>
  <c r="R101" i="105" s="1"/>
  <c r="R145" i="65"/>
  <c r="R174" i="65" s="1"/>
  <c r="R79" i="105" s="1"/>
  <c r="R44" i="82"/>
  <c r="R136" i="65"/>
  <c r="R165" i="65" s="1"/>
  <c r="R70" i="105" s="1"/>
  <c r="AN199" i="105"/>
  <c r="AN121" i="105"/>
  <c r="Y24" i="65"/>
  <c r="Y114" i="65" s="1"/>
  <c r="Y79" i="41"/>
  <c r="AF145" i="65"/>
  <c r="AF174" i="65" s="1"/>
  <c r="AF79" i="105" s="1"/>
  <c r="AF127" i="65"/>
  <c r="AF156" i="65" s="1"/>
  <c r="AF61" i="105" s="1"/>
  <c r="AF101" i="105" s="1"/>
  <c r="AF44" i="82"/>
  <c r="AA198" i="105"/>
  <c r="AA120" i="105"/>
  <c r="O198" i="105"/>
  <c r="O120" i="105"/>
  <c r="N198" i="105"/>
  <c r="O79" i="41"/>
  <c r="O24" i="65"/>
  <c r="O114" i="65" s="1"/>
  <c r="Z121" i="105"/>
  <c r="Z199" i="105"/>
  <c r="AM23" i="65"/>
  <c r="AM78" i="41"/>
  <c r="AM82" i="41" s="1"/>
  <c r="AB144" i="65"/>
  <c r="AB173" i="65" s="1"/>
  <c r="AB78" i="105" s="1"/>
  <c r="AB43" i="82"/>
  <c r="AB126" i="65"/>
  <c r="AB155" i="65" s="1"/>
  <c r="AB60" i="105" s="1"/>
  <c r="AB100" i="105" s="1"/>
  <c r="J42" i="82"/>
  <c r="J143" i="65"/>
  <c r="J172" i="65" s="1"/>
  <c r="J77" i="105" s="1"/>
  <c r="J134" i="65"/>
  <c r="J163" i="65" s="1"/>
  <c r="J68" i="105" s="1"/>
  <c r="J125" i="65"/>
  <c r="J154" i="65" s="1"/>
  <c r="J59" i="105" s="1"/>
  <c r="J99" i="105" s="1"/>
  <c r="AB143" i="65"/>
  <c r="AB172" i="65" s="1"/>
  <c r="AB77" i="105" s="1"/>
  <c r="AB125" i="65"/>
  <c r="AB154" i="65" s="1"/>
  <c r="AB59" i="105" s="1"/>
  <c r="AB99" i="105" s="1"/>
  <c r="AB42" i="82"/>
  <c r="N24" i="65"/>
  <c r="N114" i="65" s="1"/>
  <c r="N79" i="41"/>
  <c r="U127" i="65"/>
  <c r="U156" i="65" s="1"/>
  <c r="U61" i="105" s="1"/>
  <c r="U101" i="105" s="1"/>
  <c r="U136" i="65"/>
  <c r="U165" i="65" s="1"/>
  <c r="U70" i="105" s="1"/>
  <c r="U44" i="82"/>
  <c r="U145" i="65"/>
  <c r="U174" i="65" s="1"/>
  <c r="U79" i="105" s="1"/>
  <c r="AC43" i="82"/>
  <c r="AC144" i="65"/>
  <c r="AC173" i="65" s="1"/>
  <c r="AC78" i="105" s="1"/>
  <c r="AC126" i="65"/>
  <c r="AC155" i="65" s="1"/>
  <c r="AC60" i="105" s="1"/>
  <c r="AC100" i="105" s="1"/>
  <c r="AH199" i="105"/>
  <c r="AH121" i="105"/>
  <c r="AE43" i="82"/>
  <c r="AE144" i="65"/>
  <c r="AE173" i="65" s="1"/>
  <c r="AE78" i="105" s="1"/>
  <c r="AE126" i="65"/>
  <c r="AE155" i="65" s="1"/>
  <c r="AE60" i="105" s="1"/>
  <c r="AE100" i="105" s="1"/>
  <c r="AE43" i="41"/>
  <c r="AD43" i="41"/>
  <c r="AC43" i="41"/>
  <c r="AB43" i="41"/>
  <c r="AF43" i="41"/>
  <c r="AH78" i="41"/>
  <c r="AH82" i="41" s="1"/>
  <c r="AH23" i="65"/>
  <c r="V136" i="65"/>
  <c r="V165" i="65" s="1"/>
  <c r="V70" i="105" s="1"/>
  <c r="V145" i="65"/>
  <c r="V174" i="65" s="1"/>
  <c r="V79" i="105" s="1"/>
  <c r="V127" i="65"/>
  <c r="V156" i="65" s="1"/>
  <c r="V61" i="105" s="1"/>
  <c r="V101" i="105" s="1"/>
  <c r="V44" i="82"/>
  <c r="K23" i="65"/>
  <c r="K78" i="41"/>
  <c r="K82" i="41" s="1"/>
  <c r="L198" i="105"/>
  <c r="L120" i="105"/>
  <c r="R79" i="41"/>
  <c r="R24" i="65"/>
  <c r="R114" i="65" s="1"/>
  <c r="AD125" i="65"/>
  <c r="AD154" i="65" s="1"/>
  <c r="AD59" i="105" s="1"/>
  <c r="AD99" i="105" s="1"/>
  <c r="AD143" i="65"/>
  <c r="AD172" i="65" s="1"/>
  <c r="AD77" i="105" s="1"/>
  <c r="AD42" i="82"/>
  <c r="S127" i="65"/>
  <c r="S156" i="65" s="1"/>
  <c r="S61" i="105" s="1"/>
  <c r="S101" i="105" s="1"/>
  <c r="S136" i="65"/>
  <c r="S165" i="65" s="1"/>
  <c r="S70" i="105" s="1"/>
  <c r="S145" i="65"/>
  <c r="S174" i="65" s="1"/>
  <c r="S79" i="105" s="1"/>
  <c r="S44" i="82"/>
  <c r="M24" i="65"/>
  <c r="M114" i="65" s="1"/>
  <c r="M79" i="41"/>
  <c r="AG134" i="65"/>
  <c r="AG163" i="65" s="1"/>
  <c r="AG68" i="105" s="1"/>
  <c r="AG42" i="82"/>
  <c r="AG143" i="65"/>
  <c r="AG172" i="65" s="1"/>
  <c r="AG77" i="105" s="1"/>
  <c r="AG125" i="65"/>
  <c r="AG154" i="65" s="1"/>
  <c r="AG59" i="105" s="1"/>
  <c r="AG99" i="105" s="1"/>
  <c r="Q23" i="65"/>
  <c r="Q78" i="41"/>
  <c r="Q82" i="41" s="1"/>
  <c r="R126" i="65"/>
  <c r="R155" i="65" s="1"/>
  <c r="R60" i="105" s="1"/>
  <c r="R100" i="105" s="1"/>
  <c r="R43" i="82"/>
  <c r="R144" i="65"/>
  <c r="R173" i="65" s="1"/>
  <c r="R78" i="105" s="1"/>
  <c r="R135" i="65"/>
  <c r="R164" i="65" s="1"/>
  <c r="R69" i="105" s="1"/>
  <c r="J198" i="105"/>
  <c r="J120" i="105"/>
  <c r="Y120" i="105"/>
  <c r="Y198" i="105"/>
  <c r="P44" i="82"/>
  <c r="P136" i="65"/>
  <c r="P165" i="65" s="1"/>
  <c r="P70" i="105" s="1"/>
  <c r="P145" i="65"/>
  <c r="P174" i="65" s="1"/>
  <c r="P79" i="105" s="1"/>
  <c r="P127" i="65"/>
  <c r="P156" i="65" s="1"/>
  <c r="P61" i="105" s="1"/>
  <c r="P101" i="105" s="1"/>
  <c r="O145" i="65"/>
  <c r="O174" i="65" s="1"/>
  <c r="O79" i="105" s="1"/>
  <c r="O127" i="65"/>
  <c r="O156" i="65" s="1"/>
  <c r="O61" i="105" s="1"/>
  <c r="O101" i="105" s="1"/>
  <c r="O44" i="82"/>
  <c r="O136" i="65"/>
  <c r="O165" i="65" s="1"/>
  <c r="O70" i="105" s="1"/>
  <c r="X79" i="41"/>
  <c r="X24" i="65"/>
  <c r="X114" i="65" s="1"/>
  <c r="AF126" i="65"/>
  <c r="AF155" i="65" s="1"/>
  <c r="AF60" i="105" s="1"/>
  <c r="AF100" i="105" s="1"/>
  <c r="AF43" i="82"/>
  <c r="AF144" i="65"/>
  <c r="AF173" i="65" s="1"/>
  <c r="AF78" i="105" s="1"/>
  <c r="AN23" i="65"/>
  <c r="AN78" i="41"/>
  <c r="AN82" i="41" s="1"/>
  <c r="U24" i="65"/>
  <c r="U114" i="65" s="1"/>
  <c r="U79" i="41"/>
  <c r="K42" i="82"/>
  <c r="K143" i="65"/>
  <c r="K172" i="65" s="1"/>
  <c r="K77" i="105" s="1"/>
  <c r="K119" i="105" s="1"/>
  <c r="K134" i="65"/>
  <c r="K163" i="65" s="1"/>
  <c r="K68" i="105" s="1"/>
  <c r="K109" i="105" s="1"/>
  <c r="K125" i="65"/>
  <c r="K154" i="65" s="1"/>
  <c r="K59" i="105" s="1"/>
  <c r="K99" i="105" s="1"/>
  <c r="X198" i="105"/>
  <c r="X120" i="105"/>
  <c r="U43" i="41"/>
  <c r="R43" i="41"/>
  <c r="T43" i="41"/>
  <c r="V43" i="41"/>
  <c r="S43" i="41"/>
  <c r="L44" i="82"/>
  <c r="L145" i="65"/>
  <c r="L174" i="65" s="1"/>
  <c r="L79" i="105" s="1"/>
  <c r="L127" i="65"/>
  <c r="L156" i="65" s="1"/>
  <c r="L61" i="105" s="1"/>
  <c r="L101" i="105" s="1"/>
  <c r="L136" i="65"/>
  <c r="L165" i="65" s="1"/>
  <c r="L70" i="105" s="1"/>
  <c r="N44" i="82"/>
  <c r="N127" i="65"/>
  <c r="N156" i="65" s="1"/>
  <c r="N61" i="105" s="1"/>
  <c r="N101" i="105" s="1"/>
  <c r="N136" i="65"/>
  <c r="N165" i="65" s="1"/>
  <c r="N70" i="105" s="1"/>
  <c r="N145" i="65"/>
  <c r="N174" i="65" s="1"/>
  <c r="N79" i="105" s="1"/>
  <c r="S144" i="65"/>
  <c r="S173" i="65" s="1"/>
  <c r="S78" i="105" s="1"/>
  <c r="S126" i="65"/>
  <c r="S155" i="65" s="1"/>
  <c r="S60" i="105" s="1"/>
  <c r="S100" i="105" s="1"/>
  <c r="S135" i="65"/>
  <c r="S164" i="65" s="1"/>
  <c r="S69" i="105" s="1"/>
  <c r="S43" i="82"/>
  <c r="J187" i="105"/>
  <c r="J110" i="105"/>
  <c r="Z198" i="105"/>
  <c r="Z120" i="105"/>
  <c r="AD44" i="82"/>
  <c r="AD127" i="65"/>
  <c r="AD156" i="65" s="1"/>
  <c r="AD61" i="105" s="1"/>
  <c r="AD101" i="105" s="1"/>
  <c r="AD145" i="65"/>
  <c r="AD174" i="65" s="1"/>
  <c r="AD79" i="105" s="1"/>
  <c r="AG23" i="65"/>
  <c r="AG78" i="41"/>
  <c r="AG82" i="41" s="1"/>
  <c r="M120" i="105"/>
  <c r="M198" i="105"/>
  <c r="W79" i="41"/>
  <c r="W24" i="65"/>
  <c r="W114" i="65" s="1"/>
  <c r="AL199" i="105"/>
  <c r="AL121" i="105"/>
  <c r="T136" i="65"/>
  <c r="T165" i="65" s="1"/>
  <c r="T70" i="105" s="1"/>
  <c r="T44" i="82"/>
  <c r="T127" i="65"/>
  <c r="T156" i="65" s="1"/>
  <c r="T61" i="105" s="1"/>
  <c r="T101" i="105" s="1"/>
  <c r="T145" i="65"/>
  <c r="T174" i="65" s="1"/>
  <c r="T79" i="105" s="1"/>
  <c r="W121" i="105"/>
  <c r="W199" i="105"/>
  <c r="AI199" i="105"/>
  <c r="AI121" i="105"/>
  <c r="AJ199" i="105"/>
  <c r="AJ121" i="105"/>
  <c r="O187" i="105"/>
  <c r="O110" i="105"/>
  <c r="AK23" i="65"/>
  <c r="AK78" i="41"/>
  <c r="AK82" i="41" s="1"/>
  <c r="L24" i="65"/>
  <c r="L114" i="65" s="1"/>
  <c r="L79" i="41"/>
  <c r="H81" i="41"/>
  <c r="A4" i="72"/>
  <c r="J44" i="82"/>
  <c r="J145" i="65"/>
  <c r="J174" i="65" s="1"/>
  <c r="J79" i="105" s="1"/>
  <c r="J127" i="65"/>
  <c r="J156" i="65" s="1"/>
  <c r="J61" i="105" s="1"/>
  <c r="J101" i="105" s="1"/>
  <c r="J136" i="65"/>
  <c r="J165" i="65" s="1"/>
  <c r="J70" i="105" s="1"/>
  <c r="P23" i="65"/>
  <c r="P78" i="41"/>
  <c r="AH185" i="105"/>
  <c r="Q185" i="105"/>
  <c r="Q196" i="105"/>
  <c r="AJ185" i="105"/>
  <c r="AJ196" i="105"/>
  <c r="AI196" i="105"/>
  <c r="AH196" i="105"/>
  <c r="AL196" i="105"/>
  <c r="K185" i="105"/>
  <c r="K196" i="105"/>
  <c r="P198" i="105" l="1"/>
  <c r="Y121" i="105"/>
  <c r="N187" i="105"/>
  <c r="P187" i="105"/>
  <c r="AG109" i="105"/>
  <c r="AG186" i="105"/>
  <c r="AG119" i="105"/>
  <c r="AG197" i="105"/>
  <c r="AE125" i="65"/>
  <c r="AE154" i="65" s="1"/>
  <c r="AE59" i="105" s="1"/>
  <c r="AE99" i="105" s="1"/>
  <c r="L23" i="65"/>
  <c r="N23" i="65"/>
  <c r="AE42" i="82"/>
  <c r="J58" i="55"/>
  <c r="P82" i="41"/>
  <c r="O82" i="41"/>
  <c r="O23" i="65"/>
  <c r="AK222" i="41" a="1"/>
  <c r="AK222" i="41" s="1"/>
  <c r="AK224" i="41" s="1"/>
  <c r="AK415" i="41" s="1"/>
  <c r="AK35" i="65" s="1"/>
  <c r="AK113" i="65" s="1"/>
  <c r="AK124" i="65" s="1"/>
  <c r="AK153" i="65" s="1"/>
  <c r="AK58" i="105" s="1"/>
  <c r="AK98" i="105" s="1"/>
  <c r="M78" i="41"/>
  <c r="M82" i="41" s="1"/>
  <c r="H79" i="41"/>
  <c r="M23" i="65"/>
  <c r="AF222" i="41" a="1"/>
  <c r="AF222" i="41" s="1"/>
  <c r="H100" i="105"/>
  <c r="Y222" i="41" a="1"/>
  <c r="Y222" i="41" s="1"/>
  <c r="H101" i="105"/>
  <c r="AO222" i="41" a="1"/>
  <c r="AO222" i="41" s="1"/>
  <c r="AO224" i="41" s="1"/>
  <c r="AO415" i="41" s="1"/>
  <c r="AO35" i="65" s="1"/>
  <c r="AO113" i="65" s="1"/>
  <c r="AO124" i="65" s="1"/>
  <c r="AO153" i="65" s="1"/>
  <c r="AO58" i="105" s="1"/>
  <c r="AO98" i="105" s="1"/>
  <c r="M222" i="41" a="1"/>
  <c r="M222" i="41" s="1"/>
  <c r="U23" i="65"/>
  <c r="U78" i="41"/>
  <c r="U82" i="41" s="1"/>
  <c r="M42" i="82"/>
  <c r="M134" i="65"/>
  <c r="M163" i="65" s="1"/>
  <c r="M68" i="105" s="1"/>
  <c r="M125" i="65"/>
  <c r="M154" i="65" s="1"/>
  <c r="M59" i="105" s="1"/>
  <c r="M99" i="105" s="1"/>
  <c r="M143" i="65"/>
  <c r="M172" i="65" s="1"/>
  <c r="M77" i="105" s="1"/>
  <c r="AE23" i="65"/>
  <c r="AE78" i="41"/>
  <c r="AE82" i="41" s="1"/>
  <c r="AF197" i="105"/>
  <c r="AF119" i="105"/>
  <c r="P143" i="65"/>
  <c r="P172" i="65" s="1"/>
  <c r="P77" i="105" s="1"/>
  <c r="P125" i="65"/>
  <c r="P154" i="65" s="1"/>
  <c r="P59" i="105" s="1"/>
  <c r="P99" i="105" s="1"/>
  <c r="P42" i="82"/>
  <c r="P134" i="65"/>
  <c r="P163" i="65" s="1"/>
  <c r="P68" i="105" s="1"/>
  <c r="O222" i="41" a="1"/>
  <c r="O222" i="41" s="1"/>
  <c r="V222" i="41" a="1"/>
  <c r="V222" i="41" s="1"/>
  <c r="AH222" i="41" a="1"/>
  <c r="AH222" i="41" s="1"/>
  <c r="AH224" i="41" s="1"/>
  <c r="AH226" i="41" s="1"/>
  <c r="AH228" i="41" s="1"/>
  <c r="Q222" i="41" a="1"/>
  <c r="Q222" i="41" s="1"/>
  <c r="Q224" i="41" s="1"/>
  <c r="Q226" i="41" s="1"/>
  <c r="Q228" i="41" s="1"/>
  <c r="T199" i="105"/>
  <c r="T121" i="105"/>
  <c r="W143" i="65"/>
  <c r="W172" i="65" s="1"/>
  <c r="W77" i="105" s="1"/>
  <c r="W125" i="65"/>
  <c r="W154" i="65" s="1"/>
  <c r="W59" i="105" s="1"/>
  <c r="W99" i="105" s="1"/>
  <c r="W42" i="82"/>
  <c r="AD199" i="105"/>
  <c r="AD121" i="105"/>
  <c r="N188" i="105"/>
  <c r="N111" i="105"/>
  <c r="AF120" i="105"/>
  <c r="AF198" i="105"/>
  <c r="O111" i="105"/>
  <c r="O188" i="105"/>
  <c r="P111" i="105"/>
  <c r="P188" i="105"/>
  <c r="R187" i="105"/>
  <c r="R110" i="105"/>
  <c r="N125" i="65"/>
  <c r="N154" i="65" s="1"/>
  <c r="N59" i="105" s="1"/>
  <c r="N99" i="105" s="1"/>
  <c r="N143" i="65"/>
  <c r="N172" i="65" s="1"/>
  <c r="N77" i="105" s="1"/>
  <c r="N134" i="65"/>
  <c r="N163" i="65" s="1"/>
  <c r="N68" i="105" s="1"/>
  <c r="N42" i="82"/>
  <c r="J119" i="105"/>
  <c r="J197" i="105"/>
  <c r="R111" i="105"/>
  <c r="R188" i="105"/>
  <c r="X23" i="65"/>
  <c r="X78" i="41"/>
  <c r="X82" i="41" s="1"/>
  <c r="T42" i="82"/>
  <c r="T143" i="65"/>
  <c r="T172" i="65" s="1"/>
  <c r="T77" i="105" s="1"/>
  <c r="T125" i="65"/>
  <c r="T154" i="65" s="1"/>
  <c r="T59" i="105" s="1"/>
  <c r="T99" i="105" s="1"/>
  <c r="T134" i="65"/>
  <c r="T163" i="65" s="1"/>
  <c r="T68" i="105" s="1"/>
  <c r="Z125" i="65"/>
  <c r="Z154" i="65" s="1"/>
  <c r="Z59" i="105" s="1"/>
  <c r="Z99" i="105" s="1"/>
  <c r="Z143" i="65"/>
  <c r="Z172" i="65" s="1"/>
  <c r="Z77" i="105" s="1"/>
  <c r="Z42" i="82"/>
  <c r="AD198" i="105"/>
  <c r="AD120" i="105"/>
  <c r="J186" i="105"/>
  <c r="J109" i="105"/>
  <c r="Z222" i="41" a="1"/>
  <c r="Z222" i="41" s="1"/>
  <c r="T222" i="41" a="1"/>
  <c r="T222" i="41" s="1"/>
  <c r="J222" i="41" a="1"/>
  <c r="J222" i="41" s="1"/>
  <c r="AL222" i="41" a="1"/>
  <c r="AL222" i="41" s="1"/>
  <c r="AL224" i="41" s="1"/>
  <c r="AL415" i="41" s="1"/>
  <c r="AL35" i="65" s="1"/>
  <c r="AL113" i="65" s="1"/>
  <c r="AN222" i="41" a="1"/>
  <c r="AN222" i="41" s="1"/>
  <c r="AN224" i="41" s="1"/>
  <c r="AN226" i="41" s="1"/>
  <c r="AN228" i="41" s="1"/>
  <c r="L134" i="65"/>
  <c r="L163" i="65" s="1"/>
  <c r="L68" i="105" s="1"/>
  <c r="L125" i="65"/>
  <c r="L154" i="65" s="1"/>
  <c r="L59" i="105" s="1"/>
  <c r="L99" i="105" s="1"/>
  <c r="L42" i="82"/>
  <c r="L143" i="65"/>
  <c r="L172" i="65" s="1"/>
  <c r="L77" i="105" s="1"/>
  <c r="S23" i="65"/>
  <c r="S78" i="41"/>
  <c r="S82" i="41" s="1"/>
  <c r="R120" i="105"/>
  <c r="R198" i="105"/>
  <c r="S199" i="105"/>
  <c r="S121" i="105"/>
  <c r="R42" i="82"/>
  <c r="R125" i="65"/>
  <c r="R154" i="65" s="1"/>
  <c r="R59" i="105" s="1"/>
  <c r="R99" i="105" s="1"/>
  <c r="R143" i="65"/>
  <c r="R172" i="65" s="1"/>
  <c r="R77" i="105" s="1"/>
  <c r="R134" i="65"/>
  <c r="R163" i="65" s="1"/>
  <c r="R68" i="105" s="1"/>
  <c r="AF23" i="65"/>
  <c r="AF78" i="41"/>
  <c r="AF82" i="41" s="1"/>
  <c r="AE198" i="105"/>
  <c r="AE120" i="105"/>
  <c r="U199" i="105"/>
  <c r="U121" i="105"/>
  <c r="AF121" i="105"/>
  <c r="AF199" i="105"/>
  <c r="Z23" i="65"/>
  <c r="Z78" i="41"/>
  <c r="Z82" i="41" s="1"/>
  <c r="AB199" i="105"/>
  <c r="AB121" i="105"/>
  <c r="P199" i="105"/>
  <c r="P121" i="105"/>
  <c r="AE197" i="105"/>
  <c r="AE119" i="105"/>
  <c r="AA222" i="41" a="1"/>
  <c r="AA222" i="41" s="1"/>
  <c r="S222" i="41" a="1"/>
  <c r="S222" i="41" s="1"/>
  <c r="U222" i="41" a="1"/>
  <c r="U222" i="41" s="1"/>
  <c r="L222" i="41" a="1"/>
  <c r="L222" i="41" s="1"/>
  <c r="L224" i="41" s="1"/>
  <c r="L226" i="41" s="1"/>
  <c r="L228" i="41" s="1"/>
  <c r="K222" i="41" a="1"/>
  <c r="K222" i="41" s="1"/>
  <c r="K224" i="41" s="1"/>
  <c r="K226" i="41" s="1"/>
  <c r="K228" i="41" s="1"/>
  <c r="AJ222" i="41" a="1"/>
  <c r="AJ222" i="41" s="1"/>
  <c r="AJ224" i="41" s="1"/>
  <c r="AJ226" i="41" s="1"/>
  <c r="AJ228" i="41" s="1"/>
  <c r="S187" i="105"/>
  <c r="S110" i="105"/>
  <c r="V23" i="65"/>
  <c r="V78" i="41"/>
  <c r="V82" i="41" s="1"/>
  <c r="S188" i="105"/>
  <c r="S111" i="105"/>
  <c r="AB78" i="41"/>
  <c r="AB82" i="41" s="1"/>
  <c r="AB23" i="65"/>
  <c r="R121" i="105"/>
  <c r="R199" i="105"/>
  <c r="Y23" i="65"/>
  <c r="Y78" i="41"/>
  <c r="Y82" i="41" s="1"/>
  <c r="T187" i="105"/>
  <c r="T110" i="105"/>
  <c r="AA42" i="82"/>
  <c r="AA143" i="65"/>
  <c r="AA172" i="65" s="1"/>
  <c r="AA77" i="105" s="1"/>
  <c r="AA125" i="65"/>
  <c r="AA154" i="65" s="1"/>
  <c r="AA59" i="105" s="1"/>
  <c r="AA99" i="105" s="1"/>
  <c r="U120" i="105"/>
  <c r="U198" i="105"/>
  <c r="L121" i="105"/>
  <c r="L199" i="105"/>
  <c r="W78" i="41"/>
  <c r="W82" i="41" s="1"/>
  <c r="W23" i="65"/>
  <c r="P222" i="41" a="1"/>
  <c r="P222" i="41" s="1"/>
  <c r="N222" i="41" a="1"/>
  <c r="N222" i="41" s="1"/>
  <c r="X222" i="41" a="1"/>
  <c r="X222" i="41" s="1"/>
  <c r="AG222" i="41" a="1"/>
  <c r="AG222" i="41" s="1"/>
  <c r="AG224" i="41" s="1"/>
  <c r="AG415" i="41" s="1"/>
  <c r="AG35" i="65" s="1"/>
  <c r="AG113" i="65" s="1"/>
  <c r="N82" i="41"/>
  <c r="R222" i="41" a="1"/>
  <c r="R222" i="41" s="1"/>
  <c r="R224" i="41" s="1"/>
  <c r="R415" i="41" s="1"/>
  <c r="R35" i="65" s="1"/>
  <c r="W222" i="41" a="1"/>
  <c r="W222" i="41" s="1"/>
  <c r="W224" i="41" s="1"/>
  <c r="W226" i="41" s="1"/>
  <c r="W228" i="41" s="1"/>
  <c r="AI222" i="41" a="1"/>
  <c r="AI222" i="41" s="1"/>
  <c r="AI224" i="41" s="1"/>
  <c r="AI415" i="41" s="1"/>
  <c r="AI35" i="65" s="1"/>
  <c r="AI113" i="65" s="1"/>
  <c r="T188" i="105"/>
  <c r="T111" i="105"/>
  <c r="L111" i="105"/>
  <c r="L188" i="105"/>
  <c r="T23" i="65"/>
  <c r="T78" i="41"/>
  <c r="T82" i="41" s="1"/>
  <c r="U42" i="82"/>
  <c r="U143" i="65"/>
  <c r="U172" i="65" s="1"/>
  <c r="U77" i="105" s="1"/>
  <c r="U125" i="65"/>
  <c r="U154" i="65" s="1"/>
  <c r="U59" i="105" s="1"/>
  <c r="U99" i="105" s="1"/>
  <c r="U134" i="65"/>
  <c r="U163" i="65" s="1"/>
  <c r="U68" i="105" s="1"/>
  <c r="X42" i="82"/>
  <c r="X143" i="65"/>
  <c r="X172" i="65" s="1"/>
  <c r="X77" i="105" s="1"/>
  <c r="X125" i="65"/>
  <c r="X154" i="65" s="1"/>
  <c r="X59" i="105" s="1"/>
  <c r="X99" i="105" s="1"/>
  <c r="O199" i="105"/>
  <c r="O121" i="105"/>
  <c r="V199" i="105"/>
  <c r="V121" i="105"/>
  <c r="AC78" i="41"/>
  <c r="AC82" i="41" s="1"/>
  <c r="AC23" i="65"/>
  <c r="AC198" i="105"/>
  <c r="AC120" i="105"/>
  <c r="U188" i="105"/>
  <c r="U111" i="105"/>
  <c r="AB119" i="105"/>
  <c r="AB197" i="105"/>
  <c r="O42" i="82"/>
  <c r="O143" i="65"/>
  <c r="O172" i="65" s="1"/>
  <c r="O77" i="105" s="1"/>
  <c r="O134" i="65"/>
  <c r="O163" i="65" s="1"/>
  <c r="O68" i="105" s="1"/>
  <c r="O125" i="65"/>
  <c r="O154" i="65" s="1"/>
  <c r="O59" i="105" s="1"/>
  <c r="O99" i="105" s="1"/>
  <c r="Y42" i="82"/>
  <c r="Y125" i="65"/>
  <c r="Y154" i="65" s="1"/>
  <c r="Y59" i="105" s="1"/>
  <c r="Y99" i="105" s="1"/>
  <c r="Y143" i="65"/>
  <c r="Y172" i="65" s="1"/>
  <c r="Y77" i="105" s="1"/>
  <c r="AA23" i="65"/>
  <c r="AA78" i="41"/>
  <c r="AA82" i="41" s="1"/>
  <c r="V187" i="105"/>
  <c r="V110" i="105"/>
  <c r="AC199" i="105"/>
  <c r="AC121" i="105"/>
  <c r="S42" i="82"/>
  <c r="S143" i="65"/>
  <c r="S172" i="65" s="1"/>
  <c r="S77" i="105" s="1"/>
  <c r="S125" i="65"/>
  <c r="S154" i="65" s="1"/>
  <c r="S59" i="105" s="1"/>
  <c r="S99" i="105" s="1"/>
  <c r="S134" i="65"/>
  <c r="S163" i="65" s="1"/>
  <c r="S68" i="105" s="1"/>
  <c r="N199" i="105"/>
  <c r="N121" i="105"/>
  <c r="AD119" i="105"/>
  <c r="AD197" i="105"/>
  <c r="M199" i="105"/>
  <c r="M121" i="105"/>
  <c r="AD222" i="41" a="1"/>
  <c r="AD222" i="41" s="1"/>
  <c r="AE222" i="41" a="1"/>
  <c r="AE222" i="41" s="1"/>
  <c r="AC222" i="41" a="1"/>
  <c r="AC222" i="41" s="1"/>
  <c r="AM222" i="41" a="1"/>
  <c r="AM222" i="41" s="1"/>
  <c r="AM224" i="41" s="1"/>
  <c r="AM226" i="41" s="1"/>
  <c r="AM228" i="41" s="1"/>
  <c r="AB222" i="41" a="1"/>
  <c r="AB222" i="41" s="1"/>
  <c r="AB224" i="41" s="1"/>
  <c r="AB226" i="41" s="1"/>
  <c r="AB228" i="41" s="1"/>
  <c r="S198" i="105"/>
  <c r="S120" i="105"/>
  <c r="R78" i="41"/>
  <c r="R82" i="41" s="1"/>
  <c r="R23" i="65"/>
  <c r="V188" i="105"/>
  <c r="V111" i="105"/>
  <c r="AD23" i="65"/>
  <c r="AD78" i="41"/>
  <c r="AD82" i="41" s="1"/>
  <c r="AB198" i="105"/>
  <c r="AB120" i="105"/>
  <c r="AE199" i="105"/>
  <c r="AE121" i="105"/>
  <c r="M111" i="105"/>
  <c r="M188" i="105"/>
  <c r="T198" i="105"/>
  <c r="T120" i="105"/>
  <c r="AC197" i="105"/>
  <c r="AC119" i="105"/>
  <c r="V198" i="105"/>
  <c r="V120" i="105"/>
  <c r="V42" i="82"/>
  <c r="V125" i="65"/>
  <c r="V154" i="65" s="1"/>
  <c r="V59" i="105" s="1"/>
  <c r="V99" i="105" s="1"/>
  <c r="V143" i="65"/>
  <c r="V172" i="65" s="1"/>
  <c r="V77" i="105" s="1"/>
  <c r="V134" i="65"/>
  <c r="V163" i="65" s="1"/>
  <c r="V68" i="105" s="1"/>
  <c r="U110" i="105"/>
  <c r="U187" i="105"/>
  <c r="L82" i="41"/>
  <c r="J121" i="105"/>
  <c r="J199" i="105"/>
  <c r="J188" i="105"/>
  <c r="J111" i="105"/>
  <c r="AK226" i="41" l="1"/>
  <c r="AK228" i="41" s="1"/>
  <c r="AK424" i="41" s="1"/>
  <c r="AN415" i="41"/>
  <c r="AN35" i="65" s="1"/>
  <c r="AN113" i="65" s="1"/>
  <c r="AL41" i="82" s="1"/>
  <c r="AI226" i="41"/>
  <c r="AI228" i="41" s="1"/>
  <c r="AI237" i="41" s="1"/>
  <c r="AL226" i="41"/>
  <c r="AL228" i="41" s="1"/>
  <c r="AL424" i="41" s="1"/>
  <c r="AO226" i="41"/>
  <c r="AO228" i="41" s="1"/>
  <c r="AO237" i="41" s="1"/>
  <c r="AJ415" i="41"/>
  <c r="AJ35" i="65" s="1"/>
  <c r="AJ113" i="65" s="1"/>
  <c r="AJ133" i="65" s="1"/>
  <c r="AJ162" i="65" s="1"/>
  <c r="AJ67" i="105" s="1"/>
  <c r="AJ108" i="105" s="1"/>
  <c r="AH415" i="41"/>
  <c r="AH35" i="65" s="1"/>
  <c r="AH113" i="65" s="1"/>
  <c r="AH41" i="82" s="1"/>
  <c r="AB415" i="41"/>
  <c r="AB35" i="65" s="1"/>
  <c r="AB113" i="65" s="1"/>
  <c r="AB124" i="65" s="1"/>
  <c r="AB153" i="65" s="1"/>
  <c r="AB58" i="105" s="1"/>
  <c r="AB98" i="105" s="1"/>
  <c r="K415" i="41"/>
  <c r="K35" i="65" s="1"/>
  <c r="K113" i="65" s="1"/>
  <c r="K142" i="65" s="1"/>
  <c r="K171" i="65" s="1"/>
  <c r="K76" i="105" s="1"/>
  <c r="K118" i="105" s="1"/>
  <c r="W415" i="41"/>
  <c r="W35" i="65" s="1"/>
  <c r="W113" i="65" s="1"/>
  <c r="W124" i="65" s="1"/>
  <c r="W153" i="65" s="1"/>
  <c r="W58" i="105" s="1"/>
  <c r="W98" i="105" s="1"/>
  <c r="R226" i="41"/>
  <c r="R228" i="41" s="1"/>
  <c r="AG226" i="41"/>
  <c r="AG228" i="41" s="1"/>
  <c r="AG237" i="41" s="1"/>
  <c r="AM415" i="41"/>
  <c r="AM35" i="65" s="1"/>
  <c r="AM113" i="65" s="1"/>
  <c r="AM124" i="65" s="1"/>
  <c r="AM153" i="65" s="1"/>
  <c r="AM58" i="105" s="1"/>
  <c r="AM98" i="105" s="1"/>
  <c r="H99" i="105"/>
  <c r="H110" i="105"/>
  <c r="R113" i="65"/>
  <c r="R142" i="65" s="1"/>
  <c r="R171" i="65" s="1"/>
  <c r="R76" i="105" s="1"/>
  <c r="H120" i="105"/>
  <c r="H78" i="41"/>
  <c r="L415" i="41"/>
  <c r="L35" i="65" s="1"/>
  <c r="L113" i="65" s="1"/>
  <c r="L142" i="65" s="1"/>
  <c r="L171" i="65" s="1"/>
  <c r="L76" i="105" s="1"/>
  <c r="H82" i="41"/>
  <c r="H84" i="41" s="1"/>
  <c r="O197" i="105"/>
  <c r="O119" i="105"/>
  <c r="T197" i="105"/>
  <c r="T119" i="105"/>
  <c r="M197" i="105"/>
  <c r="M119" i="105"/>
  <c r="Y197" i="105"/>
  <c r="Y119" i="105"/>
  <c r="U119" i="105"/>
  <c r="U197" i="105"/>
  <c r="P197" i="105"/>
  <c r="P119" i="105"/>
  <c r="R109" i="105"/>
  <c r="R186" i="105"/>
  <c r="Z197" i="105"/>
  <c r="Z119" i="105"/>
  <c r="M109" i="105"/>
  <c r="M186" i="105"/>
  <c r="Q415" i="41"/>
  <c r="Q35" i="65" s="1"/>
  <c r="Q113" i="65" s="1"/>
  <c r="Q142" i="65" s="1"/>
  <c r="Q171" i="65" s="1"/>
  <c r="Q76" i="105" s="1"/>
  <c r="Q118" i="105" s="1"/>
  <c r="V119" i="105"/>
  <c r="V197" i="105"/>
  <c r="S109" i="105"/>
  <c r="S186" i="105"/>
  <c r="X197" i="105"/>
  <c r="X119" i="105"/>
  <c r="R197" i="105"/>
  <c r="R119" i="105"/>
  <c r="L109" i="105"/>
  <c r="L186" i="105"/>
  <c r="N186" i="105"/>
  <c r="N109" i="105"/>
  <c r="W197" i="105"/>
  <c r="W119" i="105"/>
  <c r="V186" i="105"/>
  <c r="V109" i="105"/>
  <c r="T186" i="105"/>
  <c r="T109" i="105"/>
  <c r="N197" i="105"/>
  <c r="N119" i="105"/>
  <c r="P186" i="105"/>
  <c r="P109" i="105"/>
  <c r="AA197" i="105"/>
  <c r="AA119" i="105"/>
  <c r="L119" i="105"/>
  <c r="L197" i="105"/>
  <c r="H121" i="105"/>
  <c r="H111" i="105"/>
  <c r="S197" i="105"/>
  <c r="S119" i="105"/>
  <c r="O109" i="105"/>
  <c r="O186" i="105"/>
  <c r="U186" i="105"/>
  <c r="U109" i="105"/>
  <c r="AM237" i="41"/>
  <c r="AM424" i="41"/>
  <c r="AI41" i="82"/>
  <c r="AI124" i="65"/>
  <c r="AI153" i="65" s="1"/>
  <c r="AI58" i="105" s="1"/>
  <c r="AI98" i="105" s="1"/>
  <c r="AI142" i="65"/>
  <c r="AI171" i="65" s="1"/>
  <c r="AI76" i="105" s="1"/>
  <c r="AI118" i="105" s="1"/>
  <c r="AN237" i="41"/>
  <c r="AN424" i="41"/>
  <c r="AH424" i="41"/>
  <c r="AH237" i="41"/>
  <c r="AJ237" i="41"/>
  <c r="AJ424" i="41"/>
  <c r="AL124" i="65"/>
  <c r="AL153" i="65" s="1"/>
  <c r="AL58" i="105" s="1"/>
  <c r="AL98" i="105" s="1"/>
  <c r="AK41" i="82"/>
  <c r="AL142" i="65"/>
  <c r="AL171" i="65" s="1"/>
  <c r="AL76" i="105" s="1"/>
  <c r="AL118" i="105" s="1"/>
  <c r="AB237" i="41"/>
  <c r="AB424" i="41"/>
  <c r="L237" i="41"/>
  <c r="L424" i="41"/>
  <c r="Q237" i="41"/>
  <c r="Q424" i="41"/>
  <c r="W424" i="41"/>
  <c r="W237" i="41"/>
  <c r="K237" i="41"/>
  <c r="K424" i="41"/>
  <c r="AN124" i="65"/>
  <c r="AN153" i="65" s="1"/>
  <c r="AN58" i="105" s="1"/>
  <c r="AN98" i="105" s="1"/>
  <c r="AG142" i="65"/>
  <c r="AG171" i="65" s="1"/>
  <c r="AG76" i="105" s="1"/>
  <c r="AG133" i="65"/>
  <c r="AG162" i="65" s="1"/>
  <c r="AG67" i="105" s="1"/>
  <c r="AG124" i="65"/>
  <c r="AG153" i="65" s="1"/>
  <c r="AG58" i="105" s="1"/>
  <c r="AG98" i="105" s="1"/>
  <c r="AG41" i="82"/>
  <c r="AL193" i="105"/>
  <c r="AL194" i="105"/>
  <c r="AJ183" i="105"/>
  <c r="AJ195" i="105"/>
  <c r="AJ194" i="105"/>
  <c r="AH183" i="105"/>
  <c r="AI194" i="105"/>
  <c r="AH194" i="105"/>
  <c r="AI193" i="105"/>
  <c r="Q194" i="105"/>
  <c r="AH195" i="105"/>
  <c r="AH182" i="105"/>
  <c r="AL195" i="105"/>
  <c r="Q183" i="105"/>
  <c r="AH184" i="105"/>
  <c r="AH193" i="105"/>
  <c r="Q182" i="105"/>
  <c r="Q193" i="105"/>
  <c r="AJ182" i="105"/>
  <c r="AJ193" i="105"/>
  <c r="Q184" i="105"/>
  <c r="AJ184" i="105"/>
  <c r="AI195" i="105"/>
  <c r="Q195" i="105"/>
  <c r="AK237" i="41" l="1"/>
  <c r="AK405" i="41" s="1"/>
  <c r="AK414" i="41" s="1"/>
  <c r="AK34" i="65" s="1"/>
  <c r="AK112" i="65" s="1"/>
  <c r="AK123" i="65" s="1"/>
  <c r="AK152" i="65" s="1"/>
  <c r="AK57" i="105" s="1"/>
  <c r="AK97" i="105" s="1"/>
  <c r="AN142" i="65"/>
  <c r="AN171" i="65" s="1"/>
  <c r="AN76" i="105" s="1"/>
  <c r="AN118" i="105" s="1"/>
  <c r="AJ142" i="65"/>
  <c r="AJ171" i="65" s="1"/>
  <c r="AJ76" i="105" s="1"/>
  <c r="AJ118" i="105" s="1"/>
  <c r="AH124" i="65"/>
  <c r="AH153" i="65" s="1"/>
  <c r="AH58" i="105" s="1"/>
  <c r="AH98" i="105" s="1"/>
  <c r="AH142" i="65"/>
  <c r="AH171" i="65" s="1"/>
  <c r="AH76" i="105" s="1"/>
  <c r="AH118" i="105" s="1"/>
  <c r="AI424" i="41"/>
  <c r="AJ124" i="65"/>
  <c r="AJ153" i="65" s="1"/>
  <c r="AJ58" i="105" s="1"/>
  <c r="AJ98" i="105" s="1"/>
  <c r="AJ41" i="82"/>
  <c r="AB293" i="41"/>
  <c r="AB295" i="41" s="1"/>
  <c r="H85" i="105"/>
  <c r="H128" i="105" s="1"/>
  <c r="AO424" i="41"/>
  <c r="AL237" i="41"/>
  <c r="AL403" i="41" s="1"/>
  <c r="AL412" i="41" s="1"/>
  <c r="AL32" i="65" s="1"/>
  <c r="AL110" i="65" s="1"/>
  <c r="Q293" i="41"/>
  <c r="Q295" i="41" s="1"/>
  <c r="AG118" i="105"/>
  <c r="AG196" i="105"/>
  <c r="AG108" i="105"/>
  <c r="AG185" i="105"/>
  <c r="AH133" i="65"/>
  <c r="AH162" i="65" s="1"/>
  <c r="AH67" i="105" s="1"/>
  <c r="AH108" i="105" s="1"/>
  <c r="K133" i="65"/>
  <c r="K162" i="65" s="1"/>
  <c r="K67" i="105" s="1"/>
  <c r="K108" i="105" s="1"/>
  <c r="AB142" i="65"/>
  <c r="AB171" i="65" s="1"/>
  <c r="AB76" i="105" s="1"/>
  <c r="AB118" i="105" s="1"/>
  <c r="AB41" i="82"/>
  <c r="Q41" i="82"/>
  <c r="R237" i="41"/>
  <c r="R272" i="41" s="1"/>
  <c r="AN293" i="41"/>
  <c r="AN295" i="41" s="1"/>
  <c r="L293" i="41"/>
  <c r="L295" i="41" s="1"/>
  <c r="AL293" i="41"/>
  <c r="AL295" i="41" s="1"/>
  <c r="R41" i="82"/>
  <c r="W293" i="41"/>
  <c r="W295" i="41" s="1"/>
  <c r="AM293" i="41"/>
  <c r="AM295" i="41" s="1"/>
  <c r="AI293" i="41"/>
  <c r="AI295" i="41" s="1"/>
  <c r="R424" i="41"/>
  <c r="AJ293" i="41"/>
  <c r="AJ295" i="41" s="1"/>
  <c r="K293" i="41"/>
  <c r="K295" i="41" s="1"/>
  <c r="R293" i="41"/>
  <c r="R295" i="41" s="1"/>
  <c r="AO293" i="41"/>
  <c r="AO295" i="41" s="1"/>
  <c r="AH293" i="41"/>
  <c r="AH295" i="41" s="1"/>
  <c r="AK293" i="41"/>
  <c r="AK295" i="41" s="1"/>
  <c r="W41" i="82"/>
  <c r="R124" i="65"/>
  <c r="R153" i="65" s="1"/>
  <c r="R58" i="105" s="1"/>
  <c r="R98" i="105" s="1"/>
  <c r="W142" i="65"/>
  <c r="W171" i="65" s="1"/>
  <c r="W76" i="105" s="1"/>
  <c r="W196" i="105" s="1"/>
  <c r="R133" i="65"/>
  <c r="R162" i="65" s="1"/>
  <c r="R67" i="105" s="1"/>
  <c r="R185" i="105" s="1"/>
  <c r="K124" i="65"/>
  <c r="K153" i="65" s="1"/>
  <c r="K58" i="105" s="1"/>
  <c r="K98" i="105" s="1"/>
  <c r="K41" i="82"/>
  <c r="Q124" i="65"/>
  <c r="Q153" i="65" s="1"/>
  <c r="Q58" i="105" s="1"/>
  <c r="Q98" i="105" s="1"/>
  <c r="Q133" i="65"/>
  <c r="Q162" i="65" s="1"/>
  <c r="Q67" i="105" s="1"/>
  <c r="Q108" i="105" s="1"/>
  <c r="AG424" i="41"/>
  <c r="AG293" i="41"/>
  <c r="AG295" i="41" s="1"/>
  <c r="L124" i="65"/>
  <c r="L153" i="65" s="1"/>
  <c r="L58" i="105" s="1"/>
  <c r="L98" i="105" s="1"/>
  <c r="L196" i="105"/>
  <c r="L118" i="105"/>
  <c r="L41" i="82"/>
  <c r="H119" i="105"/>
  <c r="L133" i="65"/>
  <c r="L162" i="65" s="1"/>
  <c r="L67" i="105" s="1"/>
  <c r="H109" i="105"/>
  <c r="K251" i="41"/>
  <c r="K267" i="41"/>
  <c r="K274" i="41"/>
  <c r="K405" i="41"/>
  <c r="K404" i="41"/>
  <c r="K403" i="41"/>
  <c r="K272" i="41"/>
  <c r="K250" i="41"/>
  <c r="K268" i="41"/>
  <c r="K273" i="41"/>
  <c r="K269" i="41"/>
  <c r="K249" i="41"/>
  <c r="W272" i="41"/>
  <c r="W267" i="41"/>
  <c r="W249" i="41"/>
  <c r="W268" i="41"/>
  <c r="W404" i="41"/>
  <c r="W413" i="41" s="1"/>
  <c r="W33" i="65" s="1"/>
  <c r="W111" i="65" s="1"/>
  <c r="W274" i="41"/>
  <c r="W405" i="41"/>
  <c r="W414" i="41" s="1"/>
  <c r="W34" i="65" s="1"/>
  <c r="W112" i="65" s="1"/>
  <c r="W273" i="41"/>
  <c r="W403" i="41"/>
  <c r="W412" i="41" s="1"/>
  <c r="W32" i="65" s="1"/>
  <c r="W110" i="65" s="1"/>
  <c r="W269" i="41"/>
  <c r="W250" i="41"/>
  <c r="W251" i="41"/>
  <c r="AG190" i="41"/>
  <c r="AG205" i="41" s="1"/>
  <c r="AG207" i="41" s="1"/>
  <c r="AN190" i="41"/>
  <c r="W190" i="41"/>
  <c r="AM190" i="41"/>
  <c r="S190" i="41"/>
  <c r="S196" i="41" s="1"/>
  <c r="S198" i="41" s="1"/>
  <c r="AF190" i="41"/>
  <c r="AF196" i="41" s="1"/>
  <c r="AF198" i="41" s="1"/>
  <c r="O190" i="41"/>
  <c r="O196" i="41" s="1"/>
  <c r="O198" i="41" s="1"/>
  <c r="AK190" i="41"/>
  <c r="R190" i="41"/>
  <c r="V190" i="41"/>
  <c r="V196" i="41" s="1"/>
  <c r="V198" i="41" s="1"/>
  <c r="AB190" i="41"/>
  <c r="L190" i="41"/>
  <c r="U190" i="41"/>
  <c r="U196" i="41" s="1"/>
  <c r="U198" i="41" s="1"/>
  <c r="AO190" i="41"/>
  <c r="AD190" i="41"/>
  <c r="AD196" i="41" s="1"/>
  <c r="AD198" i="41" s="1"/>
  <c r="Y190" i="41"/>
  <c r="Y196" i="41" s="1"/>
  <c r="Y198" i="41" s="1"/>
  <c r="AE190" i="41"/>
  <c r="AE196" i="41" s="1"/>
  <c r="AE198" i="41" s="1"/>
  <c r="AH190" i="41"/>
  <c r="T190" i="41"/>
  <c r="T196" i="41" s="1"/>
  <c r="T198" i="41" s="1"/>
  <c r="N190" i="41"/>
  <c r="N196" i="41" s="1"/>
  <c r="N198" i="41" s="1"/>
  <c r="P190" i="41"/>
  <c r="P196" i="41" s="1"/>
  <c r="P198" i="41" s="1"/>
  <c r="K190" i="41"/>
  <c r="K207" i="41" s="1"/>
  <c r="AJ190" i="41"/>
  <c r="J190" i="41"/>
  <c r="J196" i="41" s="1"/>
  <c r="J198" i="41" s="1"/>
  <c r="AA190" i="41"/>
  <c r="AA196" i="41" s="1"/>
  <c r="AA198" i="41" s="1"/>
  <c r="AC190" i="41"/>
  <c r="AC196" i="41" s="1"/>
  <c r="AC198" i="41" s="1"/>
  <c r="X190" i="41"/>
  <c r="X196" i="41" s="1"/>
  <c r="X198" i="41" s="1"/>
  <c r="H88" i="105"/>
  <c r="H131" i="105" s="1"/>
  <c r="Q190" i="41"/>
  <c r="Z190" i="41"/>
  <c r="Z196" i="41" s="1"/>
  <c r="Z198" i="41" s="1"/>
  <c r="M190" i="41"/>
  <c r="M196" i="41" s="1"/>
  <c r="M198" i="41" s="1"/>
  <c r="AI190" i="41"/>
  <c r="AL190" i="41"/>
  <c r="AH273" i="41"/>
  <c r="AH268" i="41"/>
  <c r="AH272" i="41"/>
  <c r="AH251" i="41"/>
  <c r="AH249" i="41"/>
  <c r="AH274" i="41"/>
  <c r="AH405" i="41"/>
  <c r="AH414" i="41" s="1"/>
  <c r="AH34" i="65" s="1"/>
  <c r="AH112" i="65" s="1"/>
  <c r="AH267" i="41"/>
  <c r="AH404" i="41"/>
  <c r="AH413" i="41" s="1"/>
  <c r="AH33" i="65" s="1"/>
  <c r="AH111" i="65" s="1"/>
  <c r="AH250" i="41"/>
  <c r="AH269" i="41"/>
  <c r="AH403" i="41"/>
  <c r="AH412" i="41" s="1"/>
  <c r="AH32" i="65" s="1"/>
  <c r="AH110" i="65" s="1"/>
  <c r="AJ269" i="41"/>
  <c r="AJ404" i="41"/>
  <c r="AJ413" i="41" s="1"/>
  <c r="AJ33" i="65" s="1"/>
  <c r="AJ111" i="65" s="1"/>
  <c r="AJ405" i="41"/>
  <c r="AJ414" i="41" s="1"/>
  <c r="AJ34" i="65" s="1"/>
  <c r="AJ112" i="65" s="1"/>
  <c r="AJ250" i="41"/>
  <c r="AJ268" i="41"/>
  <c r="AJ251" i="41"/>
  <c r="AJ272" i="41"/>
  <c r="AJ273" i="41"/>
  <c r="AJ267" i="41"/>
  <c r="AJ274" i="41"/>
  <c r="AJ403" i="41"/>
  <c r="AJ412" i="41" s="1"/>
  <c r="AJ32" i="65" s="1"/>
  <c r="AJ110" i="65" s="1"/>
  <c r="AJ249" i="41"/>
  <c r="Q269" i="41"/>
  <c r="Q267" i="41"/>
  <c r="Q405" i="41"/>
  <c r="Q414" i="41" s="1"/>
  <c r="Q34" i="65" s="1"/>
  <c r="Q112" i="65" s="1"/>
  <c r="Q274" i="41"/>
  <c r="Q250" i="41"/>
  <c r="Q404" i="41"/>
  <c r="Q413" i="41" s="1"/>
  <c r="Q33" i="65" s="1"/>
  <c r="Q111" i="65" s="1"/>
  <c r="Q251" i="41"/>
  <c r="Q272" i="41"/>
  <c r="Q273" i="41"/>
  <c r="Q268" i="41"/>
  <c r="Q249" i="41"/>
  <c r="Q403" i="41"/>
  <c r="Q412" i="41" s="1"/>
  <c r="Q32" i="65" s="1"/>
  <c r="Q110" i="65" s="1"/>
  <c r="AO250" i="41"/>
  <c r="AO404" i="41"/>
  <c r="AO413" i="41" s="1"/>
  <c r="AO33" i="65" s="1"/>
  <c r="AO111" i="65" s="1"/>
  <c r="AO122" i="65" s="1"/>
  <c r="AO151" i="65" s="1"/>
  <c r="AO56" i="105" s="1"/>
  <c r="AO96" i="105" s="1"/>
  <c r="AO267" i="41"/>
  <c r="AO405" i="41"/>
  <c r="AO414" i="41" s="1"/>
  <c r="AO34" i="65" s="1"/>
  <c r="AO112" i="65" s="1"/>
  <c r="AO123" i="65" s="1"/>
  <c r="AO152" i="65" s="1"/>
  <c r="AO57" i="105" s="1"/>
  <c r="AO97" i="105" s="1"/>
  <c r="AO272" i="41"/>
  <c r="AO249" i="41"/>
  <c r="AO268" i="41"/>
  <c r="AO251" i="41"/>
  <c r="AO403" i="41"/>
  <c r="AO412" i="41" s="1"/>
  <c r="AO32" i="65" s="1"/>
  <c r="AO110" i="65" s="1"/>
  <c r="AO121" i="65" s="1"/>
  <c r="AO150" i="65" s="1"/>
  <c r="AO55" i="105" s="1"/>
  <c r="AO95" i="105" s="1"/>
  <c r="AO274" i="41"/>
  <c r="AO273" i="41"/>
  <c r="AO269" i="41"/>
  <c r="AM250" i="41"/>
  <c r="AM268" i="41"/>
  <c r="AM405" i="41"/>
  <c r="AM414" i="41" s="1"/>
  <c r="AM34" i="65" s="1"/>
  <c r="AM112" i="65" s="1"/>
  <c r="AM123" i="65" s="1"/>
  <c r="AM152" i="65" s="1"/>
  <c r="AM57" i="105" s="1"/>
  <c r="AM97" i="105" s="1"/>
  <c r="AM269" i="41"/>
  <c r="AM272" i="41"/>
  <c r="AM274" i="41"/>
  <c r="AM273" i="41"/>
  <c r="AM403" i="41"/>
  <c r="AM412" i="41" s="1"/>
  <c r="AM32" i="65" s="1"/>
  <c r="AM110" i="65" s="1"/>
  <c r="AM121" i="65" s="1"/>
  <c r="AM150" i="65" s="1"/>
  <c r="AM55" i="105" s="1"/>
  <c r="AM95" i="105" s="1"/>
  <c r="AM249" i="41"/>
  <c r="AM251" i="41"/>
  <c r="AM404" i="41"/>
  <c r="AM413" i="41" s="1"/>
  <c r="AM33" i="65" s="1"/>
  <c r="AM111" i="65" s="1"/>
  <c r="AM122" i="65" s="1"/>
  <c r="AM151" i="65" s="1"/>
  <c r="AM56" i="105" s="1"/>
  <c r="AM96" i="105" s="1"/>
  <c r="AM267" i="41"/>
  <c r="AK404" i="41"/>
  <c r="AK413" i="41" s="1"/>
  <c r="AK33" i="65" s="1"/>
  <c r="AK111" i="65" s="1"/>
  <c r="AK122" i="65" s="1"/>
  <c r="AK151" i="65" s="1"/>
  <c r="AK56" i="105" s="1"/>
  <c r="AK96" i="105" s="1"/>
  <c r="AK268" i="41"/>
  <c r="AK274" i="41"/>
  <c r="AK403" i="41"/>
  <c r="AK412" i="41" s="1"/>
  <c r="AK32" i="65" s="1"/>
  <c r="AK110" i="65" s="1"/>
  <c r="AK121" i="65" s="1"/>
  <c r="AK150" i="65" s="1"/>
  <c r="AK55" i="105" s="1"/>
  <c r="AK95" i="105" s="1"/>
  <c r="AK251" i="41"/>
  <c r="AK250" i="41"/>
  <c r="AN273" i="41"/>
  <c r="AN274" i="41"/>
  <c r="AN403" i="41"/>
  <c r="AN412" i="41" s="1"/>
  <c r="AN32" i="65" s="1"/>
  <c r="AN110" i="65" s="1"/>
  <c r="AN268" i="41"/>
  <c r="AN267" i="41"/>
  <c r="AN251" i="41"/>
  <c r="AN404" i="41"/>
  <c r="AN413" i="41" s="1"/>
  <c r="AN33" i="65" s="1"/>
  <c r="AN111" i="65" s="1"/>
  <c r="AN269" i="41"/>
  <c r="AN272" i="41"/>
  <c r="AN405" i="41"/>
  <c r="AN414" i="41" s="1"/>
  <c r="AN34" i="65" s="1"/>
  <c r="AN112" i="65" s="1"/>
  <c r="AN249" i="41"/>
  <c r="AN250" i="41"/>
  <c r="R118" i="105"/>
  <c r="R196" i="105"/>
  <c r="L273" i="41"/>
  <c r="L267" i="41"/>
  <c r="L269" i="41"/>
  <c r="L404" i="41"/>
  <c r="L413" i="41" s="1"/>
  <c r="L33" i="65" s="1"/>
  <c r="L111" i="65" s="1"/>
  <c r="L405" i="41"/>
  <c r="L414" i="41" s="1"/>
  <c r="L34" i="65" s="1"/>
  <c r="L112" i="65" s="1"/>
  <c r="L249" i="41"/>
  <c r="L250" i="41"/>
  <c r="L251" i="41"/>
  <c r="L274" i="41"/>
  <c r="L268" i="41"/>
  <c r="L403" i="41"/>
  <c r="L412" i="41" s="1"/>
  <c r="L32" i="65" s="1"/>
  <c r="L110" i="65" s="1"/>
  <c r="L272" i="41"/>
  <c r="AB269" i="41"/>
  <c r="AB267" i="41"/>
  <c r="AB403" i="41"/>
  <c r="AB412" i="41" s="1"/>
  <c r="AB32" i="65" s="1"/>
  <c r="AB110" i="65" s="1"/>
  <c r="AB251" i="41"/>
  <c r="AB272" i="41"/>
  <c r="AB273" i="41"/>
  <c r="AB249" i="41"/>
  <c r="AB405" i="41"/>
  <c r="AB414" i="41" s="1"/>
  <c r="AB34" i="65" s="1"/>
  <c r="AB112" i="65" s="1"/>
  <c r="AB404" i="41"/>
  <c r="AB413" i="41" s="1"/>
  <c r="AB33" i="65" s="1"/>
  <c r="AB111" i="65" s="1"/>
  <c r="AB268" i="41"/>
  <c r="AB250" i="41"/>
  <c r="AB274" i="41"/>
  <c r="AI272" i="41"/>
  <c r="AI250" i="41"/>
  <c r="AI404" i="41"/>
  <c r="AI413" i="41" s="1"/>
  <c r="AI33" i="65" s="1"/>
  <c r="AI111" i="65" s="1"/>
  <c r="AI273" i="41"/>
  <c r="AI405" i="41"/>
  <c r="AI414" i="41" s="1"/>
  <c r="AI34" i="65" s="1"/>
  <c r="AI112" i="65" s="1"/>
  <c r="AI267" i="41"/>
  <c r="AI274" i="41"/>
  <c r="AI251" i="41"/>
  <c r="AI268" i="41"/>
  <c r="AI403" i="41"/>
  <c r="AI412" i="41" s="1"/>
  <c r="AI32" i="65" s="1"/>
  <c r="AI110" i="65" s="1"/>
  <c r="AI269" i="41"/>
  <c r="AI249" i="41"/>
  <c r="AG273" i="41"/>
  <c r="AG278" i="41" s="1"/>
  <c r="AG283" i="41" s="1"/>
  <c r="AG403" i="41"/>
  <c r="AG405" i="41"/>
  <c r="AG404" i="41"/>
  <c r="AG249" i="41"/>
  <c r="AG267" i="41"/>
  <c r="AG272" i="41"/>
  <c r="AG277" i="41" s="1"/>
  <c r="AG282" i="41" s="1"/>
  <c r="AG250" i="41"/>
  <c r="AG269" i="41"/>
  <c r="AG268" i="41"/>
  <c r="AG251" i="41"/>
  <c r="AG274" i="41"/>
  <c r="AG279" i="41" s="1"/>
  <c r="AG284" i="41" s="1"/>
  <c r="AG362" i="41" s="1"/>
  <c r="AG364" i="41" s="1"/>
  <c r="AG366" i="41" s="1"/>
  <c r="AG368" i="41" s="1"/>
  <c r="AG393" i="41" s="1"/>
  <c r="AG172" i="105"/>
  <c r="AG70" i="82" s="1"/>
  <c r="L172" i="105"/>
  <c r="L70" i="82" s="1"/>
  <c r="W172" i="105"/>
  <c r="W70" i="82" s="1"/>
  <c r="Q200" i="105"/>
  <c r="AJ200" i="105"/>
  <c r="K183" i="105"/>
  <c r="AJ189" i="105"/>
  <c r="AI200" i="105"/>
  <c r="Q189" i="105"/>
  <c r="AH189" i="105"/>
  <c r="AL200" i="105"/>
  <c r="K184" i="105"/>
  <c r="K195" i="105"/>
  <c r="K193" i="105"/>
  <c r="K182" i="105"/>
  <c r="AH200" i="105"/>
  <c r="AK249" i="41" l="1"/>
  <c r="AK267" i="41"/>
  <c r="AK269" i="41"/>
  <c r="AK273" i="41"/>
  <c r="AK272" i="41"/>
  <c r="AN196" i="105"/>
  <c r="AL274" i="41"/>
  <c r="AL250" i="41"/>
  <c r="AL405" i="41"/>
  <c r="AL414" i="41" s="1"/>
  <c r="AL34" i="65" s="1"/>
  <c r="AL112" i="65" s="1"/>
  <c r="AK40" i="82" s="1"/>
  <c r="AL272" i="41"/>
  <c r="AL404" i="41"/>
  <c r="AL413" i="41" s="1"/>
  <c r="AL33" i="65" s="1"/>
  <c r="AL111" i="65" s="1"/>
  <c r="AK39" i="82" s="1"/>
  <c r="AL267" i="41"/>
  <c r="AL268" i="41"/>
  <c r="AL269" i="41"/>
  <c r="AL251" i="41"/>
  <c r="AL273" i="41"/>
  <c r="AL249" i="41"/>
  <c r="AB196" i="105"/>
  <c r="R404" i="41"/>
  <c r="R413" i="41" s="1"/>
  <c r="R33" i="65" s="1"/>
  <c r="R111" i="65" s="1"/>
  <c r="R140" i="65" s="1"/>
  <c r="R169" i="65" s="1"/>
  <c r="R74" i="105" s="1"/>
  <c r="AG412" i="41"/>
  <c r="AG32" i="65" s="1"/>
  <c r="AG110" i="65" s="1"/>
  <c r="AG139" i="65" s="1"/>
  <c r="AG168" i="65" s="1"/>
  <c r="AG73" i="105" s="1"/>
  <c r="R269" i="41"/>
  <c r="R251" i="41"/>
  <c r="R249" i="41"/>
  <c r="R250" i="41"/>
  <c r="R273" i="41"/>
  <c r="R267" i="41"/>
  <c r="R268" i="41"/>
  <c r="R108" i="105"/>
  <c r="R274" i="41"/>
  <c r="R403" i="41"/>
  <c r="R412" i="41" s="1"/>
  <c r="R32" i="65" s="1"/>
  <c r="R110" i="65" s="1"/>
  <c r="R139" i="65" s="1"/>
  <c r="R168" i="65" s="1"/>
  <c r="R73" i="105" s="1"/>
  <c r="R405" i="41"/>
  <c r="R414" i="41" s="1"/>
  <c r="R34" i="65" s="1"/>
  <c r="R112" i="65" s="1"/>
  <c r="R141" i="65" s="1"/>
  <c r="R170" i="65" s="1"/>
  <c r="R75" i="105" s="1"/>
  <c r="W118" i="105"/>
  <c r="AG414" i="41"/>
  <c r="AG34" i="65" s="1"/>
  <c r="AG112" i="65" s="1"/>
  <c r="AG132" i="65" s="1"/>
  <c r="AG161" i="65" s="1"/>
  <c r="AG66" i="105" s="1"/>
  <c r="L185" i="105"/>
  <c r="L108" i="105"/>
  <c r="AG298" i="41"/>
  <c r="AG300" i="41" s="1"/>
  <c r="AG302" i="41" s="1"/>
  <c r="AG330" i="41"/>
  <c r="AG332" i="41" s="1"/>
  <c r="AG334" i="41" s="1"/>
  <c r="AG336" i="41" s="1"/>
  <c r="AG392" i="41" s="1"/>
  <c r="AG413" i="41"/>
  <c r="AG33" i="65" s="1"/>
  <c r="AG111" i="65" s="1"/>
  <c r="AG39" i="82" s="1"/>
  <c r="L130" i="65"/>
  <c r="L159" i="65" s="1"/>
  <c r="L64" i="105" s="1"/>
  <c r="L38" i="82"/>
  <c r="L139" i="65"/>
  <c r="L168" i="65" s="1"/>
  <c r="L73" i="105" s="1"/>
  <c r="L121" i="65"/>
  <c r="L150" i="65" s="1"/>
  <c r="L55" i="105" s="1"/>
  <c r="L95" i="105" s="1"/>
  <c r="K412" i="41"/>
  <c r="K32" i="65" s="1"/>
  <c r="K110" i="65" s="1"/>
  <c r="AI38" i="82"/>
  <c r="AI121" i="65"/>
  <c r="AI150" i="65" s="1"/>
  <c r="AI55" i="105" s="1"/>
  <c r="AI95" i="105" s="1"/>
  <c r="AI139" i="65"/>
  <c r="AI168" i="65" s="1"/>
  <c r="AI73" i="105" s="1"/>
  <c r="AI115" i="105" s="1"/>
  <c r="L39" i="82"/>
  <c r="L122" i="65"/>
  <c r="L151" i="65" s="1"/>
  <c r="L56" i="105" s="1"/>
  <c r="L96" i="105" s="1"/>
  <c r="L140" i="65"/>
  <c r="L169" i="65" s="1"/>
  <c r="L74" i="105" s="1"/>
  <c r="L131" i="65"/>
  <c r="L160" i="65" s="1"/>
  <c r="L65" i="105" s="1"/>
  <c r="AK102" i="105"/>
  <c r="AH38" i="82"/>
  <c r="AH139" i="65"/>
  <c r="AH168" i="65" s="1"/>
  <c r="AH73" i="105" s="1"/>
  <c r="AH115" i="105" s="1"/>
  <c r="AH121" i="65"/>
  <c r="AH150" i="65" s="1"/>
  <c r="AH55" i="105" s="1"/>
  <c r="AH95" i="105" s="1"/>
  <c r="AH130" i="65"/>
  <c r="AH159" i="65" s="1"/>
  <c r="AH64" i="105" s="1"/>
  <c r="AH105" i="105" s="1"/>
  <c r="X224" i="41"/>
  <c r="X415" i="41" s="1"/>
  <c r="X35" i="65" s="1"/>
  <c r="X113" i="65" s="1"/>
  <c r="P224" i="41"/>
  <c r="P415" i="41" s="1"/>
  <c r="P35" i="65" s="1"/>
  <c r="P113" i="65" s="1"/>
  <c r="AD224" i="41"/>
  <c r="AD415" i="41" s="1"/>
  <c r="AD35" i="65" s="1"/>
  <c r="AD113" i="65" s="1"/>
  <c r="W140" i="65"/>
  <c r="W169" i="65" s="1"/>
  <c r="W74" i="105" s="1"/>
  <c r="W39" i="82"/>
  <c r="W122" i="65"/>
  <c r="W151" i="65" s="1"/>
  <c r="W56" i="105" s="1"/>
  <c r="W96" i="105" s="1"/>
  <c r="K413" i="41"/>
  <c r="K33" i="65" s="1"/>
  <c r="K111" i="65" s="1"/>
  <c r="AL121" i="65"/>
  <c r="AL150" i="65" s="1"/>
  <c r="AL55" i="105" s="1"/>
  <c r="AL95" i="105" s="1"/>
  <c r="AL139" i="65"/>
  <c r="AL168" i="65" s="1"/>
  <c r="AL73" i="105" s="1"/>
  <c r="AL115" i="105" s="1"/>
  <c r="AK38" i="82"/>
  <c r="AI140" i="65"/>
  <c r="AI169" i="65" s="1"/>
  <c r="AI74" i="105" s="1"/>
  <c r="AI116" i="105" s="1"/>
  <c r="AI39" i="82"/>
  <c r="AI122" i="65"/>
  <c r="AI151" i="65" s="1"/>
  <c r="AI56" i="105" s="1"/>
  <c r="AI96" i="105" s="1"/>
  <c r="AB39" i="82"/>
  <c r="AB122" i="65"/>
  <c r="AB151" i="65" s="1"/>
  <c r="AB56" i="105" s="1"/>
  <c r="AB96" i="105" s="1"/>
  <c r="AB140" i="65"/>
  <c r="AB169" i="65" s="1"/>
  <c r="AB74" i="105" s="1"/>
  <c r="AB121" i="65"/>
  <c r="AB150" i="65" s="1"/>
  <c r="AB55" i="105" s="1"/>
  <c r="AB95" i="105" s="1"/>
  <c r="AB139" i="65"/>
  <c r="AB168" i="65" s="1"/>
  <c r="AB73" i="105" s="1"/>
  <c r="AB38" i="82"/>
  <c r="AN140" i="65"/>
  <c r="AN169" i="65" s="1"/>
  <c r="AN74" i="105" s="1"/>
  <c r="AL39" i="82"/>
  <c r="AN122" i="65"/>
  <c r="AN151" i="65" s="1"/>
  <c r="AN56" i="105" s="1"/>
  <c r="AN96" i="105" s="1"/>
  <c r="AO102" i="105"/>
  <c r="Q132" i="65"/>
  <c r="Q161" i="65" s="1"/>
  <c r="Q66" i="105" s="1"/>
  <c r="Q107" i="105" s="1"/>
  <c r="Q40" i="82"/>
  <c r="Q123" i="65"/>
  <c r="Q152" i="65" s="1"/>
  <c r="Q57" i="105" s="1"/>
  <c r="Q97" i="105" s="1"/>
  <c r="Q141" i="65"/>
  <c r="Q170" i="65" s="1"/>
  <c r="Q75" i="105" s="1"/>
  <c r="Q117" i="105" s="1"/>
  <c r="AJ121" i="65"/>
  <c r="AJ150" i="65" s="1"/>
  <c r="AJ55" i="105" s="1"/>
  <c r="AJ95" i="105" s="1"/>
  <c r="AJ38" i="82"/>
  <c r="AJ139" i="65"/>
  <c r="AJ168" i="65" s="1"/>
  <c r="AJ73" i="105" s="1"/>
  <c r="AJ115" i="105" s="1"/>
  <c r="AJ130" i="65"/>
  <c r="AJ159" i="65" s="1"/>
  <c r="AJ64" i="105" s="1"/>
  <c r="AJ105" i="105" s="1"/>
  <c r="AC224" i="41"/>
  <c r="AC415" i="41" s="1"/>
  <c r="AC35" i="65" s="1"/>
  <c r="AC113" i="65" s="1"/>
  <c r="N224" i="41"/>
  <c r="N415" i="41" s="1"/>
  <c r="N35" i="65" s="1"/>
  <c r="N113" i="65" s="1"/>
  <c r="K414" i="41"/>
  <c r="K34" i="65" s="1"/>
  <c r="K112" i="65" s="1"/>
  <c r="AN139" i="65"/>
  <c r="AN168" i="65" s="1"/>
  <c r="AN73" i="105" s="1"/>
  <c r="AL38" i="82"/>
  <c r="AN121" i="65"/>
  <c r="AN150" i="65" s="1"/>
  <c r="AN55" i="105" s="1"/>
  <c r="AN95" i="105" s="1"/>
  <c r="V224" i="41"/>
  <c r="V415" i="41" s="1"/>
  <c r="V35" i="65" s="1"/>
  <c r="V113" i="65" s="1"/>
  <c r="AB40" i="82"/>
  <c r="AB141" i="65"/>
  <c r="AB170" i="65" s="1"/>
  <c r="AB75" i="105" s="1"/>
  <c r="AB123" i="65"/>
  <c r="AB152" i="65" s="1"/>
  <c r="AB57" i="105" s="1"/>
  <c r="AB97" i="105" s="1"/>
  <c r="AM102" i="105"/>
  <c r="M224" i="41"/>
  <c r="M415" i="41" s="1"/>
  <c r="M35" i="65" s="1"/>
  <c r="M113" i="65" s="1"/>
  <c r="AA224" i="41"/>
  <c r="AA415" i="41" s="1"/>
  <c r="AA35" i="65" s="1"/>
  <c r="AA113" i="65" s="1"/>
  <c r="T224" i="41"/>
  <c r="T415" i="41" s="1"/>
  <c r="T35" i="65" s="1"/>
  <c r="T113" i="65" s="1"/>
  <c r="U224" i="41"/>
  <c r="U415" i="41" s="1"/>
  <c r="U35" i="65" s="1"/>
  <c r="U113" i="65" s="1"/>
  <c r="O224" i="41"/>
  <c r="O415" i="41" s="1"/>
  <c r="O35" i="65" s="1"/>
  <c r="O113" i="65" s="1"/>
  <c r="W38" i="82"/>
  <c r="W139" i="65"/>
  <c r="W168" i="65" s="1"/>
  <c r="W73" i="105" s="1"/>
  <c r="W121" i="65"/>
  <c r="W150" i="65" s="1"/>
  <c r="W55" i="105" s="1"/>
  <c r="W95" i="105" s="1"/>
  <c r="Y224" i="41"/>
  <c r="Y415" i="41" s="1"/>
  <c r="Y35" i="65" s="1"/>
  <c r="Y113" i="65" s="1"/>
  <c r="AJ141" i="65"/>
  <c r="AJ170" i="65" s="1"/>
  <c r="AJ75" i="105" s="1"/>
  <c r="AJ117" i="105" s="1"/>
  <c r="AJ40" i="82"/>
  <c r="AJ132" i="65"/>
  <c r="AJ161" i="65" s="1"/>
  <c r="AJ66" i="105" s="1"/>
  <c r="AJ107" i="105" s="1"/>
  <c r="AJ123" i="65"/>
  <c r="AJ152" i="65" s="1"/>
  <c r="AJ57" i="105" s="1"/>
  <c r="AJ97" i="105" s="1"/>
  <c r="AH39" i="82"/>
  <c r="AH140" i="65"/>
  <c r="AH169" i="65" s="1"/>
  <c r="AH74" i="105" s="1"/>
  <c r="AH116" i="105" s="1"/>
  <c r="AH131" i="65"/>
  <c r="AH160" i="65" s="1"/>
  <c r="AH65" i="105" s="1"/>
  <c r="AH106" i="105" s="1"/>
  <c r="AH122" i="65"/>
  <c r="AH151" i="65" s="1"/>
  <c r="AH56" i="105" s="1"/>
  <c r="AH96" i="105" s="1"/>
  <c r="Z224" i="41"/>
  <c r="Z415" i="41" s="1"/>
  <c r="Z35" i="65" s="1"/>
  <c r="Z113" i="65" s="1"/>
  <c r="J224" i="41"/>
  <c r="J415" i="41" s="1"/>
  <c r="J35" i="65" s="1"/>
  <c r="J113" i="65" s="1"/>
  <c r="AF224" i="41"/>
  <c r="AF415" i="41" s="1"/>
  <c r="AF35" i="65" s="1"/>
  <c r="AF113" i="65" s="1"/>
  <c r="AI40" i="82"/>
  <c r="AI123" i="65"/>
  <c r="AI152" i="65" s="1"/>
  <c r="AI57" i="105" s="1"/>
  <c r="AI97" i="105" s="1"/>
  <c r="AI141" i="65"/>
  <c r="AI170" i="65" s="1"/>
  <c r="AI75" i="105" s="1"/>
  <c r="AI117" i="105" s="1"/>
  <c r="L132" i="65"/>
  <c r="L161" i="65" s="1"/>
  <c r="L66" i="105" s="1"/>
  <c r="L123" i="65"/>
  <c r="L152" i="65" s="1"/>
  <c r="L57" i="105" s="1"/>
  <c r="L97" i="105" s="1"/>
  <c r="L141" i="65"/>
  <c r="L170" i="65" s="1"/>
  <c r="L75" i="105" s="1"/>
  <c r="L40" i="82"/>
  <c r="AH40" i="82"/>
  <c r="AH123" i="65"/>
  <c r="AH152" i="65" s="1"/>
  <c r="AH57" i="105" s="1"/>
  <c r="AH97" i="105" s="1"/>
  <c r="AH132" i="65"/>
  <c r="AH161" i="65" s="1"/>
  <c r="AH66" i="105" s="1"/>
  <c r="AH107" i="105" s="1"/>
  <c r="AH141" i="65"/>
  <c r="AH170" i="65" s="1"/>
  <c r="AH75" i="105" s="1"/>
  <c r="AH117" i="105" s="1"/>
  <c r="AL40" i="82"/>
  <c r="AN141" i="65"/>
  <c r="AN170" i="65" s="1"/>
  <c r="AN75" i="105" s="1"/>
  <c r="AN123" i="65"/>
  <c r="AN152" i="65" s="1"/>
  <c r="AN57" i="105" s="1"/>
  <c r="AN97" i="105" s="1"/>
  <c r="Q38" i="82"/>
  <c r="Q121" i="65"/>
  <c r="Q150" i="65" s="1"/>
  <c r="Q55" i="105" s="1"/>
  <c r="Q95" i="105" s="1"/>
  <c r="Q139" i="65"/>
  <c r="Q168" i="65" s="1"/>
  <c r="Q73" i="105" s="1"/>
  <c r="Q115" i="105" s="1"/>
  <c r="Q130" i="65"/>
  <c r="Q159" i="65" s="1"/>
  <c r="Q64" i="105" s="1"/>
  <c r="Q105" i="105" s="1"/>
  <c r="Q131" i="65"/>
  <c r="Q160" i="65" s="1"/>
  <c r="Q65" i="105" s="1"/>
  <c r="Q106" i="105" s="1"/>
  <c r="Q140" i="65"/>
  <c r="Q169" i="65" s="1"/>
  <c r="Q74" i="105" s="1"/>
  <c r="Q116" i="105" s="1"/>
  <c r="Q122" i="65"/>
  <c r="Q151" i="65" s="1"/>
  <c r="Q56" i="105" s="1"/>
  <c r="Q96" i="105" s="1"/>
  <c r="Q39" i="82"/>
  <c r="AJ140" i="65"/>
  <c r="AJ169" i="65" s="1"/>
  <c r="AJ74" i="105" s="1"/>
  <c r="AJ116" i="105" s="1"/>
  <c r="AJ122" i="65"/>
  <c r="AJ151" i="65" s="1"/>
  <c r="AJ56" i="105" s="1"/>
  <c r="AJ96" i="105" s="1"/>
  <c r="AJ131" i="65"/>
  <c r="AJ160" i="65" s="1"/>
  <c r="AJ65" i="105" s="1"/>
  <c r="AJ106" i="105" s="1"/>
  <c r="AJ39" i="82"/>
  <c r="AE224" i="41"/>
  <c r="AE415" i="41" s="1"/>
  <c r="AE35" i="65" s="1"/>
  <c r="AE113" i="65" s="1"/>
  <c r="S224" i="41"/>
  <c r="S415" i="41" s="1"/>
  <c r="S35" i="65" s="1"/>
  <c r="S113" i="65" s="1"/>
  <c r="W141" i="65"/>
  <c r="W170" i="65" s="1"/>
  <c r="W75" i="105" s="1"/>
  <c r="W40" i="82"/>
  <c r="W123" i="65"/>
  <c r="W152" i="65" s="1"/>
  <c r="W57" i="105" s="1"/>
  <c r="W97" i="105" s="1"/>
  <c r="K200" i="105"/>
  <c r="K189" i="105"/>
  <c r="K277" i="41" l="1"/>
  <c r="K282" i="41" s="1"/>
  <c r="AL141" i="65"/>
  <c r="AL170" i="65" s="1"/>
  <c r="AL75" i="105" s="1"/>
  <c r="AL117" i="105" s="1"/>
  <c r="AL277" i="41"/>
  <c r="AL282" i="41" s="1"/>
  <c r="AO279" i="41"/>
  <c r="AO284" i="41" s="1"/>
  <c r="AO362" i="41" s="1"/>
  <c r="AH277" i="41"/>
  <c r="AH282" i="41" s="1"/>
  <c r="W279" i="41"/>
  <c r="W284" i="41" s="1"/>
  <c r="W362" i="41" s="1"/>
  <c r="AL140" i="65"/>
  <c r="AL169" i="65" s="1"/>
  <c r="AL74" i="105" s="1"/>
  <c r="AL116" i="105" s="1"/>
  <c r="L277" i="41"/>
  <c r="L282" i="41" s="1"/>
  <c r="AI277" i="41"/>
  <c r="AI282" i="41" s="1"/>
  <c r="AO277" i="41"/>
  <c r="AO282" i="41" s="1"/>
  <c r="AM277" i="41"/>
  <c r="AM282" i="41" s="1"/>
  <c r="W277" i="41"/>
  <c r="W282" i="41" s="1"/>
  <c r="AK277" i="41"/>
  <c r="AK282" i="41" s="1"/>
  <c r="R277" i="41"/>
  <c r="R282" i="41" s="1"/>
  <c r="Q277" i="41"/>
  <c r="Q282" i="41" s="1"/>
  <c r="AJ277" i="41"/>
  <c r="AJ282" i="41" s="1"/>
  <c r="AN277" i="41"/>
  <c r="AN282" i="41" s="1"/>
  <c r="AB277" i="41"/>
  <c r="AB282" i="41" s="1"/>
  <c r="AG130" i="65"/>
  <c r="AG159" i="65" s="1"/>
  <c r="AG64" i="105" s="1"/>
  <c r="AG105" i="105" s="1"/>
  <c r="AG38" i="82"/>
  <c r="AL123" i="65"/>
  <c r="AL152" i="65" s="1"/>
  <c r="AL57" i="105" s="1"/>
  <c r="AL97" i="105" s="1"/>
  <c r="AI278" i="41"/>
  <c r="AI283" i="41" s="1"/>
  <c r="AB279" i="41"/>
  <c r="AB284" i="41" s="1"/>
  <c r="AB362" i="41" s="1"/>
  <c r="AI279" i="41"/>
  <c r="AI284" i="41" s="1"/>
  <c r="AI362" i="41" s="1"/>
  <c r="AL122" i="65"/>
  <c r="AL151" i="65" s="1"/>
  <c r="AL56" i="105" s="1"/>
  <c r="AL96" i="105" s="1"/>
  <c r="AK279" i="41"/>
  <c r="AK284" i="41" s="1"/>
  <c r="AK362" i="41" s="1"/>
  <c r="R279" i="41"/>
  <c r="R284" i="41" s="1"/>
  <c r="R362" i="41" s="1"/>
  <c r="AL279" i="41"/>
  <c r="AL284" i="41" s="1"/>
  <c r="AL362" i="41" s="1"/>
  <c r="K278" i="41"/>
  <c r="K283" i="41" s="1"/>
  <c r="K279" i="41"/>
  <c r="K284" i="41" s="1"/>
  <c r="K362" i="41" s="1"/>
  <c r="AN279" i="41"/>
  <c r="AN284" i="41" s="1"/>
  <c r="AN362" i="41" s="1"/>
  <c r="L279" i="41"/>
  <c r="L284" i="41" s="1"/>
  <c r="L362" i="41" s="1"/>
  <c r="AM279" i="41"/>
  <c r="AM284" i="41" s="1"/>
  <c r="AM362" i="41" s="1"/>
  <c r="AH279" i="41"/>
  <c r="AH284" i="41" s="1"/>
  <c r="AH362" i="41" s="1"/>
  <c r="Q279" i="41"/>
  <c r="Q284" i="41" s="1"/>
  <c r="Q362" i="41" s="1"/>
  <c r="AJ279" i="41"/>
  <c r="AJ284" i="41" s="1"/>
  <c r="AJ362" i="41" s="1"/>
  <c r="AG121" i="65"/>
  <c r="AG150" i="65" s="1"/>
  <c r="AG55" i="105" s="1"/>
  <c r="AG95" i="105" s="1"/>
  <c r="R38" i="82"/>
  <c r="L278" i="41"/>
  <c r="L283" i="41" s="1"/>
  <c r="AJ278" i="41"/>
  <c r="AJ283" i="41" s="1"/>
  <c r="AG107" i="105"/>
  <c r="AG184" i="105"/>
  <c r="AG115" i="105"/>
  <c r="AG193" i="105"/>
  <c r="R278" i="41"/>
  <c r="R283" i="41" s="1"/>
  <c r="AL278" i="41"/>
  <c r="AL283" i="41" s="1"/>
  <c r="AB278" i="41"/>
  <c r="AB283" i="41" s="1"/>
  <c r="R122" i="65"/>
  <c r="R151" i="65" s="1"/>
  <c r="R56" i="105" s="1"/>
  <c r="R96" i="105" s="1"/>
  <c r="AN278" i="41"/>
  <c r="AN283" i="41" s="1"/>
  <c r="R130" i="65"/>
  <c r="R159" i="65" s="1"/>
  <c r="R64" i="105" s="1"/>
  <c r="R105" i="105" s="1"/>
  <c r="AH278" i="41"/>
  <c r="AH283" i="41" s="1"/>
  <c r="AM278" i="41"/>
  <c r="AM283" i="41" s="1"/>
  <c r="R131" i="65"/>
  <c r="R160" i="65" s="1"/>
  <c r="R65" i="105" s="1"/>
  <c r="R183" i="105" s="1"/>
  <c r="R40" i="82"/>
  <c r="R121" i="65"/>
  <c r="R150" i="65" s="1"/>
  <c r="R55" i="105" s="1"/>
  <c r="R95" i="105" s="1"/>
  <c r="Q278" i="41"/>
  <c r="Q283" i="41" s="1"/>
  <c r="W278" i="41"/>
  <c r="W283" i="41" s="1"/>
  <c r="R39" i="82"/>
  <c r="R123" i="65"/>
  <c r="R152" i="65" s="1"/>
  <c r="R57" i="105" s="1"/>
  <c r="R97" i="105" s="1"/>
  <c r="AK278" i="41"/>
  <c r="AK283" i="41" s="1"/>
  <c r="AG304" i="41"/>
  <c r="AG391" i="41" s="1"/>
  <c r="AO278" i="41"/>
  <c r="AO283" i="41" s="1"/>
  <c r="R132" i="65"/>
  <c r="R161" i="65" s="1"/>
  <c r="R66" i="105" s="1"/>
  <c r="R184" i="105" s="1"/>
  <c r="AG123" i="65"/>
  <c r="AG152" i="65" s="1"/>
  <c r="AG57" i="105" s="1"/>
  <c r="AG97" i="105" s="1"/>
  <c r="AG40" i="82"/>
  <c r="AG141" i="65"/>
  <c r="AG170" i="65" s="1"/>
  <c r="AG75" i="105" s="1"/>
  <c r="AG122" i="65"/>
  <c r="AG151" i="65" s="1"/>
  <c r="AG56" i="105" s="1"/>
  <c r="AG96" i="105" s="1"/>
  <c r="AG131" i="65"/>
  <c r="AG160" i="65" s="1"/>
  <c r="AG65" i="105" s="1"/>
  <c r="AG140" i="65"/>
  <c r="AG169" i="65" s="1"/>
  <c r="AG74" i="105" s="1"/>
  <c r="AC226" i="41"/>
  <c r="AC228" i="41" s="1"/>
  <c r="AC293" i="41" s="1"/>
  <c r="AC295" i="41" s="1"/>
  <c r="Z226" i="41"/>
  <c r="Z228" i="41" s="1"/>
  <c r="Z424" i="41" s="1"/>
  <c r="AI122" i="105"/>
  <c r="X226" i="41"/>
  <c r="X228" i="41" s="1"/>
  <c r="X237" i="41" s="1"/>
  <c r="O226" i="41"/>
  <c r="O228" i="41" s="1"/>
  <c r="O237" i="41" s="1"/>
  <c r="N226" i="41"/>
  <c r="N228" i="41" s="1"/>
  <c r="N237" i="41" s="1"/>
  <c r="T124" i="65"/>
  <c r="T153" i="65" s="1"/>
  <c r="T58" i="105" s="1"/>
  <c r="T98" i="105" s="1"/>
  <c r="T41" i="82"/>
  <c r="T133" i="65"/>
  <c r="T162" i="65" s="1"/>
  <c r="T67" i="105" s="1"/>
  <c r="T142" i="65"/>
  <c r="T171" i="65" s="1"/>
  <c r="T76" i="105" s="1"/>
  <c r="AN194" i="105"/>
  <c r="AN116" i="105"/>
  <c r="Y142" i="65"/>
  <c r="Y171" i="65" s="1"/>
  <c r="Y76" i="105" s="1"/>
  <c r="Y41" i="82"/>
  <c r="Y124" i="65"/>
  <c r="Y153" i="65" s="1"/>
  <c r="Y58" i="105" s="1"/>
  <c r="Y98" i="105" s="1"/>
  <c r="T226" i="41"/>
  <c r="T228" i="41" s="1"/>
  <c r="V142" i="65"/>
  <c r="V171" i="65" s="1"/>
  <c r="V76" i="105" s="1"/>
  <c r="V133" i="65"/>
  <c r="V162" i="65" s="1"/>
  <c r="V67" i="105" s="1"/>
  <c r="V41" i="82"/>
  <c r="V124" i="65"/>
  <c r="V153" i="65" s="1"/>
  <c r="V58" i="105" s="1"/>
  <c r="V98" i="105" s="1"/>
  <c r="AJ112" i="105"/>
  <c r="AI102" i="105"/>
  <c r="S133" i="65"/>
  <c r="S162" i="65" s="1"/>
  <c r="S67" i="105" s="1"/>
  <c r="S124" i="65"/>
  <c r="S153" i="65" s="1"/>
  <c r="S58" i="105" s="1"/>
  <c r="S98" i="105" s="1"/>
  <c r="S41" i="82"/>
  <c r="S142" i="65"/>
  <c r="S171" i="65" s="1"/>
  <c r="S76" i="105" s="1"/>
  <c r="Q112" i="105"/>
  <c r="L117" i="105"/>
  <c r="L195" i="105"/>
  <c r="AF124" i="65"/>
  <c r="AF153" i="65" s="1"/>
  <c r="AF58" i="105" s="1"/>
  <c r="AF98" i="105" s="1"/>
  <c r="AF41" i="82"/>
  <c r="AF142" i="65"/>
  <c r="AF171" i="65" s="1"/>
  <c r="AF76" i="105" s="1"/>
  <c r="Y226" i="41"/>
  <c r="Y228" i="41" s="1"/>
  <c r="AA41" i="82"/>
  <c r="AA124" i="65"/>
  <c r="AA153" i="65" s="1"/>
  <c r="AA58" i="105" s="1"/>
  <c r="AA98" i="105" s="1"/>
  <c r="AA142" i="65"/>
  <c r="AA171" i="65" s="1"/>
  <c r="AA76" i="105" s="1"/>
  <c r="AB117" i="105"/>
  <c r="AB195" i="105"/>
  <c r="V226" i="41"/>
  <c r="V228" i="41" s="1"/>
  <c r="AJ122" i="105"/>
  <c r="AB193" i="105"/>
  <c r="AB115" i="105"/>
  <c r="R116" i="105"/>
  <c r="R194" i="105"/>
  <c r="X142" i="65"/>
  <c r="X171" i="65" s="1"/>
  <c r="X76" i="105" s="1"/>
  <c r="X41" i="82"/>
  <c r="X124" i="65"/>
  <c r="X153" i="65" s="1"/>
  <c r="X58" i="105" s="1"/>
  <c r="X98" i="105" s="1"/>
  <c r="L106" i="105"/>
  <c r="L183" i="105"/>
  <c r="L102" i="105"/>
  <c r="AN195" i="105"/>
  <c r="AN117" i="105"/>
  <c r="Z41" i="82"/>
  <c r="Z142" i="65"/>
  <c r="Z171" i="65" s="1"/>
  <c r="Z76" i="105" s="1"/>
  <c r="Z124" i="65"/>
  <c r="Z153" i="65" s="1"/>
  <c r="Z58" i="105" s="1"/>
  <c r="Z98" i="105" s="1"/>
  <c r="K39" i="82"/>
  <c r="K140" i="65"/>
  <c r="K169" i="65" s="1"/>
  <c r="K74" i="105" s="1"/>
  <c r="K116" i="105" s="1"/>
  <c r="K131" i="65"/>
  <c r="K160" i="65" s="1"/>
  <c r="K65" i="105" s="1"/>
  <c r="K106" i="105" s="1"/>
  <c r="K122" i="65"/>
  <c r="K151" i="65" s="1"/>
  <c r="K56" i="105" s="1"/>
  <c r="K96" i="105" s="1"/>
  <c r="W117" i="105"/>
  <c r="W195" i="105"/>
  <c r="S226" i="41"/>
  <c r="S228" i="41" s="1"/>
  <c r="Q122" i="105"/>
  <c r="AF226" i="41"/>
  <c r="AF228" i="41" s="1"/>
  <c r="O133" i="65"/>
  <c r="O162" i="65" s="1"/>
  <c r="O67" i="105" s="1"/>
  <c r="O142" i="65"/>
  <c r="O171" i="65" s="1"/>
  <c r="O76" i="105" s="1"/>
  <c r="O41" i="82"/>
  <c r="O124" i="65"/>
  <c r="O153" i="65" s="1"/>
  <c r="O58" i="105" s="1"/>
  <c r="O98" i="105" s="1"/>
  <c r="AA226" i="41"/>
  <c r="AA228" i="41" s="1"/>
  <c r="AN102" i="105"/>
  <c r="AB102" i="105"/>
  <c r="AD41" i="82"/>
  <c r="AD142" i="65"/>
  <c r="AD171" i="65" s="1"/>
  <c r="AD76" i="105" s="1"/>
  <c r="AD124" i="65"/>
  <c r="AD153" i="65" s="1"/>
  <c r="AD58" i="105" s="1"/>
  <c r="AD98" i="105" s="1"/>
  <c r="AH112" i="105"/>
  <c r="AH147" i="105" s="1"/>
  <c r="L194" i="105"/>
  <c r="L116" i="105"/>
  <c r="K139" i="65"/>
  <c r="K168" i="65" s="1"/>
  <c r="K73" i="105" s="1"/>
  <c r="K115" i="105" s="1"/>
  <c r="K121" i="65"/>
  <c r="K150" i="65" s="1"/>
  <c r="K55" i="105" s="1"/>
  <c r="K95" i="105" s="1"/>
  <c r="K130" i="65"/>
  <c r="K159" i="65" s="1"/>
  <c r="K64" i="105" s="1"/>
  <c r="K105" i="105" s="1"/>
  <c r="K38" i="82"/>
  <c r="L115" i="105"/>
  <c r="L193" i="105"/>
  <c r="K40" i="82"/>
  <c r="K141" i="65"/>
  <c r="K170" i="65" s="1"/>
  <c r="K75" i="105" s="1"/>
  <c r="K117" i="105" s="1"/>
  <c r="K132" i="65"/>
  <c r="K161" i="65" s="1"/>
  <c r="K66" i="105" s="1"/>
  <c r="K107" i="105" s="1"/>
  <c r="K123" i="65"/>
  <c r="K152" i="65" s="1"/>
  <c r="K57" i="105" s="1"/>
  <c r="K97" i="105" s="1"/>
  <c r="AE142" i="65"/>
  <c r="AE171" i="65" s="1"/>
  <c r="AE76" i="105" s="1"/>
  <c r="AE41" i="82"/>
  <c r="AE124" i="65"/>
  <c r="AE153" i="65" s="1"/>
  <c r="AE58" i="105" s="1"/>
  <c r="AE98" i="105" s="1"/>
  <c r="Q102" i="105"/>
  <c r="L184" i="105"/>
  <c r="L107" i="105"/>
  <c r="J41" i="82"/>
  <c r="J133" i="65"/>
  <c r="J162" i="65" s="1"/>
  <c r="J67" i="105" s="1"/>
  <c r="J142" i="65"/>
  <c r="J171" i="65" s="1"/>
  <c r="J76" i="105" s="1"/>
  <c r="J124" i="65"/>
  <c r="J153" i="65" s="1"/>
  <c r="J58" i="105" s="1"/>
  <c r="J98" i="105" s="1"/>
  <c r="U142" i="65"/>
  <c r="U171" i="65" s="1"/>
  <c r="U76" i="105" s="1"/>
  <c r="U133" i="65"/>
  <c r="U162" i="65" s="1"/>
  <c r="U67" i="105" s="1"/>
  <c r="U41" i="82"/>
  <c r="U124" i="65"/>
  <c r="U153" i="65" s="1"/>
  <c r="U58" i="105" s="1"/>
  <c r="U98" i="105" s="1"/>
  <c r="M41" i="82"/>
  <c r="M142" i="65"/>
  <c r="M171" i="65" s="1"/>
  <c r="M76" i="105" s="1"/>
  <c r="M133" i="65"/>
  <c r="M162" i="65" s="1"/>
  <c r="M67" i="105" s="1"/>
  <c r="M124" i="65"/>
  <c r="M153" i="65" s="1"/>
  <c r="M58" i="105" s="1"/>
  <c r="M98" i="105" s="1"/>
  <c r="N41" i="82"/>
  <c r="N142" i="65"/>
  <c r="N171" i="65" s="1"/>
  <c r="N76" i="105" s="1"/>
  <c r="N124" i="65"/>
  <c r="N153" i="65" s="1"/>
  <c r="N58" i="105" s="1"/>
  <c r="N98" i="105" s="1"/>
  <c r="N133" i="65"/>
  <c r="N162" i="65" s="1"/>
  <c r="N67" i="105" s="1"/>
  <c r="AJ102" i="105"/>
  <c r="AB194" i="105"/>
  <c r="AB116" i="105"/>
  <c r="W194" i="105"/>
  <c r="W116" i="105"/>
  <c r="AD226" i="41"/>
  <c r="AD228" i="41" s="1"/>
  <c r="AH102" i="105"/>
  <c r="R195" i="105"/>
  <c r="R117" i="105"/>
  <c r="R115" i="105"/>
  <c r="R193" i="105"/>
  <c r="W115" i="105"/>
  <c r="W193" i="105"/>
  <c r="P133" i="65"/>
  <c r="P162" i="65" s="1"/>
  <c r="P67" i="105" s="1"/>
  <c r="P41" i="82"/>
  <c r="P124" i="65"/>
  <c r="P153" i="65" s="1"/>
  <c r="P58" i="105" s="1"/>
  <c r="P98" i="105" s="1"/>
  <c r="P142" i="65"/>
  <c r="P171" i="65" s="1"/>
  <c r="P76" i="105" s="1"/>
  <c r="AE226" i="41"/>
  <c r="AE228" i="41" s="1"/>
  <c r="J226" i="41"/>
  <c r="J228" i="41" s="1"/>
  <c r="W102" i="105"/>
  <c r="U226" i="41"/>
  <c r="U228" i="41" s="1"/>
  <c r="M226" i="41"/>
  <c r="M228" i="41" s="1"/>
  <c r="AN193" i="105"/>
  <c r="AN115" i="105"/>
  <c r="AC142" i="65"/>
  <c r="AC171" i="65" s="1"/>
  <c r="AC76" i="105" s="1"/>
  <c r="AC124" i="65"/>
  <c r="AC153" i="65" s="1"/>
  <c r="AC58" i="105" s="1"/>
  <c r="AC98" i="105" s="1"/>
  <c r="AC41" i="82"/>
  <c r="P226" i="41"/>
  <c r="P228" i="41" s="1"/>
  <c r="AH122" i="105"/>
  <c r="AH148" i="105" s="1"/>
  <c r="L105" i="105"/>
  <c r="L182" i="105"/>
  <c r="AL122" i="105" l="1"/>
  <c r="AG182" i="105"/>
  <c r="AO298" i="41"/>
  <c r="AO304" i="41" s="1"/>
  <c r="AO391" i="41" s="1"/>
  <c r="AO395" i="41" s="1"/>
  <c r="AL102" i="105"/>
  <c r="W298" i="41"/>
  <c r="W304" i="41" s="1"/>
  <c r="W391" i="41" s="1"/>
  <c r="W395" i="41" s="1"/>
  <c r="AI298" i="41"/>
  <c r="AI304" i="41" s="1"/>
  <c r="AI391" i="41" s="1"/>
  <c r="AI395" i="41" s="1"/>
  <c r="AK298" i="41"/>
  <c r="AK304" i="41" s="1"/>
  <c r="AK391" i="41" s="1"/>
  <c r="AK395" i="41" s="1"/>
  <c r="AI330" i="41"/>
  <c r="K330" i="41"/>
  <c r="AJ330" i="41"/>
  <c r="AJ364" i="41"/>
  <c r="AJ366" i="41" s="1"/>
  <c r="AJ368" i="41" s="1"/>
  <c r="AJ393" i="41" s="1"/>
  <c r="AB330" i="41"/>
  <c r="K298" i="41"/>
  <c r="K304" i="41" s="1"/>
  <c r="K391" i="41" s="1"/>
  <c r="K395" i="41" s="1"/>
  <c r="R106" i="105"/>
  <c r="AN330" i="41"/>
  <c r="W330" i="41"/>
  <c r="AB298" i="41"/>
  <c r="AB304" i="41" s="1"/>
  <c r="AB391" i="41" s="1"/>
  <c r="AB395" i="41" s="1"/>
  <c r="AJ298" i="41"/>
  <c r="AJ304" i="41" s="1"/>
  <c r="AJ391" i="41" s="1"/>
  <c r="AJ395" i="41" s="1"/>
  <c r="AL330" i="41"/>
  <c r="AL298" i="41"/>
  <c r="AL304" i="41" s="1"/>
  <c r="AL391" i="41" s="1"/>
  <c r="AL395" i="41" s="1"/>
  <c r="R298" i="41"/>
  <c r="R304" i="41" s="1"/>
  <c r="R391" i="41" s="1"/>
  <c r="R395" i="41" s="1"/>
  <c r="AK364" i="41"/>
  <c r="AK366" i="41" s="1"/>
  <c r="AK368" i="41" s="1"/>
  <c r="AK393" i="41" s="1"/>
  <c r="AK330" i="41"/>
  <c r="L330" i="41"/>
  <c r="L298" i="41"/>
  <c r="L304" i="41" s="1"/>
  <c r="L391" i="41" s="1"/>
  <c r="L395" i="41" s="1"/>
  <c r="AH330" i="41"/>
  <c r="AM364" i="41"/>
  <c r="AM366" i="41" s="1"/>
  <c r="AM368" i="41" s="1"/>
  <c r="AM393" i="41" s="1"/>
  <c r="AM298" i="41"/>
  <c r="AM304" i="41" s="1"/>
  <c r="AM391" i="41" s="1"/>
  <c r="AM395" i="41" s="1"/>
  <c r="R182" i="105"/>
  <c r="R189" i="105" s="1"/>
  <c r="AH298" i="41"/>
  <c r="AH304" i="41" s="1"/>
  <c r="AH391" i="41" s="1"/>
  <c r="AH395" i="41" s="1"/>
  <c r="K364" i="41"/>
  <c r="K366" i="41" s="1"/>
  <c r="K368" i="41" s="1"/>
  <c r="K393" i="41" s="1"/>
  <c r="R364" i="41"/>
  <c r="R366" i="41" s="1"/>
  <c r="R368" i="41" s="1"/>
  <c r="R393" i="41" s="1"/>
  <c r="AB364" i="41"/>
  <c r="AB366" i="41" s="1"/>
  <c r="AB368" i="41" s="1"/>
  <c r="AB393" i="41" s="1"/>
  <c r="AL364" i="41"/>
  <c r="AL366" i="41" s="1"/>
  <c r="AL368" i="41" s="1"/>
  <c r="AL393" i="41" s="1"/>
  <c r="Q330" i="41"/>
  <c r="R107" i="105"/>
  <c r="L364" i="41"/>
  <c r="L366" i="41" s="1"/>
  <c r="L368" i="41" s="1"/>
  <c r="L393" i="41" s="1"/>
  <c r="W364" i="41"/>
  <c r="W366" i="41" s="1"/>
  <c r="W368" i="41" s="1"/>
  <c r="W393" i="41" s="1"/>
  <c r="AH364" i="41"/>
  <c r="AH366" i="41" s="1"/>
  <c r="AH368" i="41" s="1"/>
  <c r="AH393" i="41" s="1"/>
  <c r="Q364" i="41"/>
  <c r="Q366" i="41" s="1"/>
  <c r="Q368" i="41" s="1"/>
  <c r="Q393" i="41" s="1"/>
  <c r="AN364" i="41"/>
  <c r="AN366" i="41" s="1"/>
  <c r="AN368" i="41" s="1"/>
  <c r="AN393" i="41" s="1"/>
  <c r="AO364" i="41"/>
  <c r="AO366" i="41" s="1"/>
  <c r="AO368" i="41" s="1"/>
  <c r="AO393" i="41" s="1"/>
  <c r="AI364" i="41"/>
  <c r="AI366" i="41" s="1"/>
  <c r="AI368" i="41" s="1"/>
  <c r="AI393" i="41" s="1"/>
  <c r="AM330" i="41"/>
  <c r="R102" i="105"/>
  <c r="R174" i="105" s="1"/>
  <c r="R71" i="82" s="1"/>
  <c r="AG102" i="105"/>
  <c r="AG146" i="105" s="1"/>
  <c r="AG69" i="82" s="1"/>
  <c r="N293" i="41"/>
  <c r="N295" i="41" s="1"/>
  <c r="R330" i="41"/>
  <c r="AN298" i="41"/>
  <c r="AN304" i="41" s="1"/>
  <c r="AN391" i="41" s="1"/>
  <c r="AN395" i="41" s="1"/>
  <c r="AG117" i="105"/>
  <c r="AG195" i="105"/>
  <c r="AG116" i="105"/>
  <c r="AG194" i="105"/>
  <c r="AG106" i="105"/>
  <c r="AG112" i="105" s="1"/>
  <c r="AG147" i="105" s="1"/>
  <c r="AG183" i="105"/>
  <c r="Q298" i="41"/>
  <c r="Q304" i="41" s="1"/>
  <c r="Q391" i="41" s="1"/>
  <c r="Q395" i="41" s="1"/>
  <c r="AO330" i="41"/>
  <c r="Z237" i="41"/>
  <c r="X424" i="41"/>
  <c r="AC237" i="41"/>
  <c r="AC251" i="41" s="1"/>
  <c r="AC269" i="41" s="1"/>
  <c r="AC424" i="41"/>
  <c r="W122" i="105"/>
  <c r="AN122" i="105"/>
  <c r="N424" i="41"/>
  <c r="O293" i="41"/>
  <c r="O295" i="41" s="1"/>
  <c r="L122" i="105"/>
  <c r="L142" i="105" s="1"/>
  <c r="O424" i="41"/>
  <c r="R200" i="105"/>
  <c r="L112" i="105"/>
  <c r="L147" i="105" s="1"/>
  <c r="R122" i="105"/>
  <c r="R148" i="105" s="1"/>
  <c r="AJ174" i="105"/>
  <c r="AJ71" i="82" s="1"/>
  <c r="AJ146" i="105"/>
  <c r="AJ69" i="82" s="1"/>
  <c r="AA424" i="41"/>
  <c r="AA237" i="41"/>
  <c r="T118" i="105"/>
  <c r="T196" i="105"/>
  <c r="W174" i="105"/>
  <c r="W71" i="82" s="1"/>
  <c r="W146" i="105"/>
  <c r="W69" i="82" s="1"/>
  <c r="W140" i="105"/>
  <c r="P185" i="105"/>
  <c r="P108" i="105"/>
  <c r="AD424" i="41"/>
  <c r="AD293" i="41"/>
  <c r="AD295" i="41" s="1"/>
  <c r="AD237" i="41"/>
  <c r="N185" i="105"/>
  <c r="N108" i="105"/>
  <c r="U185" i="105"/>
  <c r="U108" i="105"/>
  <c r="N273" i="41"/>
  <c r="N278" i="41" s="1"/>
  <c r="N283" i="41" s="1"/>
  <c r="N272" i="41"/>
  <c r="N277" i="41" s="1"/>
  <c r="N282" i="41" s="1"/>
  <c r="N251" i="41"/>
  <c r="N269" i="41" s="1"/>
  <c r="N274" i="41" s="1"/>
  <c r="N279" i="41" s="1"/>
  <c r="N284" i="41" s="1"/>
  <c r="N362" i="41" s="1"/>
  <c r="N364" i="41" s="1"/>
  <c r="N366" i="41" s="1"/>
  <c r="N250" i="41"/>
  <c r="N268" i="41" s="1"/>
  <c r="N249" i="41"/>
  <c r="N267" i="41" s="1"/>
  <c r="X293" i="41"/>
  <c r="X295" i="41" s="1"/>
  <c r="S293" i="41"/>
  <c r="S295" i="41" s="1"/>
  <c r="S424" i="41"/>
  <c r="S237" i="41"/>
  <c r="X118" i="105"/>
  <c r="X196" i="105"/>
  <c r="AA118" i="105"/>
  <c r="AA196" i="105"/>
  <c r="S108" i="105"/>
  <c r="S185" i="105"/>
  <c r="Y118" i="105"/>
  <c r="Y196" i="105"/>
  <c r="T108" i="105"/>
  <c r="T185" i="105"/>
  <c r="AC196" i="105"/>
  <c r="AC118" i="105"/>
  <c r="AH174" i="105"/>
  <c r="AH71" i="82" s="1"/>
  <c r="AH146" i="105"/>
  <c r="AH69" i="82" s="1"/>
  <c r="X250" i="41"/>
  <c r="X268" i="41" s="1"/>
  <c r="X273" i="41" s="1"/>
  <c r="X251" i="41"/>
  <c r="X269" i="41" s="1"/>
  <c r="X274" i="41" s="1"/>
  <c r="X272" i="41"/>
  <c r="X249" i="41"/>
  <c r="X267" i="41" s="1"/>
  <c r="P424" i="41"/>
  <c r="P237" i="41"/>
  <c r="P293" i="41"/>
  <c r="P295" i="41" s="1"/>
  <c r="J237" i="41"/>
  <c r="H230" i="41"/>
  <c r="J293" i="41"/>
  <c r="J295" i="41" s="1"/>
  <c r="J424" i="41"/>
  <c r="M185" i="105"/>
  <c r="M108" i="105"/>
  <c r="U118" i="105"/>
  <c r="U196" i="105"/>
  <c r="K112" i="105"/>
  <c r="L174" i="105"/>
  <c r="L71" i="82" s="1"/>
  <c r="L140" i="105"/>
  <c r="L146" i="105"/>
  <c r="L69" i="82" s="1"/>
  <c r="V185" i="105"/>
  <c r="V108" i="105"/>
  <c r="AE118" i="105"/>
  <c r="AE196" i="105"/>
  <c r="AJ148" i="105"/>
  <c r="AJ142" i="105"/>
  <c r="O405" i="41"/>
  <c r="O414" i="41" s="1"/>
  <c r="O34" i="65" s="1"/>
  <c r="O112" i="65" s="1"/>
  <c r="O249" i="41"/>
  <c r="O267" i="41" s="1"/>
  <c r="O272" i="41" s="1"/>
  <c r="O277" i="41" s="1"/>
  <c r="O282" i="41" s="1"/>
  <c r="O251" i="41"/>
  <c r="O269" i="41" s="1"/>
  <c r="O250" i="41"/>
  <c r="O268" i="41" s="1"/>
  <c r="O273" i="41" s="1"/>
  <c r="O278" i="41" s="1"/>
  <c r="O283" i="41" s="1"/>
  <c r="O274" i="41"/>
  <c r="O279" i="41" s="1"/>
  <c r="O284" i="41" s="1"/>
  <c r="O362" i="41" s="1"/>
  <c r="O364" i="41" s="1"/>
  <c r="O366" i="41" s="1"/>
  <c r="AE293" i="41"/>
  <c r="AE295" i="41" s="1"/>
  <c r="AE237" i="41"/>
  <c r="AE424" i="41"/>
  <c r="N196" i="105"/>
  <c r="N118" i="105"/>
  <c r="M196" i="105"/>
  <c r="M118" i="105"/>
  <c r="H98" i="105"/>
  <c r="Q146" i="105"/>
  <c r="Q69" i="82" s="1"/>
  <c r="Q174" i="105"/>
  <c r="Q71" i="82" s="1"/>
  <c r="K102" i="105"/>
  <c r="AD196" i="105"/>
  <c r="AD118" i="105"/>
  <c r="O196" i="105"/>
  <c r="O118" i="105"/>
  <c r="Z196" i="105"/>
  <c r="Z118" i="105"/>
  <c r="Y424" i="41"/>
  <c r="Y237" i="41"/>
  <c r="V196" i="105"/>
  <c r="V118" i="105"/>
  <c r="AN200" i="105"/>
  <c r="P196" i="105"/>
  <c r="P118" i="105"/>
  <c r="J196" i="105"/>
  <c r="J118" i="105"/>
  <c r="K122" i="105"/>
  <c r="O185" i="105"/>
  <c r="O108" i="105"/>
  <c r="AB122" i="105"/>
  <c r="AA293" i="41"/>
  <c r="AA295" i="41" s="1"/>
  <c r="V424" i="41"/>
  <c r="V293" i="41"/>
  <c r="V295" i="41" s="1"/>
  <c r="V237" i="41"/>
  <c r="AF118" i="105"/>
  <c r="AF196" i="105"/>
  <c r="S118" i="105"/>
  <c r="S196" i="105"/>
  <c r="AI174" i="105"/>
  <c r="AI71" i="82" s="1"/>
  <c r="AI146" i="105"/>
  <c r="AI69" i="82" s="1"/>
  <c r="T424" i="41"/>
  <c r="T237" i="41"/>
  <c r="Y293" i="41"/>
  <c r="Y295" i="41" s="1"/>
  <c r="T293" i="41"/>
  <c r="T295" i="41" s="1"/>
  <c r="U237" i="41"/>
  <c r="U293" i="41"/>
  <c r="U295" i="41" s="1"/>
  <c r="U424" i="41"/>
  <c r="Z293" i="41"/>
  <c r="Z295" i="41" s="1"/>
  <c r="L189" i="105"/>
  <c r="M424" i="41"/>
  <c r="M293" i="41"/>
  <c r="M295" i="41" s="1"/>
  <c r="M237" i="41"/>
  <c r="W200" i="105"/>
  <c r="J108" i="105"/>
  <c r="J185" i="105"/>
  <c r="L200" i="105"/>
  <c r="AB146" i="105"/>
  <c r="AB69" i="82" s="1"/>
  <c r="AB140" i="105"/>
  <c r="AB174" i="105"/>
  <c r="AB71" i="82" s="1"/>
  <c r="AN140" i="105"/>
  <c r="AN146" i="105"/>
  <c r="AL69" i="82" s="1"/>
  <c r="AN174" i="105"/>
  <c r="AL71" i="82" s="1"/>
  <c r="AF424" i="41"/>
  <c r="AF293" i="41"/>
  <c r="AF295" i="41" s="1"/>
  <c r="AF237" i="41"/>
  <c r="AB200" i="105"/>
  <c r="AG189" i="105" l="1"/>
  <c r="L148" i="105"/>
  <c r="R112" i="105"/>
  <c r="Z249" i="41"/>
  <c r="Z267" i="41" s="1"/>
  <c r="Z272" i="41" s="1"/>
  <c r="AN332" i="41"/>
  <c r="AN334" i="41" s="1"/>
  <c r="AN336" i="41" s="1"/>
  <c r="AN392" i="41" s="1"/>
  <c r="AG140" i="105"/>
  <c r="AG68" i="82" s="1"/>
  <c r="AC250" i="41"/>
  <c r="AC268" i="41" s="1"/>
  <c r="AC273" i="41" s="1"/>
  <c r="AC278" i="41" s="1"/>
  <c r="AC283" i="41" s="1"/>
  <c r="AG200" i="105"/>
  <c r="AC274" i="41"/>
  <c r="AC279" i="41" s="1"/>
  <c r="AC284" i="41" s="1"/>
  <c r="AC362" i="41" s="1"/>
  <c r="AC364" i="41" s="1"/>
  <c r="AC366" i="41" s="1"/>
  <c r="AG174" i="105"/>
  <c r="AG71" i="82" s="1"/>
  <c r="AM332" i="41"/>
  <c r="AM334" i="41" s="1"/>
  <c r="AM336" i="41" s="1"/>
  <c r="AM392" i="41" s="1"/>
  <c r="AL300" i="41"/>
  <c r="AL302" i="41" s="1"/>
  <c r="AM300" i="41"/>
  <c r="AM302" i="41" s="1"/>
  <c r="R140" i="105"/>
  <c r="R68" i="82" s="1"/>
  <c r="Z250" i="41"/>
  <c r="Z268" i="41" s="1"/>
  <c r="Z273" i="41" s="1"/>
  <c r="R146" i="105"/>
  <c r="R69" i="82" s="1"/>
  <c r="AB332" i="41"/>
  <c r="AB334" i="41" s="1"/>
  <c r="AB336" i="41" s="1"/>
  <c r="AB392" i="41" s="1"/>
  <c r="AB300" i="41"/>
  <c r="AB302" i="41" s="1"/>
  <c r="AO300" i="41"/>
  <c r="AO302" i="41" s="1"/>
  <c r="AN300" i="41"/>
  <c r="AN302" i="41" s="1"/>
  <c r="Z251" i="41"/>
  <c r="Z269" i="41" s="1"/>
  <c r="Z274" i="41" s="1"/>
  <c r="AJ300" i="41"/>
  <c r="AJ302" i="41" s="1"/>
  <c r="AK300" i="41"/>
  <c r="AK302" i="41" s="1"/>
  <c r="Q300" i="41"/>
  <c r="Q302" i="41" s="1"/>
  <c r="W300" i="41"/>
  <c r="W302" i="41" s="1"/>
  <c r="R300" i="41"/>
  <c r="R302" i="41" s="1"/>
  <c r="AH300" i="41"/>
  <c r="AH302" i="41" s="1"/>
  <c r="AI300" i="41"/>
  <c r="AI302" i="41" s="1"/>
  <c r="AL332" i="41"/>
  <c r="AL334" i="41" s="1"/>
  <c r="AL336" i="41" s="1"/>
  <c r="AL392" i="41" s="1"/>
  <c r="Q332" i="41"/>
  <c r="Q334" i="41" s="1"/>
  <c r="Q336" i="41" s="1"/>
  <c r="Q392" i="41" s="1"/>
  <c r="K300" i="41"/>
  <c r="K302" i="41" s="1"/>
  <c r="L300" i="41"/>
  <c r="L302" i="41" s="1"/>
  <c r="K332" i="41"/>
  <c r="K334" i="41" s="1"/>
  <c r="K336" i="41" s="1"/>
  <c r="K392" i="41" s="1"/>
  <c r="AK332" i="41"/>
  <c r="AK334" i="41" s="1"/>
  <c r="AK336" i="41" s="1"/>
  <c r="AK392" i="41" s="1"/>
  <c r="W332" i="41"/>
  <c r="W334" i="41" s="1"/>
  <c r="W336" i="41" s="1"/>
  <c r="W392" i="41" s="1"/>
  <c r="AJ332" i="41"/>
  <c r="AJ334" i="41" s="1"/>
  <c r="AJ336" i="41" s="1"/>
  <c r="AJ392" i="41" s="1"/>
  <c r="L332" i="41"/>
  <c r="L334" i="41" s="1"/>
  <c r="L336" i="41" s="1"/>
  <c r="L392" i="41" s="1"/>
  <c r="R332" i="41"/>
  <c r="R334" i="41" s="1"/>
  <c r="R336" i="41" s="1"/>
  <c r="R392" i="41" s="1"/>
  <c r="AH332" i="41"/>
  <c r="AH334" i="41" s="1"/>
  <c r="AH336" i="41" s="1"/>
  <c r="AH392" i="41" s="1"/>
  <c r="AO332" i="41"/>
  <c r="AO334" i="41" s="1"/>
  <c r="AO336" i="41" s="1"/>
  <c r="AO392" i="41" s="1"/>
  <c r="AI332" i="41"/>
  <c r="AI334" i="41" s="1"/>
  <c r="AI336" i="41" s="1"/>
  <c r="AI392" i="41" s="1"/>
  <c r="AG122" i="105"/>
  <c r="AG148" i="105" s="1"/>
  <c r="AC249" i="41"/>
  <c r="AC267" i="41" s="1"/>
  <c r="AC272" i="41"/>
  <c r="AC277" i="41" s="1"/>
  <c r="AC282" i="41" s="1"/>
  <c r="R142" i="105"/>
  <c r="O330" i="41"/>
  <c r="O332" i="41" s="1"/>
  <c r="O334" i="41" s="1"/>
  <c r="O336" i="41" s="1"/>
  <c r="O392" i="41" s="1"/>
  <c r="L141" i="105"/>
  <c r="H118" i="105"/>
  <c r="H108" i="105"/>
  <c r="N330" i="41"/>
  <c r="N332" i="41" s="1"/>
  <c r="N334" i="41" s="1"/>
  <c r="N336" i="41" s="1"/>
  <c r="N392" i="41" s="1"/>
  <c r="AD249" i="41"/>
  <c r="AD267" i="41" s="1"/>
  <c r="AD272" i="41" s="1"/>
  <c r="AD277" i="41" s="1"/>
  <c r="AD282" i="41" s="1"/>
  <c r="AD251" i="41"/>
  <c r="AD269" i="41" s="1"/>
  <c r="AD274" i="41" s="1"/>
  <c r="AD279" i="41" s="1"/>
  <c r="AD284" i="41" s="1"/>
  <c r="AD362" i="41" s="1"/>
  <c r="AD364" i="41" s="1"/>
  <c r="AD366" i="41" s="1"/>
  <c r="AD250" i="41"/>
  <c r="AD268" i="41" s="1"/>
  <c r="AD273" i="41" s="1"/>
  <c r="AD278" i="41" s="1"/>
  <c r="AD283" i="41" s="1"/>
  <c r="W68" i="82"/>
  <c r="W207" i="105"/>
  <c r="W80" i="82" s="1"/>
  <c r="W206" i="105"/>
  <c r="AA251" i="41"/>
  <c r="AA269" i="41" s="1"/>
  <c r="AA274" i="41" s="1"/>
  <c r="AA249" i="41"/>
  <c r="AA267" i="41" s="1"/>
  <c r="AA272" i="41" s="1"/>
  <c r="AA250" i="41"/>
  <c r="AA268" i="41" s="1"/>
  <c r="AA273" i="41" s="1"/>
  <c r="M251" i="41"/>
  <c r="M269" i="41" s="1"/>
  <c r="M274" i="41" s="1"/>
  <c r="M279" i="41" s="1"/>
  <c r="M284" i="41" s="1"/>
  <c r="M362" i="41" s="1"/>
  <c r="M364" i="41" s="1"/>
  <c r="M366" i="41" s="1"/>
  <c r="M249" i="41"/>
  <c r="M267" i="41" s="1"/>
  <c r="M272" i="41" s="1"/>
  <c r="M277" i="41" s="1"/>
  <c r="M282" i="41" s="1"/>
  <c r="M250" i="41"/>
  <c r="M268" i="41" s="1"/>
  <c r="M273" i="41" s="1"/>
  <c r="M278" i="41" s="1"/>
  <c r="M283" i="41" s="1"/>
  <c r="M405" i="41"/>
  <c r="M414" i="41" s="1"/>
  <c r="M34" i="65" s="1"/>
  <c r="M112" i="65" s="1"/>
  <c r="V250" i="41"/>
  <c r="V268" i="41" s="1"/>
  <c r="V273" i="41" s="1"/>
  <c r="V251" i="41"/>
  <c r="V269" i="41" s="1"/>
  <c r="V274" i="41" s="1"/>
  <c r="V249" i="41"/>
  <c r="V267" i="41" s="1"/>
  <c r="V272" i="41" s="1"/>
  <c r="P250" i="41"/>
  <c r="P268" i="41" s="1"/>
  <c r="P273" i="41" s="1"/>
  <c r="P278" i="41" s="1"/>
  <c r="P283" i="41" s="1"/>
  <c r="P249" i="41"/>
  <c r="P267" i="41" s="1"/>
  <c r="P272" i="41" s="1"/>
  <c r="P277" i="41" s="1"/>
  <c r="P282" i="41" s="1"/>
  <c r="P251" i="41"/>
  <c r="P269" i="41" s="1"/>
  <c r="P274" i="41" s="1"/>
  <c r="P279" i="41" s="1"/>
  <c r="P284" i="41" s="1"/>
  <c r="P362" i="41" s="1"/>
  <c r="P364" i="41" s="1"/>
  <c r="P366" i="41" s="1"/>
  <c r="AF250" i="41"/>
  <c r="AF268" i="41" s="1"/>
  <c r="AF273" i="41" s="1"/>
  <c r="AF278" i="41" s="1"/>
  <c r="AF283" i="41" s="1"/>
  <c r="AF251" i="41"/>
  <c r="AF269" i="41" s="1"/>
  <c r="AF274" i="41" s="1"/>
  <c r="AF279" i="41" s="1"/>
  <c r="AF284" i="41" s="1"/>
  <c r="AF362" i="41" s="1"/>
  <c r="AF364" i="41" s="1"/>
  <c r="AF366" i="41" s="1"/>
  <c r="AF249" i="41"/>
  <c r="AF267" i="41" s="1"/>
  <c r="AF272" i="41" s="1"/>
  <c r="AF277" i="41" s="1"/>
  <c r="AF282" i="41" s="1"/>
  <c r="H424" i="41"/>
  <c r="AL68" i="82"/>
  <c r="AN207" i="105"/>
  <c r="AL80" i="82" s="1"/>
  <c r="K146" i="105"/>
  <c r="K69" i="82" s="1"/>
  <c r="K174" i="105"/>
  <c r="K71" i="82" s="1"/>
  <c r="AB68" i="82"/>
  <c r="AB207" i="105"/>
  <c r="AB80" i="82" s="1"/>
  <c r="AB206" i="105"/>
  <c r="Y251" i="41"/>
  <c r="Y269" i="41" s="1"/>
  <c r="Y274" i="41" s="1"/>
  <c r="Y249" i="41"/>
  <c r="Y267" i="41" s="1"/>
  <c r="Y272" i="41" s="1"/>
  <c r="Y250" i="41"/>
  <c r="Y268" i="41" s="1"/>
  <c r="Y273" i="41" s="1"/>
  <c r="O298" i="41"/>
  <c r="O300" i="41" s="1"/>
  <c r="O302" i="41" s="1"/>
  <c r="O304" i="41" s="1"/>
  <c r="O391" i="41" s="1"/>
  <c r="S249" i="41"/>
  <c r="S267" i="41" s="1"/>
  <c r="S272" i="41" s="1"/>
  <c r="S251" i="41"/>
  <c r="S269" i="41" s="1"/>
  <c r="S274" i="41" s="1"/>
  <c r="S250" i="41"/>
  <c r="S268" i="41" s="1"/>
  <c r="S273" i="41" s="1"/>
  <c r="J249" i="41"/>
  <c r="J250" i="41"/>
  <c r="J251" i="41"/>
  <c r="J274" i="41"/>
  <c r="J279" i="41" s="1"/>
  <c r="J284" i="41" s="1"/>
  <c r="J362" i="41" s="1"/>
  <c r="J364" i="41" s="1"/>
  <c r="J366" i="41" s="1"/>
  <c r="J368" i="41" s="1"/>
  <c r="J393" i="41" s="1"/>
  <c r="J405" i="41"/>
  <c r="J414" i="41" s="1"/>
  <c r="J34" i="65" s="1"/>
  <c r="J112" i="65" s="1"/>
  <c r="J269" i="41"/>
  <c r="J267" i="41"/>
  <c r="J272" i="41" s="1"/>
  <c r="J277" i="41" s="1"/>
  <c r="J282" i="41" s="1"/>
  <c r="J268" i="41"/>
  <c r="J273" i="41" s="1"/>
  <c r="J278" i="41" s="1"/>
  <c r="J283" i="41" s="1"/>
  <c r="U249" i="41"/>
  <c r="U267" i="41" s="1"/>
  <c r="U272" i="41" s="1"/>
  <c r="U250" i="41"/>
  <c r="U268" i="41" s="1"/>
  <c r="U273" i="41" s="1"/>
  <c r="U251" i="41"/>
  <c r="U269" i="41" s="1"/>
  <c r="U274" i="41" s="1"/>
  <c r="L68" i="82"/>
  <c r="L207" i="105"/>
  <c r="L80" i="82" s="1"/>
  <c r="L206" i="105"/>
  <c r="L79" i="82" s="1"/>
  <c r="T250" i="41"/>
  <c r="T268" i="41" s="1"/>
  <c r="T273" i="41" s="1"/>
  <c r="T249" i="41"/>
  <c r="T267" i="41" s="1"/>
  <c r="T272" i="41"/>
  <c r="T251" i="41"/>
  <c r="T269" i="41" s="1"/>
  <c r="T274" i="41" s="1"/>
  <c r="AE250" i="41"/>
  <c r="AE268" i="41" s="1"/>
  <c r="AE273" i="41" s="1"/>
  <c r="AE278" i="41" s="1"/>
  <c r="AE283" i="41" s="1"/>
  <c r="AE249" i="41"/>
  <c r="AE267" i="41" s="1"/>
  <c r="AE272" i="41" s="1"/>
  <c r="AE277" i="41" s="1"/>
  <c r="AE282" i="41" s="1"/>
  <c r="AE251" i="41"/>
  <c r="AE269" i="41" s="1"/>
  <c r="AE274" i="41" s="1"/>
  <c r="AE279" i="41" s="1"/>
  <c r="AE284" i="41" s="1"/>
  <c r="AE362" i="41" s="1"/>
  <c r="AE364" i="41" s="1"/>
  <c r="AE366" i="41" s="1"/>
  <c r="O132" i="65"/>
  <c r="O161" i="65" s="1"/>
  <c r="O66" i="105" s="1"/>
  <c r="O40" i="82"/>
  <c r="O123" i="65"/>
  <c r="O152" i="65" s="1"/>
  <c r="O57" i="105" s="1"/>
  <c r="O97" i="105" s="1"/>
  <c r="O141" i="65"/>
  <c r="O170" i="65" s="1"/>
  <c r="O75" i="105" s="1"/>
  <c r="N298" i="41"/>
  <c r="N300" i="41" s="1"/>
  <c r="N302" i="41" s="1"/>
  <c r="N304" i="41" s="1"/>
  <c r="N391" i="41" s="1"/>
  <c r="R207" i="105" l="1"/>
  <c r="R80" i="82" s="1"/>
  <c r="AC330" i="41"/>
  <c r="AC332" i="41" s="1"/>
  <c r="AC334" i="41" s="1"/>
  <c r="R206" i="105"/>
  <c r="R79" i="82" s="1"/>
  <c r="AG207" i="105"/>
  <c r="AG80" i="82" s="1"/>
  <c r="AG206" i="105"/>
  <c r="AG79" i="82" s="1"/>
  <c r="AC298" i="41"/>
  <c r="AC300" i="41" s="1"/>
  <c r="AC302" i="41" s="1"/>
  <c r="AC304" i="41" s="1"/>
  <c r="AC391" i="41" s="1"/>
  <c r="AE330" i="41"/>
  <c r="AE332" i="41" s="1"/>
  <c r="AE334" i="41" s="1"/>
  <c r="AF298" i="41"/>
  <c r="AF300" i="41" s="1"/>
  <c r="AF302" i="41" s="1"/>
  <c r="AF304" i="41" s="1"/>
  <c r="AF391" i="41" s="1"/>
  <c r="M298" i="41"/>
  <c r="M300" i="41" s="1"/>
  <c r="M302" i="41" s="1"/>
  <c r="M304" i="41" s="1"/>
  <c r="M391" i="41" s="1"/>
  <c r="P298" i="41"/>
  <c r="P300" i="41" s="1"/>
  <c r="P302" i="41" s="1"/>
  <c r="P304" i="41" s="1"/>
  <c r="P391" i="41" s="1"/>
  <c r="P330" i="41"/>
  <c r="P332" i="41" s="1"/>
  <c r="P334" i="41" s="1"/>
  <c r="AD330" i="41"/>
  <c r="AD332" i="41" s="1"/>
  <c r="AD334" i="41" s="1"/>
  <c r="J141" i="65"/>
  <c r="J170" i="65" s="1"/>
  <c r="J75" i="105" s="1"/>
  <c r="J40" i="82"/>
  <c r="J132" i="65"/>
  <c r="J161" i="65" s="1"/>
  <c r="J66" i="105" s="1"/>
  <c r="J123" i="65"/>
  <c r="J152" i="65" s="1"/>
  <c r="J57" i="105" s="1"/>
  <c r="J97" i="105" s="1"/>
  <c r="X277" i="41"/>
  <c r="X282" i="41" s="1"/>
  <c r="S277" i="41"/>
  <c r="S282" i="41" s="1"/>
  <c r="O107" i="105"/>
  <c r="O184" i="105"/>
  <c r="Y279" i="41"/>
  <c r="Y284" i="41" s="1"/>
  <c r="Y362" i="41" s="1"/>
  <c r="T279" i="41"/>
  <c r="T284" i="41" s="1"/>
  <c r="T362" i="41" s="1"/>
  <c r="Z277" i="41"/>
  <c r="Z282" i="41" s="1"/>
  <c r="U277" i="41"/>
  <c r="U282" i="41" s="1"/>
  <c r="P259" i="41" a="1"/>
  <c r="P259" i="41" s="1"/>
  <c r="P264" i="41" s="1"/>
  <c r="AO259" i="41" a="1"/>
  <c r="AO259" i="41" s="1"/>
  <c r="AO264" i="41" s="1"/>
  <c r="AO400" i="41" s="1"/>
  <c r="AH259" i="41" a="1"/>
  <c r="AH259" i="41" s="1"/>
  <c r="AH264" i="41" s="1"/>
  <c r="AH400" i="41" s="1"/>
  <c r="T259" i="41" a="1"/>
  <c r="T259" i="41" s="1"/>
  <c r="T264" i="41" s="1"/>
  <c r="AI259" i="41" a="1"/>
  <c r="AI259" i="41" s="1"/>
  <c r="AI264" i="41" s="1"/>
  <c r="AI400" i="41" s="1"/>
  <c r="U259" i="41" a="1"/>
  <c r="U259" i="41" s="1"/>
  <c r="U264" i="41" s="1"/>
  <c r="Y259" i="41" a="1"/>
  <c r="Y259" i="41" s="1"/>
  <c r="Y264" i="41" s="1"/>
  <c r="AM259" i="41" a="1"/>
  <c r="AM259" i="41" s="1"/>
  <c r="AM264" i="41" s="1"/>
  <c r="AM400" i="41" s="1"/>
  <c r="AE259" i="41" a="1"/>
  <c r="AE259" i="41" s="1"/>
  <c r="AE264" i="41" s="1"/>
  <c r="AD259" i="41" a="1"/>
  <c r="AD259" i="41" s="1"/>
  <c r="AD264" i="41" s="1"/>
  <c r="AA259" i="41" a="1"/>
  <c r="AA259" i="41" s="1"/>
  <c r="AA264" i="41" s="1"/>
  <c r="AC259" i="41" a="1"/>
  <c r="AC259" i="41" s="1"/>
  <c r="AC264" i="41" s="1"/>
  <c r="K259" i="41" a="1"/>
  <c r="K259" i="41" s="1"/>
  <c r="K264" i="41" s="1"/>
  <c r="K400" i="41" s="1"/>
  <c r="AN259" i="41" a="1"/>
  <c r="AN259" i="41" s="1"/>
  <c r="AN264" i="41" s="1"/>
  <c r="AN400" i="41" s="1"/>
  <c r="W259" i="41" a="1"/>
  <c r="W259" i="41" s="1"/>
  <c r="W264" i="41" s="1"/>
  <c r="W400" i="41" s="1"/>
  <c r="O259" i="41" a="1"/>
  <c r="O259" i="41" s="1"/>
  <c r="O264" i="41" s="1"/>
  <c r="AK259" i="41" a="1"/>
  <c r="AK259" i="41" s="1"/>
  <c r="AK264" i="41" s="1"/>
  <c r="AK400" i="41" s="1"/>
  <c r="AB259" i="41" a="1"/>
  <c r="AB259" i="41" s="1"/>
  <c r="AB264" i="41" s="1"/>
  <c r="AB400" i="41" s="1"/>
  <c r="AJ259" i="41" a="1"/>
  <c r="AJ259" i="41" s="1"/>
  <c r="AJ264" i="41" s="1"/>
  <c r="AJ400" i="41" s="1"/>
  <c r="AF259" i="41" a="1"/>
  <c r="AF259" i="41" s="1"/>
  <c r="AF264" i="41" s="1"/>
  <c r="V259" i="41" a="1"/>
  <c r="V259" i="41" s="1"/>
  <c r="V264" i="41" s="1"/>
  <c r="AL259" i="41" a="1"/>
  <c r="AL259" i="41" s="1"/>
  <c r="AL264" i="41" s="1"/>
  <c r="AL400" i="41" s="1"/>
  <c r="M259" i="41" a="1"/>
  <c r="M259" i="41" s="1"/>
  <c r="M264" i="41" s="1"/>
  <c r="J259" i="41" a="1"/>
  <c r="J259" i="41" s="1"/>
  <c r="J264" i="41" s="1"/>
  <c r="L259" i="41" a="1"/>
  <c r="L259" i="41" s="1"/>
  <c r="L264" i="41" s="1"/>
  <c r="L400" i="41" s="1"/>
  <c r="S259" i="41" a="1"/>
  <c r="S259" i="41" s="1"/>
  <c r="S264" i="41" s="1"/>
  <c r="N259" i="41" a="1"/>
  <c r="N259" i="41" s="1"/>
  <c r="N264" i="41" s="1"/>
  <c r="AG259" i="41" a="1"/>
  <c r="AG259" i="41" s="1"/>
  <c r="AG264" i="41" s="1"/>
  <c r="Q259" i="41" a="1"/>
  <c r="Q259" i="41" s="1"/>
  <c r="Q264" i="41" s="1"/>
  <c r="Q400" i="41" s="1"/>
  <c r="Z259" i="41" a="1"/>
  <c r="Z259" i="41" s="1"/>
  <c r="Z264" i="41" s="1"/>
  <c r="R259" i="41" a="1"/>
  <c r="R259" i="41" s="1"/>
  <c r="R264" i="41" s="1"/>
  <c r="R400" i="41" s="1"/>
  <c r="X259" i="41" a="1"/>
  <c r="X259" i="41" s="1"/>
  <c r="X264" i="41" s="1"/>
  <c r="M123" i="65"/>
  <c r="M152" i="65" s="1"/>
  <c r="M57" i="105" s="1"/>
  <c r="M97" i="105" s="1"/>
  <c r="M141" i="65"/>
  <c r="M170" i="65" s="1"/>
  <c r="M75" i="105" s="1"/>
  <c r="M40" i="82"/>
  <c r="M132" i="65"/>
  <c r="M161" i="65" s="1"/>
  <c r="M66" i="105" s="1"/>
  <c r="Z278" i="41"/>
  <c r="Z283" i="41" s="1"/>
  <c r="U278" i="41"/>
  <c r="U283" i="41" s="1"/>
  <c r="Y277" i="41"/>
  <c r="Y282" i="41" s="1"/>
  <c r="T277" i="41"/>
  <c r="T282" i="41" s="1"/>
  <c r="J330" i="41"/>
  <c r="J332" i="41" s="1"/>
  <c r="J334" i="41" s="1"/>
  <c r="J336" i="41" s="1"/>
  <c r="J392" i="41" s="1"/>
  <c r="M258" i="41" a="1"/>
  <c r="M258" i="41" s="1"/>
  <c r="M263" i="41" s="1"/>
  <c r="T258" i="41" a="1"/>
  <c r="T258" i="41" s="1"/>
  <c r="T263" i="41" s="1"/>
  <c r="V258" i="41" a="1"/>
  <c r="V258" i="41" s="1"/>
  <c r="V263" i="41" s="1"/>
  <c r="AB258" i="41" a="1"/>
  <c r="AB258" i="41" s="1"/>
  <c r="AB263" i="41" s="1"/>
  <c r="AB399" i="41" s="1"/>
  <c r="AE258" i="41" a="1"/>
  <c r="AE258" i="41" s="1"/>
  <c r="AE263" i="41" s="1"/>
  <c r="J258" i="41" a="1"/>
  <c r="J258" i="41" s="1"/>
  <c r="J263" i="41" s="1"/>
  <c r="L258" i="41" a="1"/>
  <c r="L258" i="41" s="1"/>
  <c r="L263" i="41" s="1"/>
  <c r="L399" i="41" s="1"/>
  <c r="AN258" i="41" a="1"/>
  <c r="AN258" i="41" s="1"/>
  <c r="AN263" i="41" s="1"/>
  <c r="AN399" i="41" s="1"/>
  <c r="AI258" i="41" a="1"/>
  <c r="AI258" i="41" s="1"/>
  <c r="AI263" i="41" s="1"/>
  <c r="AI399" i="41" s="1"/>
  <c r="S258" i="41" a="1"/>
  <c r="S258" i="41" s="1"/>
  <c r="S263" i="41" s="1"/>
  <c r="AC258" i="41" a="1"/>
  <c r="AC258" i="41" s="1"/>
  <c r="AC263" i="41" s="1"/>
  <c r="AL258" i="41" a="1"/>
  <c r="AL258" i="41" s="1"/>
  <c r="AL263" i="41" s="1"/>
  <c r="AL399" i="41" s="1"/>
  <c r="X258" i="41" a="1"/>
  <c r="X258" i="41" s="1"/>
  <c r="X263" i="41" s="1"/>
  <c r="Z258" i="41" a="1"/>
  <c r="Z258" i="41" s="1"/>
  <c r="Z263" i="41" s="1"/>
  <c r="K258" i="41" a="1"/>
  <c r="K258" i="41" s="1"/>
  <c r="K263" i="41" s="1"/>
  <c r="K399" i="41" s="1"/>
  <c r="AJ258" i="41" a="1"/>
  <c r="AJ258" i="41" s="1"/>
  <c r="AJ263" i="41" s="1"/>
  <c r="AJ399" i="41" s="1"/>
  <c r="P258" i="41" a="1"/>
  <c r="P258" i="41" s="1"/>
  <c r="P263" i="41" s="1"/>
  <c r="AG258" i="41" a="1"/>
  <c r="AG258" i="41" s="1"/>
  <c r="AG263" i="41" s="1"/>
  <c r="AK258" i="41" a="1"/>
  <c r="AK258" i="41" s="1"/>
  <c r="AK263" i="41" s="1"/>
  <c r="AK399" i="41" s="1"/>
  <c r="R258" i="41" a="1"/>
  <c r="R258" i="41" s="1"/>
  <c r="R263" i="41" s="1"/>
  <c r="R399" i="41" s="1"/>
  <c r="AM258" i="41" a="1"/>
  <c r="AM258" i="41" s="1"/>
  <c r="AM263" i="41" s="1"/>
  <c r="AM399" i="41" s="1"/>
  <c r="AA258" i="41" a="1"/>
  <c r="AA258" i="41" s="1"/>
  <c r="AA263" i="41" s="1"/>
  <c r="AH258" i="41" a="1"/>
  <c r="AH258" i="41" s="1"/>
  <c r="AH263" i="41" s="1"/>
  <c r="AH399" i="41" s="1"/>
  <c r="U258" i="41" a="1"/>
  <c r="U258" i="41" s="1"/>
  <c r="U263" i="41" s="1"/>
  <c r="AD258" i="41" a="1"/>
  <c r="AD258" i="41" s="1"/>
  <c r="AD263" i="41" s="1"/>
  <c r="AF258" i="41" a="1"/>
  <c r="AF258" i="41" s="1"/>
  <c r="AF263" i="41" s="1"/>
  <c r="AO258" i="41" a="1"/>
  <c r="AO258" i="41" s="1"/>
  <c r="AO263" i="41" s="1"/>
  <c r="AO399" i="41" s="1"/>
  <c r="O258" i="41" a="1"/>
  <c r="O258" i="41" s="1"/>
  <c r="O263" i="41" s="1"/>
  <c r="Q258" i="41" a="1"/>
  <c r="Q258" i="41" s="1"/>
  <c r="Q263" i="41" s="1"/>
  <c r="Q399" i="41" s="1"/>
  <c r="Y258" i="41" a="1"/>
  <c r="Y258" i="41" s="1"/>
  <c r="Y263" i="41" s="1"/>
  <c r="W258" i="41" a="1"/>
  <c r="W258" i="41" s="1"/>
  <c r="W263" i="41" s="1"/>
  <c r="W399" i="41" s="1"/>
  <c r="N258" i="41" a="1"/>
  <c r="N258" i="41" s="1"/>
  <c r="N263" i="41" s="1"/>
  <c r="AF330" i="41"/>
  <c r="AF332" i="41" s="1"/>
  <c r="AF334" i="41" s="1"/>
  <c r="M330" i="41"/>
  <c r="M332" i="41" s="1"/>
  <c r="M334" i="41" s="1"/>
  <c r="J298" i="41"/>
  <c r="J300" i="41" s="1"/>
  <c r="J302" i="41" s="1"/>
  <c r="J304" i="41" s="1"/>
  <c r="J391" i="41" s="1"/>
  <c r="AE257" i="41" a="1"/>
  <c r="AE257" i="41" s="1"/>
  <c r="AE262" i="41" s="1"/>
  <c r="J257" i="41" a="1"/>
  <c r="J257" i="41" s="1"/>
  <c r="J262" i="41" s="1"/>
  <c r="AK257" i="41" a="1"/>
  <c r="AK257" i="41" s="1"/>
  <c r="AK262" i="41" s="1"/>
  <c r="AM257" i="41" a="1"/>
  <c r="AM257" i="41" s="1"/>
  <c r="AM262" i="41" s="1"/>
  <c r="Y257" i="41" a="1"/>
  <c r="Y257" i="41" s="1"/>
  <c r="Y262" i="41" s="1"/>
  <c r="AD257" i="41" a="1"/>
  <c r="AD257" i="41" s="1"/>
  <c r="AD262" i="41" s="1"/>
  <c r="W257" i="41" a="1"/>
  <c r="W257" i="41" s="1"/>
  <c r="W262" i="41" s="1"/>
  <c r="S257" i="41" a="1"/>
  <c r="S257" i="41" s="1"/>
  <c r="S262" i="41" s="1"/>
  <c r="AA257" i="41" a="1"/>
  <c r="AA257" i="41" s="1"/>
  <c r="AA262" i="41" s="1"/>
  <c r="O257" i="41" a="1"/>
  <c r="O257" i="41" s="1"/>
  <c r="O262" i="41" s="1"/>
  <c r="AH257" i="41" a="1"/>
  <c r="AH257" i="41" s="1"/>
  <c r="AH262" i="41" s="1"/>
  <c r="AJ257" i="41" a="1"/>
  <c r="AJ257" i="41" s="1"/>
  <c r="AJ262" i="41" s="1"/>
  <c r="AF257" i="41" a="1"/>
  <c r="AF257" i="41" s="1"/>
  <c r="AF262" i="41" s="1"/>
  <c r="AI257" i="41" a="1"/>
  <c r="AI257" i="41" s="1"/>
  <c r="AI262" i="41" s="1"/>
  <c r="AC257" i="41" a="1"/>
  <c r="AC257" i="41" s="1"/>
  <c r="AC262" i="41" s="1"/>
  <c r="AB257" i="41" a="1"/>
  <c r="AB257" i="41" s="1"/>
  <c r="AB262" i="41" s="1"/>
  <c r="K257" i="41" a="1"/>
  <c r="K257" i="41" s="1"/>
  <c r="K262" i="41" s="1"/>
  <c r="Z257" i="41" a="1"/>
  <c r="Z257" i="41" s="1"/>
  <c r="Z262" i="41" s="1"/>
  <c r="Q257" i="41" a="1"/>
  <c r="Q257" i="41" s="1"/>
  <c r="Q262" i="41" s="1"/>
  <c r="T257" i="41" a="1"/>
  <c r="T257" i="41" s="1"/>
  <c r="T262" i="41" s="1"/>
  <c r="X257" i="41" a="1"/>
  <c r="X257" i="41" s="1"/>
  <c r="X262" i="41" s="1"/>
  <c r="AO257" i="41" a="1"/>
  <c r="AO257" i="41" s="1"/>
  <c r="AO262" i="41" s="1"/>
  <c r="AL257" i="41" a="1"/>
  <c r="AL257" i="41" s="1"/>
  <c r="AL262" i="41" s="1"/>
  <c r="L257" i="41" a="1"/>
  <c r="L257" i="41" s="1"/>
  <c r="L262" i="41" s="1"/>
  <c r="N257" i="41" a="1"/>
  <c r="N257" i="41" s="1"/>
  <c r="N262" i="41" s="1"/>
  <c r="M257" i="41" a="1"/>
  <c r="M257" i="41" s="1"/>
  <c r="M262" i="41" s="1"/>
  <c r="AN257" i="41" a="1"/>
  <c r="AN257" i="41" s="1"/>
  <c r="AN262" i="41" s="1"/>
  <c r="V257" i="41" a="1"/>
  <c r="V257" i="41" s="1"/>
  <c r="V262" i="41" s="1"/>
  <c r="U257" i="41" a="1"/>
  <c r="U257" i="41" s="1"/>
  <c r="U262" i="41" s="1"/>
  <c r="AG257" i="41" a="1"/>
  <c r="AG257" i="41" s="1"/>
  <c r="AG262" i="41" s="1"/>
  <c r="R257" i="41" a="1"/>
  <c r="R257" i="41" s="1"/>
  <c r="R262" i="41" s="1"/>
  <c r="P257" i="41" a="1"/>
  <c r="P257" i="41" s="1"/>
  <c r="P262" i="41" s="1"/>
  <c r="AA278" i="41"/>
  <c r="AA283" i="41" s="1"/>
  <c r="V278" i="41"/>
  <c r="V283" i="41" s="1"/>
  <c r="AD298" i="41"/>
  <c r="AD300" i="41" s="1"/>
  <c r="AD302" i="41" s="1"/>
  <c r="AD304" i="41" s="1"/>
  <c r="AD391" i="41" s="1"/>
  <c r="T278" i="41"/>
  <c r="T283" i="41" s="1"/>
  <c r="T330" i="41" s="1"/>
  <c r="Y278" i="41"/>
  <c r="Y283" i="41" s="1"/>
  <c r="Z279" i="41"/>
  <c r="Z284" i="41" s="1"/>
  <c r="Z362" i="41" s="1"/>
  <c r="U279" i="41"/>
  <c r="U284" i="41" s="1"/>
  <c r="U362" i="41" s="1"/>
  <c r="S279" i="41"/>
  <c r="S284" i="41" s="1"/>
  <c r="S362" i="41" s="1"/>
  <c r="X279" i="41"/>
  <c r="X284" i="41" s="1"/>
  <c r="X362" i="41" s="1"/>
  <c r="AA279" i="41"/>
  <c r="AA284" i="41" s="1"/>
  <c r="AA362" i="41" s="1"/>
  <c r="V279" i="41"/>
  <c r="V284" i="41" s="1"/>
  <c r="V362" i="41" s="1"/>
  <c r="O195" i="105"/>
  <c r="O117" i="105"/>
  <c r="AE298" i="41"/>
  <c r="AE300" i="41" s="1"/>
  <c r="AE302" i="41" s="1"/>
  <c r="AE304" i="41" s="1"/>
  <c r="AE391" i="41" s="1"/>
  <c r="S278" i="41"/>
  <c r="S283" i="41" s="1"/>
  <c r="X278" i="41"/>
  <c r="X283" i="41" s="1"/>
  <c r="V277" i="41"/>
  <c r="V282" i="41" s="1"/>
  <c r="AA277" i="41"/>
  <c r="AA282" i="41" s="1"/>
  <c r="N405" i="41"/>
  <c r="N414" i="41" s="1"/>
  <c r="N34" i="65" s="1"/>
  <c r="N112" i="65" s="1"/>
  <c r="S330" i="41" l="1"/>
  <c r="X330" i="41"/>
  <c r="Y330" i="41"/>
  <c r="T332" i="41" s="1"/>
  <c r="T334" i="41" s="1"/>
  <c r="Z364" i="41"/>
  <c r="Z366" i="41" s="1"/>
  <c r="U364" i="41"/>
  <c r="U366" i="41" s="1"/>
  <c r="AC307" i="41"/>
  <c r="AC353" i="41"/>
  <c r="AC355" i="41" s="1"/>
  <c r="AC357" i="41" s="1"/>
  <c r="AC359" i="41" s="1"/>
  <c r="AC368" i="41" s="1"/>
  <c r="AC393" i="41" s="1"/>
  <c r="AC321" i="41"/>
  <c r="AC323" i="41" s="1"/>
  <c r="AC325" i="41" s="1"/>
  <c r="AC327" i="41" s="1"/>
  <c r="AC336" i="41" s="1"/>
  <c r="AD308" i="41"/>
  <c r="U353" i="41"/>
  <c r="U355" i="41" s="1"/>
  <c r="U321" i="41"/>
  <c r="U323" i="41" s="1"/>
  <c r="AL398" i="41"/>
  <c r="AL422" i="41" s="1"/>
  <c r="AL426" i="41" s="1"/>
  <c r="AL321" i="41"/>
  <c r="AL323" i="41" s="1"/>
  <c r="AL353" i="41"/>
  <c r="AL355" i="41" s="1"/>
  <c r="K353" i="41"/>
  <c r="K355" i="41" s="1"/>
  <c r="K321" i="41"/>
  <c r="K323" i="41" s="1"/>
  <c r="K398" i="41"/>
  <c r="K422" i="41" s="1"/>
  <c r="K426" i="41" s="1"/>
  <c r="AH321" i="41"/>
  <c r="AH323" i="41" s="1"/>
  <c r="AH353" i="41"/>
  <c r="AH355" i="41" s="1"/>
  <c r="AH398" i="41"/>
  <c r="AH422" i="41" s="1"/>
  <c r="AH426" i="41" s="1"/>
  <c r="Y321" i="41"/>
  <c r="Y323" i="41" s="1"/>
  <c r="Y353" i="41"/>
  <c r="Y355" i="41" s="1"/>
  <c r="M195" i="105"/>
  <c r="M117" i="105"/>
  <c r="N309" i="41"/>
  <c r="N341" i="41"/>
  <c r="AE309" i="41"/>
  <c r="S298" i="41"/>
  <c r="V364" i="41"/>
  <c r="V366" i="41" s="1"/>
  <c r="AA364" i="41"/>
  <c r="AA366" i="41" s="1"/>
  <c r="S364" i="41"/>
  <c r="S366" i="41" s="1"/>
  <c r="X364" i="41"/>
  <c r="X366" i="41" s="1"/>
  <c r="V330" i="41"/>
  <c r="V353" i="41"/>
  <c r="V355" i="41" s="1"/>
  <c r="V321" i="41"/>
  <c r="V323" i="41" s="1"/>
  <c r="AO353" i="41"/>
  <c r="AO355" i="41" s="1"/>
  <c r="AO321" i="41"/>
  <c r="AO323" i="41" s="1"/>
  <c r="AO398" i="41"/>
  <c r="AO422" i="41" s="1"/>
  <c r="AO426" i="41" s="1"/>
  <c r="AB353" i="41"/>
  <c r="AB355" i="41" s="1"/>
  <c r="AB321" i="41"/>
  <c r="AB323" i="41" s="1"/>
  <c r="AB398" i="41"/>
  <c r="AB422" i="41" s="1"/>
  <c r="AB426" i="41" s="1"/>
  <c r="O321" i="41"/>
  <c r="O323" i="41" s="1"/>
  <c r="O325" i="41" s="1"/>
  <c r="O327" i="41" s="1"/>
  <c r="O307" i="41"/>
  <c r="O353" i="41"/>
  <c r="O355" i="41" s="1"/>
  <c r="O357" i="41" s="1"/>
  <c r="O359" i="41" s="1"/>
  <c r="O368" i="41" s="1"/>
  <c r="O393" i="41" s="1"/>
  <c r="AM398" i="41"/>
  <c r="AM422" i="41" s="1"/>
  <c r="AM426" i="41" s="1"/>
  <c r="AM321" i="41"/>
  <c r="AM323" i="41" s="1"/>
  <c r="AM353" i="41"/>
  <c r="AM355" i="41" s="1"/>
  <c r="N340" i="41"/>
  <c r="N308" i="41"/>
  <c r="AF308" i="41"/>
  <c r="AF309" i="41"/>
  <c r="X298" i="41"/>
  <c r="AN353" i="41"/>
  <c r="AN355" i="41" s="1"/>
  <c r="AN398" i="41"/>
  <c r="AN422" i="41" s="1"/>
  <c r="AN426" i="41" s="1"/>
  <c r="AN321" i="41"/>
  <c r="AN323" i="41" s="1"/>
  <c r="P309" i="41"/>
  <c r="P321" i="41"/>
  <c r="P323" i="41" s="1"/>
  <c r="P325" i="41" s="1"/>
  <c r="P327" i="41" s="1"/>
  <c r="P336" i="41" s="1"/>
  <c r="P353" i="41"/>
  <c r="P355" i="41" s="1"/>
  <c r="P357" i="41" s="1"/>
  <c r="P359" i="41" s="1"/>
  <c r="P368" i="41" s="1"/>
  <c r="P393" i="41" s="1"/>
  <c r="P307" i="41"/>
  <c r="M321" i="41"/>
  <c r="M323" i="41" s="1"/>
  <c r="M325" i="41" s="1"/>
  <c r="M327" i="41" s="1"/>
  <c r="M336" i="41" s="1"/>
  <c r="M392" i="41" s="1"/>
  <c r="M353" i="41"/>
  <c r="M355" i="41" s="1"/>
  <c r="M357" i="41" s="1"/>
  <c r="M359" i="41" s="1"/>
  <c r="M368" i="41" s="1"/>
  <c r="M393" i="41" s="1"/>
  <c r="M307" i="41"/>
  <c r="T321" i="41"/>
  <c r="T323" i="41" s="1"/>
  <c r="T353" i="41"/>
  <c r="T355" i="41" s="1"/>
  <c r="AI353" i="41"/>
  <c r="AI355" i="41" s="1"/>
  <c r="AI398" i="41"/>
  <c r="AI422" i="41" s="1"/>
  <c r="AI426" i="41" s="1"/>
  <c r="AI321" i="41"/>
  <c r="AI323" i="41" s="1"/>
  <c r="S321" i="41"/>
  <c r="S323" i="41" s="1"/>
  <c r="S353" i="41"/>
  <c r="S355" i="41" s="1"/>
  <c r="J307" i="41"/>
  <c r="J321" i="41"/>
  <c r="J323" i="41" s="1"/>
  <c r="J325" i="41" s="1"/>
  <c r="J327" i="41" s="1"/>
  <c r="J353" i="41"/>
  <c r="J355" i="41" s="1"/>
  <c r="J357" i="41" s="1"/>
  <c r="J359" i="41" s="1"/>
  <c r="AG308" i="41"/>
  <c r="AG340" i="41"/>
  <c r="J308" i="41"/>
  <c r="J340" i="41"/>
  <c r="Z330" i="41"/>
  <c r="J373" i="41"/>
  <c r="J375" i="41" s="1"/>
  <c r="J341" i="41"/>
  <c r="J309" i="41"/>
  <c r="AC309" i="41"/>
  <c r="U298" i="41"/>
  <c r="J107" i="105"/>
  <c r="J184" i="105"/>
  <c r="AA330" i="41"/>
  <c r="AA321" i="41"/>
  <c r="AA323" i="41" s="1"/>
  <c r="AA353" i="41"/>
  <c r="AA355" i="41" s="1"/>
  <c r="AA298" i="41"/>
  <c r="R353" i="41"/>
  <c r="R355" i="41" s="1"/>
  <c r="R398" i="41"/>
  <c r="R422" i="41" s="1"/>
  <c r="R426" i="41" s="1"/>
  <c r="R321" i="41"/>
  <c r="R323" i="41" s="1"/>
  <c r="N321" i="41"/>
  <c r="N323" i="41" s="1"/>
  <c r="N325" i="41" s="1"/>
  <c r="N327" i="41" s="1"/>
  <c r="N353" i="41"/>
  <c r="N355" i="41" s="1"/>
  <c r="N357" i="41" s="1"/>
  <c r="N359" i="41" s="1"/>
  <c r="N368" i="41" s="1"/>
  <c r="N393" i="41" s="1"/>
  <c r="N307" i="41"/>
  <c r="Q353" i="41"/>
  <c r="Q355" i="41" s="1"/>
  <c r="Q321" i="41"/>
  <c r="Q323" i="41" s="1"/>
  <c r="Q398" i="41"/>
  <c r="Q422" i="41" s="1"/>
  <c r="Q426" i="41" s="1"/>
  <c r="AF321" i="41"/>
  <c r="AF323" i="41" s="1"/>
  <c r="AF325" i="41" s="1"/>
  <c r="AF327" i="41" s="1"/>
  <c r="AF336" i="41" s="1"/>
  <c r="AF392" i="41" s="1"/>
  <c r="AF353" i="41"/>
  <c r="AF355" i="41" s="1"/>
  <c r="AF357" i="41" s="1"/>
  <c r="AF359" i="41" s="1"/>
  <c r="AF368" i="41" s="1"/>
  <c r="AF393" i="41" s="1"/>
  <c r="AF307" i="41"/>
  <c r="W321" i="41"/>
  <c r="W323" i="41" s="1"/>
  <c r="W353" i="41"/>
  <c r="W355" i="41" s="1"/>
  <c r="W398" i="41"/>
  <c r="W422" i="41" s="1"/>
  <c r="W426" i="41" s="1"/>
  <c r="AE321" i="41"/>
  <c r="AE323" i="41" s="1"/>
  <c r="AE325" i="41" s="1"/>
  <c r="AE327" i="41" s="1"/>
  <c r="AE336" i="41" s="1"/>
  <c r="AE392" i="41" s="1"/>
  <c r="AE307" i="41"/>
  <c r="AE353" i="41"/>
  <c r="AE355" i="41" s="1"/>
  <c r="AE357" i="41" s="1"/>
  <c r="AE359" i="41" s="1"/>
  <c r="AE368" i="41" s="1"/>
  <c r="AE393" i="41" s="1"/>
  <c r="P308" i="41"/>
  <c r="AC308" i="41"/>
  <c r="AE308" i="41"/>
  <c r="T298" i="41"/>
  <c r="M184" i="105"/>
  <c r="M107" i="105"/>
  <c r="M309" i="41"/>
  <c r="Z298" i="41"/>
  <c r="X321" i="41"/>
  <c r="X323" i="41" s="1"/>
  <c r="X353" i="41"/>
  <c r="X355" i="41" s="1"/>
  <c r="AK398" i="41"/>
  <c r="AK422" i="41" s="1"/>
  <c r="AK426" i="41" s="1"/>
  <c r="AK353" i="41"/>
  <c r="AK355" i="41" s="1"/>
  <c r="AK321" i="41"/>
  <c r="AK323" i="41" s="1"/>
  <c r="M308" i="41"/>
  <c r="U330" i="41"/>
  <c r="V298" i="41"/>
  <c r="Y332" i="41"/>
  <c r="Y334" i="41" s="1"/>
  <c r="AG321" i="41"/>
  <c r="AG323" i="41" s="1"/>
  <c r="AG325" i="41" s="1"/>
  <c r="AG327" i="41" s="1"/>
  <c r="AG353" i="41"/>
  <c r="AG355" i="41" s="1"/>
  <c r="AG357" i="41" s="1"/>
  <c r="AG359" i="41" s="1"/>
  <c r="AG307" i="41"/>
  <c r="L353" i="41"/>
  <c r="L355" i="41" s="1"/>
  <c r="L321" i="41"/>
  <c r="L323" i="41" s="1"/>
  <c r="L398" i="41"/>
  <c r="L422" i="41" s="1"/>
  <c r="L426" i="41" s="1"/>
  <c r="Z321" i="41"/>
  <c r="Z323" i="41" s="1"/>
  <c r="Z353" i="41"/>
  <c r="Z355" i="41" s="1"/>
  <c r="AJ321" i="41"/>
  <c r="AJ323" i="41" s="1"/>
  <c r="AJ353" i="41"/>
  <c r="AJ355" i="41" s="1"/>
  <c r="AJ398" i="41"/>
  <c r="AJ422" i="41" s="1"/>
  <c r="AJ426" i="41" s="1"/>
  <c r="AD321" i="41"/>
  <c r="AD323" i="41" s="1"/>
  <c r="AD325" i="41" s="1"/>
  <c r="AD327" i="41" s="1"/>
  <c r="AD336" i="41" s="1"/>
  <c r="AD353" i="41"/>
  <c r="AD355" i="41" s="1"/>
  <c r="AD357" i="41" s="1"/>
  <c r="AD359" i="41" s="1"/>
  <c r="AD368" i="41" s="1"/>
  <c r="AD393" i="41" s="1"/>
  <c r="AD307" i="41"/>
  <c r="O340" i="41"/>
  <c r="O308" i="41"/>
  <c r="Y298" i="41"/>
  <c r="AG373" i="41"/>
  <c r="AG375" i="41" s="1"/>
  <c r="AG386" i="41" s="1"/>
  <c r="AG341" i="41"/>
  <c r="AG309" i="41"/>
  <c r="O309" i="41"/>
  <c r="O341" i="41"/>
  <c r="AD309" i="41"/>
  <c r="T364" i="41"/>
  <c r="T366" i="41" s="1"/>
  <c r="Y364" i="41"/>
  <c r="Y366" i="41" s="1"/>
  <c r="J195" i="105"/>
  <c r="J117" i="105"/>
  <c r="N123" i="65"/>
  <c r="N152" i="65" s="1"/>
  <c r="N57" i="105" s="1"/>
  <c r="N97" i="105" s="1"/>
  <c r="N40" i="82"/>
  <c r="N132" i="65"/>
  <c r="N161" i="65" s="1"/>
  <c r="N66" i="105" s="1"/>
  <c r="N141" i="65"/>
  <c r="N170" i="65" s="1"/>
  <c r="N75" i="105" s="1"/>
  <c r="S332" i="41" l="1"/>
  <c r="S334" i="41" s="1"/>
  <c r="S336" i="41" s="1"/>
  <c r="S392" i="41" s="1"/>
  <c r="X332" i="41"/>
  <c r="X334" i="41" s="1"/>
  <c r="AD392" i="41"/>
  <c r="AD340" i="41"/>
  <c r="AD341" i="41"/>
  <c r="AC392" i="41"/>
  <c r="AC340" i="41"/>
  <c r="AC341" i="41"/>
  <c r="P392" i="41"/>
  <c r="P341" i="41"/>
  <c r="P340" i="41"/>
  <c r="Z368" i="41"/>
  <c r="Z393" i="41" s="1"/>
  <c r="O373" i="41"/>
  <c r="O375" i="41" s="1"/>
  <c r="O386" i="41" s="1"/>
  <c r="M341" i="41"/>
  <c r="AF311" i="41"/>
  <c r="AF384" i="41" s="1"/>
  <c r="M373" i="41"/>
  <c r="M375" i="41" s="1"/>
  <c r="M386" i="41" s="1"/>
  <c r="M340" i="41"/>
  <c r="N343" i="41"/>
  <c r="N385" i="41" s="1"/>
  <c r="AE340" i="41"/>
  <c r="N311" i="41"/>
  <c r="N384" i="41" s="1"/>
  <c r="AG343" i="41"/>
  <c r="AG385" i="41" s="1"/>
  <c r="M311" i="41"/>
  <c r="M384" i="41" s="1"/>
  <c r="AF341" i="41"/>
  <c r="AC311" i="41"/>
  <c r="AC384" i="41" s="1"/>
  <c r="AD373" i="41"/>
  <c r="AD375" i="41" s="1"/>
  <c r="AD386" i="41" s="1"/>
  <c r="J311" i="41"/>
  <c r="J384" i="41" s="1"/>
  <c r="O343" i="41"/>
  <c r="O385" i="41" s="1"/>
  <c r="AA325" i="41"/>
  <c r="AA327" i="41" s="1"/>
  <c r="V325" i="41"/>
  <c r="V327" i="41" s="1"/>
  <c r="Z325" i="41"/>
  <c r="Z327" i="41" s="1"/>
  <c r="U325" i="41"/>
  <c r="U327" i="41" s="1"/>
  <c r="U300" i="41"/>
  <c r="U302" i="41" s="1"/>
  <c r="U304" i="41" s="1"/>
  <c r="Z300" i="41"/>
  <c r="Z302" i="41" s="1"/>
  <c r="Z304" i="41" s="1"/>
  <c r="J343" i="41"/>
  <c r="J385" i="41" s="1"/>
  <c r="X325" i="41"/>
  <c r="X327" i="41" s="1"/>
  <c r="S325" i="41"/>
  <c r="S327" i="41" s="1"/>
  <c r="P373" i="41"/>
  <c r="P375" i="41" s="1"/>
  <c r="P386" i="41" s="1"/>
  <c r="O311" i="41"/>
  <c r="O384" i="41" s="1"/>
  <c r="AE341" i="41"/>
  <c r="T300" i="41"/>
  <c r="T302" i="41" s="1"/>
  <c r="T304" i="41" s="1"/>
  <c r="Y300" i="41"/>
  <c r="Y302" i="41" s="1"/>
  <c r="Y304" i="41" s="1"/>
  <c r="J386" i="41"/>
  <c r="AL325" i="41"/>
  <c r="AL327" i="41" s="1"/>
  <c r="Q325" i="41"/>
  <c r="Q327" i="41" s="1"/>
  <c r="AK325" i="41"/>
  <c r="AK327" i="41" s="1"/>
  <c r="AI325" i="41"/>
  <c r="AI327" i="41" s="1"/>
  <c r="AH325" i="41"/>
  <c r="AH327" i="41" s="1"/>
  <c r="AN325" i="41"/>
  <c r="AN327" i="41" s="1"/>
  <c r="AJ325" i="41"/>
  <c r="AJ327" i="41" s="1"/>
  <c r="R325" i="41"/>
  <c r="R327" i="41" s="1"/>
  <c r="AM325" i="41"/>
  <c r="AM327" i="41" s="1"/>
  <c r="AB325" i="41"/>
  <c r="AB327" i="41" s="1"/>
  <c r="K325" i="41"/>
  <c r="K327" i="41" s="1"/>
  <c r="AO325" i="41"/>
  <c r="AO327" i="41" s="1"/>
  <c r="W325" i="41"/>
  <c r="W327" i="41" s="1"/>
  <c r="L325" i="41"/>
  <c r="L327" i="41" s="1"/>
  <c r="U332" i="41"/>
  <c r="U334" i="41" s="1"/>
  <c r="Z332" i="41"/>
  <c r="Z334" i="41" s="1"/>
  <c r="Z336" i="41" s="1"/>
  <c r="Y325" i="41"/>
  <c r="Y327" i="41" s="1"/>
  <c r="Y336" i="41" s="1"/>
  <c r="T325" i="41"/>
  <c r="T327" i="41" s="1"/>
  <c r="T336" i="41" s="1"/>
  <c r="AD311" i="41"/>
  <c r="AD384" i="41" s="1"/>
  <c r="AG311" i="41"/>
  <c r="AG384" i="41" s="1"/>
  <c r="AC373" i="41"/>
  <c r="AC375" i="41" s="1"/>
  <c r="AC386" i="41" s="1"/>
  <c r="AF373" i="41"/>
  <c r="AF375" i="41" s="1"/>
  <c r="AF386" i="41" s="1"/>
  <c r="AF340" i="41"/>
  <c r="V357" i="41"/>
  <c r="V359" i="41" s="1"/>
  <c r="V368" i="41" s="1"/>
  <c r="AA357" i="41"/>
  <c r="AA359" i="41" s="1"/>
  <c r="AA368" i="41" s="1"/>
  <c r="S300" i="41"/>
  <c r="S302" i="41" s="1"/>
  <c r="S304" i="41" s="1"/>
  <c r="X300" i="41"/>
  <c r="X302" i="41" s="1"/>
  <c r="X304" i="41" s="1"/>
  <c r="AB357" i="41"/>
  <c r="AB359" i="41" s="1"/>
  <c r="AN357" i="41"/>
  <c r="AN359" i="41" s="1"/>
  <c r="W357" i="41"/>
  <c r="W359" i="41" s="1"/>
  <c r="K357" i="41"/>
  <c r="K359" i="41" s="1"/>
  <c r="AH357" i="41"/>
  <c r="AH359" i="41" s="1"/>
  <c r="Q357" i="41"/>
  <c r="Q359" i="41" s="1"/>
  <c r="AO357" i="41"/>
  <c r="AO359" i="41" s="1"/>
  <c r="AJ357" i="41"/>
  <c r="AJ359" i="41" s="1"/>
  <c r="AM357" i="41"/>
  <c r="AM359" i="41" s="1"/>
  <c r="AL357" i="41"/>
  <c r="AL359" i="41" s="1"/>
  <c r="R357" i="41"/>
  <c r="R359" i="41" s="1"/>
  <c r="AK357" i="41"/>
  <c r="AK359" i="41" s="1"/>
  <c r="AI357" i="41"/>
  <c r="AI359" i="41" s="1"/>
  <c r="L357" i="41"/>
  <c r="L359" i="41" s="1"/>
  <c r="Z357" i="41"/>
  <c r="Z359" i="41" s="1"/>
  <c r="U357" i="41"/>
  <c r="U359" i="41" s="1"/>
  <c r="U368" i="41" s="1"/>
  <c r="V300" i="41"/>
  <c r="V302" i="41" s="1"/>
  <c r="V304" i="41" s="1"/>
  <c r="AA300" i="41"/>
  <c r="AA302" i="41" s="1"/>
  <c r="AA304" i="41" s="1"/>
  <c r="AE311" i="41"/>
  <c r="AE384" i="41" s="1"/>
  <c r="X357" i="41"/>
  <c r="X359" i="41" s="1"/>
  <c r="X368" i="41" s="1"/>
  <c r="S357" i="41"/>
  <c r="S359" i="41" s="1"/>
  <c r="S368" i="41" s="1"/>
  <c r="Y357" i="41"/>
  <c r="Y359" i="41" s="1"/>
  <c r="Y368" i="41" s="1"/>
  <c r="T357" i="41"/>
  <c r="T359" i="41" s="1"/>
  <c r="T368" i="41" s="1"/>
  <c r="P311" i="41"/>
  <c r="P384" i="41" s="1"/>
  <c r="V332" i="41"/>
  <c r="V334" i="41" s="1"/>
  <c r="V336" i="41" s="1"/>
  <c r="AA332" i="41"/>
  <c r="AA334" i="41" s="1"/>
  <c r="AE373" i="41"/>
  <c r="AE375" i="41" s="1"/>
  <c r="AE386" i="41" s="1"/>
  <c r="N373" i="41"/>
  <c r="N375" i="41" s="1"/>
  <c r="N386" i="41" s="1"/>
  <c r="P172" i="105"/>
  <c r="P70" i="82" s="1"/>
  <c r="AE172" i="105"/>
  <c r="AE70" i="82" s="1"/>
  <c r="O172" i="105"/>
  <c r="O70" i="82" s="1"/>
  <c r="M172" i="105"/>
  <c r="M70" i="82" s="1"/>
  <c r="N184" i="105"/>
  <c r="N107" i="105"/>
  <c r="N195" i="105"/>
  <c r="N117" i="105"/>
  <c r="X336" i="41" l="1"/>
  <c r="X340" i="41" s="1"/>
  <c r="AG388" i="41"/>
  <c r="AG395" i="41" s="1"/>
  <c r="AG398" i="41" s="1"/>
  <c r="AD343" i="41"/>
  <c r="AD385" i="41" s="1"/>
  <c r="AD388" i="41" s="1"/>
  <c r="AD395" i="41" s="1"/>
  <c r="AD398" i="41" s="1"/>
  <c r="AD405" i="41" s="1"/>
  <c r="AD414" i="41" s="1"/>
  <c r="AD34" i="65" s="1"/>
  <c r="AD112" i="65" s="1"/>
  <c r="AC343" i="41"/>
  <c r="AC385" i="41" s="1"/>
  <c r="AC388" i="41" s="1"/>
  <c r="AC395" i="41" s="1"/>
  <c r="P343" i="41"/>
  <c r="P385" i="41" s="1"/>
  <c r="P388" i="41" s="1"/>
  <c r="P395" i="41" s="1"/>
  <c r="AA336" i="41"/>
  <c r="AA340" i="41" s="1"/>
  <c r="Y391" i="41"/>
  <c r="Y307" i="41"/>
  <c r="Y308" i="41"/>
  <c r="Y309" i="41"/>
  <c r="Z373" i="41"/>
  <c r="Z375" i="41" s="1"/>
  <c r="Z386" i="41" s="1"/>
  <c r="S340" i="41"/>
  <c r="U336" i="41"/>
  <c r="U340" i="41" s="1"/>
  <c r="S341" i="41"/>
  <c r="O388" i="41"/>
  <c r="O395" i="41" s="1"/>
  <c r="O400" i="41" s="1"/>
  <c r="O403" i="41" s="1"/>
  <c r="O412" i="41" s="1"/>
  <c r="O32" i="65" s="1"/>
  <c r="O110" i="65" s="1"/>
  <c r="AE343" i="41"/>
  <c r="AE385" i="41" s="1"/>
  <c r="AE388" i="41" s="1"/>
  <c r="AE395" i="41" s="1"/>
  <c r="AE399" i="41" s="1"/>
  <c r="AE404" i="41" s="1"/>
  <c r="AE413" i="41" s="1"/>
  <c r="AE33" i="65" s="1"/>
  <c r="AE111" i="65" s="1"/>
  <c r="M343" i="41"/>
  <c r="M385" i="41" s="1"/>
  <c r="M388" i="41" s="1"/>
  <c r="M395" i="41" s="1"/>
  <c r="AF343" i="41"/>
  <c r="AF385" i="41" s="1"/>
  <c r="AF388" i="41" s="1"/>
  <c r="AF395" i="41" s="1"/>
  <c r="N388" i="41"/>
  <c r="N395" i="41" s="1"/>
  <c r="N399" i="41" s="1"/>
  <c r="N404" i="41" s="1"/>
  <c r="N413" i="41" s="1"/>
  <c r="N33" i="65" s="1"/>
  <c r="N111" i="65" s="1"/>
  <c r="J388" i="41"/>
  <c r="J395" i="41" s="1"/>
  <c r="J400" i="41" s="1"/>
  <c r="J403" i="41" s="1"/>
  <c r="J412" i="41" s="1"/>
  <c r="J32" i="65" s="1"/>
  <c r="J110" i="65" s="1"/>
  <c r="S391" i="41"/>
  <c r="S308" i="41"/>
  <c r="S309" i="41"/>
  <c r="S307" i="41"/>
  <c r="T392" i="41"/>
  <c r="T341" i="41"/>
  <c r="T340" i="41"/>
  <c r="T393" i="41"/>
  <c r="T373" i="41"/>
  <c r="T375" i="41" s="1"/>
  <c r="T386" i="41" s="1"/>
  <c r="AA391" i="41"/>
  <c r="AA307" i="41"/>
  <c r="AA309" i="41"/>
  <c r="AA308" i="41"/>
  <c r="U393" i="41"/>
  <c r="U373" i="41"/>
  <c r="U375" i="41" s="1"/>
  <c r="U386" i="41" s="1"/>
  <c r="AA393" i="41"/>
  <c r="AA373" i="41"/>
  <c r="AA375" i="41" s="1"/>
  <c r="AA386" i="41" s="1"/>
  <c r="Y392" i="41"/>
  <c r="Y341" i="41"/>
  <c r="Y340" i="41"/>
  <c r="T391" i="41"/>
  <c r="T308" i="41"/>
  <c r="T307" i="41"/>
  <c r="T309" i="41"/>
  <c r="V391" i="41"/>
  <c r="V309" i="41"/>
  <c r="V308" i="41"/>
  <c r="V307" i="41"/>
  <c r="AG400" i="41"/>
  <c r="AG399" i="41"/>
  <c r="S393" i="41"/>
  <c r="S373" i="41"/>
  <c r="S375" i="41" s="1"/>
  <c r="S386" i="41" s="1"/>
  <c r="Z392" i="41"/>
  <c r="Z340" i="41"/>
  <c r="Z341" i="41"/>
  <c r="Z391" i="41"/>
  <c r="Z307" i="41"/>
  <c r="Z308" i="41"/>
  <c r="Z309" i="41"/>
  <c r="X393" i="41"/>
  <c r="X373" i="41"/>
  <c r="X375" i="41" s="1"/>
  <c r="X386" i="41" s="1"/>
  <c r="U391" i="41"/>
  <c r="U307" i="41"/>
  <c r="U308" i="41"/>
  <c r="U309" i="41"/>
  <c r="Y393" i="41"/>
  <c r="Y373" i="41"/>
  <c r="Y375" i="41" s="1"/>
  <c r="Y386" i="41" s="1"/>
  <c r="V393" i="41"/>
  <c r="V373" i="41"/>
  <c r="V375" i="41" s="1"/>
  <c r="V386" i="41" s="1"/>
  <c r="V392" i="41"/>
  <c r="V341" i="41"/>
  <c r="V340" i="41"/>
  <c r="X391" i="41"/>
  <c r="X309" i="41"/>
  <c r="X308" i="41"/>
  <c r="X307" i="41"/>
  <c r="U172" i="105"/>
  <c r="U70" i="82" s="1"/>
  <c r="T172" i="105"/>
  <c r="T70" i="82" s="1"/>
  <c r="X341" i="41" l="1"/>
  <c r="X343" i="41" s="1"/>
  <c r="X385" i="41" s="1"/>
  <c r="X392" i="41"/>
  <c r="AA341" i="41"/>
  <c r="AA343" i="41" s="1"/>
  <c r="AA385" i="41" s="1"/>
  <c r="AA392" i="41"/>
  <c r="AC398" i="41"/>
  <c r="AC405" i="41" s="1"/>
  <c r="AC414" i="41" s="1"/>
  <c r="AC34" i="65" s="1"/>
  <c r="AC112" i="65" s="1"/>
  <c r="AC141" i="65" s="1"/>
  <c r="AC170" i="65" s="1"/>
  <c r="AC75" i="105" s="1"/>
  <c r="AC400" i="41"/>
  <c r="AC403" i="41" s="1"/>
  <c r="AC412" i="41" s="1"/>
  <c r="AC32" i="65" s="1"/>
  <c r="AC110" i="65" s="1"/>
  <c r="AC139" i="65" s="1"/>
  <c r="AC168" i="65" s="1"/>
  <c r="AC73" i="105" s="1"/>
  <c r="Y311" i="41"/>
  <c r="Y384" i="41" s="1"/>
  <c r="O398" i="41"/>
  <c r="U341" i="41"/>
  <c r="U343" i="41" s="1"/>
  <c r="U385" i="41" s="1"/>
  <c r="S343" i="41"/>
  <c r="S385" i="41" s="1"/>
  <c r="U392" i="41"/>
  <c r="AD40" i="82"/>
  <c r="AD123" i="65"/>
  <c r="AD152" i="65" s="1"/>
  <c r="AD57" i="105" s="1"/>
  <c r="AD97" i="105" s="1"/>
  <c r="AD141" i="65"/>
  <c r="AD170" i="65" s="1"/>
  <c r="AD75" i="105" s="1"/>
  <c r="AC399" i="41"/>
  <c r="AC404" i="41" s="1"/>
  <c r="AC413" i="41" s="1"/>
  <c r="AC33" i="65" s="1"/>
  <c r="AC111" i="65" s="1"/>
  <c r="AC140" i="65" s="1"/>
  <c r="AC169" i="65" s="1"/>
  <c r="AC74" i="105" s="1"/>
  <c r="O399" i="41"/>
  <c r="O404" i="41" s="1"/>
  <c r="O413" i="41" s="1"/>
  <c r="O33" i="65" s="1"/>
  <c r="O111" i="65" s="1"/>
  <c r="O122" i="65" s="1"/>
  <c r="O151" i="65" s="1"/>
  <c r="O56" i="105" s="1"/>
  <c r="O96" i="105" s="1"/>
  <c r="AF399" i="41"/>
  <c r="AF404" i="41" s="1"/>
  <c r="AF413" i="41" s="1"/>
  <c r="AF33" i="65" s="1"/>
  <c r="AF111" i="65" s="1"/>
  <c r="AF122" i="65" s="1"/>
  <c r="AF151" i="65" s="1"/>
  <c r="AF56" i="105" s="1"/>
  <c r="AF96" i="105" s="1"/>
  <c r="AF400" i="41"/>
  <c r="AF403" i="41" s="1"/>
  <c r="AF412" i="41" s="1"/>
  <c r="AF32" i="65" s="1"/>
  <c r="AF110" i="65" s="1"/>
  <c r="AF38" i="82" s="1"/>
  <c r="N400" i="41"/>
  <c r="N403" i="41" s="1"/>
  <c r="N412" i="41" s="1"/>
  <c r="N32" i="65" s="1"/>
  <c r="N110" i="65" s="1"/>
  <c r="N121" i="65" s="1"/>
  <c r="N150" i="65" s="1"/>
  <c r="N55" i="105" s="1"/>
  <c r="N95" i="105" s="1"/>
  <c r="M400" i="41"/>
  <c r="M403" i="41" s="1"/>
  <c r="M412" i="41" s="1"/>
  <c r="M32" i="65" s="1"/>
  <c r="M110" i="65" s="1"/>
  <c r="M130" i="65" s="1"/>
  <c r="M159" i="65" s="1"/>
  <c r="M64" i="105" s="1"/>
  <c r="M182" i="105" s="1"/>
  <c r="M398" i="41"/>
  <c r="M399" i="41"/>
  <c r="M404" i="41" s="1"/>
  <c r="M413" i="41" s="1"/>
  <c r="M33" i="65" s="1"/>
  <c r="M111" i="65" s="1"/>
  <c r="M39" i="82" s="1"/>
  <c r="AF398" i="41"/>
  <c r="AF405" i="41" s="1"/>
  <c r="AF414" i="41" s="1"/>
  <c r="AF34" i="65" s="1"/>
  <c r="AF112" i="65" s="1"/>
  <c r="N398" i="41"/>
  <c r="AD400" i="41"/>
  <c r="AD403" i="41" s="1"/>
  <c r="AD412" i="41" s="1"/>
  <c r="AD32" i="65" s="1"/>
  <c r="AD110" i="65" s="1"/>
  <c r="AD121" i="65" s="1"/>
  <c r="AD150" i="65" s="1"/>
  <c r="AD55" i="105" s="1"/>
  <c r="AD95" i="105" s="1"/>
  <c r="AD399" i="41"/>
  <c r="AD404" i="41" s="1"/>
  <c r="AD413" i="41" s="1"/>
  <c r="AD33" i="65" s="1"/>
  <c r="AD111" i="65" s="1"/>
  <c r="AD140" i="65" s="1"/>
  <c r="AD169" i="65" s="1"/>
  <c r="AD74" i="105" s="1"/>
  <c r="AE398" i="41"/>
  <c r="AE405" i="41" s="1"/>
  <c r="AE414" i="41" s="1"/>
  <c r="AE34" i="65" s="1"/>
  <c r="AE112" i="65" s="1"/>
  <c r="AE400" i="41"/>
  <c r="AE403" i="41" s="1"/>
  <c r="AE412" i="41" s="1"/>
  <c r="AE32" i="65" s="1"/>
  <c r="AE110" i="65" s="1"/>
  <c r="AE121" i="65" s="1"/>
  <c r="AE150" i="65" s="1"/>
  <c r="AE55" i="105" s="1"/>
  <c r="AE95" i="105" s="1"/>
  <c r="J399" i="41"/>
  <c r="J404" i="41" s="1"/>
  <c r="J413" i="41" s="1"/>
  <c r="J33" i="65" s="1"/>
  <c r="J111" i="65" s="1"/>
  <c r="J140" i="65" s="1"/>
  <c r="J169" i="65" s="1"/>
  <c r="J74" i="105" s="1"/>
  <c r="H428" i="41"/>
  <c r="Y343" i="41"/>
  <c r="Y385" i="41" s="1"/>
  <c r="J398" i="41"/>
  <c r="Z343" i="41"/>
  <c r="Z385" i="41" s="1"/>
  <c r="AG422" i="41"/>
  <c r="AG426" i="41" s="1"/>
  <c r="V311" i="41"/>
  <c r="V384" i="41" s="1"/>
  <c r="N140" i="65"/>
  <c r="N169" i="65" s="1"/>
  <c r="N74" i="105" s="1"/>
  <c r="N122" i="65"/>
  <c r="N151" i="65" s="1"/>
  <c r="N56" i="105" s="1"/>
  <c r="N96" i="105" s="1"/>
  <c r="N39" i="82"/>
  <c r="N131" i="65"/>
  <c r="N160" i="65" s="1"/>
  <c r="N65" i="105" s="1"/>
  <c r="P398" i="41"/>
  <c r="P405" i="41" s="1"/>
  <c r="P414" i="41" s="1"/>
  <c r="P34" i="65" s="1"/>
  <c r="P112" i="65" s="1"/>
  <c r="P400" i="41"/>
  <c r="P403" i="41" s="1"/>
  <c r="P412" i="41" s="1"/>
  <c r="P32" i="65" s="1"/>
  <c r="P110" i="65" s="1"/>
  <c r="P399" i="41"/>
  <c r="P404" i="41" s="1"/>
  <c r="P413" i="41" s="1"/>
  <c r="P33" i="65" s="1"/>
  <c r="P111" i="65" s="1"/>
  <c r="V343" i="41"/>
  <c r="V385" i="41" s="1"/>
  <c r="T343" i="41"/>
  <c r="T385" i="41" s="1"/>
  <c r="AE39" i="82"/>
  <c r="AE140" i="65"/>
  <c r="AE169" i="65" s="1"/>
  <c r="AE74" i="105" s="1"/>
  <c r="AE122" i="65"/>
  <c r="AE151" i="65" s="1"/>
  <c r="AE56" i="105" s="1"/>
  <c r="AE96" i="105" s="1"/>
  <c r="T311" i="41"/>
  <c r="T384" i="41" s="1"/>
  <c r="AA311" i="41"/>
  <c r="AA384" i="41" s="1"/>
  <c r="O38" i="82"/>
  <c r="O139" i="65"/>
  <c r="O168" i="65" s="1"/>
  <c r="O73" i="105" s="1"/>
  <c r="O130" i="65"/>
  <c r="O159" i="65" s="1"/>
  <c r="O64" i="105" s="1"/>
  <c r="O121" i="65"/>
  <c r="O150" i="65" s="1"/>
  <c r="O55" i="105" s="1"/>
  <c r="O95" i="105" s="1"/>
  <c r="Z311" i="41"/>
  <c r="Z384" i="41" s="1"/>
  <c r="S311" i="41"/>
  <c r="J121" i="65"/>
  <c r="J150" i="65" s="1"/>
  <c r="J55" i="105" s="1"/>
  <c r="J95" i="105" s="1"/>
  <c r="J139" i="65"/>
  <c r="J168" i="65" s="1"/>
  <c r="J73" i="105" s="1"/>
  <c r="J193" i="105" s="1"/>
  <c r="J130" i="65"/>
  <c r="J159" i="65" s="1"/>
  <c r="J64" i="105" s="1"/>
  <c r="J182" i="105" s="1"/>
  <c r="J38" i="82"/>
  <c r="X311" i="41"/>
  <c r="X384" i="41" s="1"/>
  <c r="U311" i="41"/>
  <c r="U384" i="41" s="1"/>
  <c r="AC38" i="82" l="1"/>
  <c r="AC121" i="65"/>
  <c r="AC150" i="65" s="1"/>
  <c r="AC55" i="105" s="1"/>
  <c r="AC95" i="105" s="1"/>
  <c r="AC40" i="82"/>
  <c r="Y388" i="41"/>
  <c r="Y395" i="41" s="1"/>
  <c r="Y399" i="41" s="1"/>
  <c r="Y404" i="41" s="1"/>
  <c r="Y413" i="41" s="1"/>
  <c r="Y33" i="65" s="1"/>
  <c r="Y111" i="65" s="1"/>
  <c r="AC123" i="65"/>
  <c r="AC152" i="65" s="1"/>
  <c r="AC57" i="105" s="1"/>
  <c r="AC97" i="105" s="1"/>
  <c r="X388" i="41"/>
  <c r="X395" i="41" s="1"/>
  <c r="X399" i="41" s="1"/>
  <c r="X404" i="41" s="1"/>
  <c r="X413" i="41" s="1"/>
  <c r="X33" i="65" s="1"/>
  <c r="X111" i="65" s="1"/>
  <c r="O39" i="82"/>
  <c r="O131" i="65"/>
  <c r="O160" i="65" s="1"/>
  <c r="O65" i="105" s="1"/>
  <c r="O183" i="105" s="1"/>
  <c r="AC422" i="41"/>
  <c r="AC426" i="41" s="1"/>
  <c r="O422" i="41"/>
  <c r="O426" i="41" s="1"/>
  <c r="AC39" i="82"/>
  <c r="O140" i="65"/>
  <c r="O169" i="65" s="1"/>
  <c r="O74" i="105" s="1"/>
  <c r="O194" i="105" s="1"/>
  <c r="AF39" i="82"/>
  <c r="AC122" i="65"/>
  <c r="AC151" i="65" s="1"/>
  <c r="AC56" i="105" s="1"/>
  <c r="AC96" i="105" s="1"/>
  <c r="AF141" i="65"/>
  <c r="AF170" i="65" s="1"/>
  <c r="AF75" i="105" s="1"/>
  <c r="AF123" i="65"/>
  <c r="AF152" i="65" s="1"/>
  <c r="AF57" i="105" s="1"/>
  <c r="AF97" i="105" s="1"/>
  <c r="AF40" i="82"/>
  <c r="AD195" i="105"/>
  <c r="AD117" i="105"/>
  <c r="P132" i="65"/>
  <c r="P161" i="65" s="1"/>
  <c r="P66" i="105" s="1"/>
  <c r="P141" i="65"/>
  <c r="P170" i="65" s="1"/>
  <c r="P75" i="105" s="1"/>
  <c r="P40" i="82"/>
  <c r="P123" i="65"/>
  <c r="P152" i="65" s="1"/>
  <c r="P57" i="105" s="1"/>
  <c r="P97" i="105" s="1"/>
  <c r="AC117" i="105"/>
  <c r="AC195" i="105"/>
  <c r="AE123" i="65"/>
  <c r="AE152" i="65" s="1"/>
  <c r="AE57" i="105" s="1"/>
  <c r="AE97" i="105" s="1"/>
  <c r="AE102" i="105" s="1"/>
  <c r="AE141" i="65"/>
  <c r="AE170" i="65" s="1"/>
  <c r="AE75" i="105" s="1"/>
  <c r="AE40" i="82"/>
  <c r="AF121" i="65"/>
  <c r="AF150" i="65" s="1"/>
  <c r="AF55" i="105" s="1"/>
  <c r="AF95" i="105" s="1"/>
  <c r="N139" i="65"/>
  <c r="N168" i="65" s="1"/>
  <c r="N73" i="105" s="1"/>
  <c r="N115" i="105" s="1"/>
  <c r="M139" i="65"/>
  <c r="M168" i="65" s="1"/>
  <c r="M73" i="105" s="1"/>
  <c r="M115" i="105" s="1"/>
  <c r="AF140" i="65"/>
  <c r="AF169" i="65" s="1"/>
  <c r="AF74" i="105" s="1"/>
  <c r="AF116" i="105" s="1"/>
  <c r="AF139" i="65"/>
  <c r="AF168" i="65" s="1"/>
  <c r="AF73" i="105" s="1"/>
  <c r="AF115" i="105" s="1"/>
  <c r="M105" i="105"/>
  <c r="N130" i="65"/>
  <c r="N159" i="65" s="1"/>
  <c r="N64" i="105" s="1"/>
  <c r="N105" i="105" s="1"/>
  <c r="O102" i="105"/>
  <c r="O174" i="105" s="1"/>
  <c r="O71" i="82" s="1"/>
  <c r="N422" i="41"/>
  <c r="N426" i="41" s="1"/>
  <c r="Z388" i="41"/>
  <c r="Z395" i="41" s="1"/>
  <c r="Z399" i="41" s="1"/>
  <c r="Z404" i="41" s="1"/>
  <c r="Z413" i="41" s="1"/>
  <c r="Z33" i="65" s="1"/>
  <c r="Z111" i="65" s="1"/>
  <c r="J39" i="82"/>
  <c r="AE139" i="65"/>
  <c r="AE168" i="65" s="1"/>
  <c r="AE73" i="105" s="1"/>
  <c r="AE193" i="105" s="1"/>
  <c r="M422" i="41"/>
  <c r="M426" i="41" s="1"/>
  <c r="M121" i="65"/>
  <c r="M150" i="65" s="1"/>
  <c r="M55" i="105" s="1"/>
  <c r="M95" i="105" s="1"/>
  <c r="AF422" i="41"/>
  <c r="AF426" i="41" s="1"/>
  <c r="J122" i="65"/>
  <c r="J151" i="65" s="1"/>
  <c r="J56" i="105" s="1"/>
  <c r="J96" i="105" s="1"/>
  <c r="J102" i="105" s="1"/>
  <c r="M38" i="82"/>
  <c r="AE422" i="41"/>
  <c r="AE426" i="41" s="1"/>
  <c r="AE38" i="82"/>
  <c r="J115" i="105"/>
  <c r="M140" i="65"/>
  <c r="M169" i="65" s="1"/>
  <c r="M74" i="105" s="1"/>
  <c r="M194" i="105" s="1"/>
  <c r="AD122" i="65"/>
  <c r="AD151" i="65" s="1"/>
  <c r="AD56" i="105" s="1"/>
  <c r="AD96" i="105" s="1"/>
  <c r="AD102" i="105" s="1"/>
  <c r="AD38" i="82"/>
  <c r="N38" i="82"/>
  <c r="M122" i="65"/>
  <c r="M151" i="65" s="1"/>
  <c r="M56" i="105" s="1"/>
  <c r="M96" i="105" s="1"/>
  <c r="U388" i="41"/>
  <c r="U395" i="41" s="1"/>
  <c r="U399" i="41" s="1"/>
  <c r="U404" i="41" s="1"/>
  <c r="U413" i="41" s="1"/>
  <c r="U33" i="65" s="1"/>
  <c r="U111" i="65" s="1"/>
  <c r="AD422" i="41"/>
  <c r="AD426" i="41" s="1"/>
  <c r="AD39" i="82"/>
  <c r="V388" i="41"/>
  <c r="V395" i="41" s="1"/>
  <c r="V398" i="41" s="1"/>
  <c r="V405" i="41" s="1"/>
  <c r="V414" i="41" s="1"/>
  <c r="V34" i="65" s="1"/>
  <c r="V112" i="65" s="1"/>
  <c r="M131" i="65"/>
  <c r="M160" i="65" s="1"/>
  <c r="M65" i="105" s="1"/>
  <c r="M183" i="105" s="1"/>
  <c r="M189" i="105" s="1"/>
  <c r="AD139" i="65"/>
  <c r="AD168" i="65" s="1"/>
  <c r="AD73" i="105" s="1"/>
  <c r="AD115" i="105" s="1"/>
  <c r="J131" i="65"/>
  <c r="J160" i="65" s="1"/>
  <c r="J65" i="105" s="1"/>
  <c r="J183" i="105" s="1"/>
  <c r="J189" i="105" s="1"/>
  <c r="J422" i="41"/>
  <c r="J426" i="41" s="1"/>
  <c r="J105" i="105"/>
  <c r="AA388" i="41"/>
  <c r="AA395" i="41" s="1"/>
  <c r="AA398" i="41" s="1"/>
  <c r="AA405" i="41" s="1"/>
  <c r="AA414" i="41" s="1"/>
  <c r="AA34" i="65" s="1"/>
  <c r="AA112" i="65" s="1"/>
  <c r="AD194" i="105"/>
  <c r="AD116" i="105"/>
  <c r="AC116" i="105"/>
  <c r="AC194" i="105"/>
  <c r="N106" i="105"/>
  <c r="N183" i="105"/>
  <c r="P39" i="82"/>
  <c r="P131" i="65"/>
  <c r="P160" i="65" s="1"/>
  <c r="P65" i="105" s="1"/>
  <c r="P140" i="65"/>
  <c r="P169" i="65" s="1"/>
  <c r="P74" i="105" s="1"/>
  <c r="P122" i="65"/>
  <c r="P151" i="65" s="1"/>
  <c r="P56" i="105" s="1"/>
  <c r="P96" i="105" s="1"/>
  <c r="J116" i="105"/>
  <c r="J194" i="105"/>
  <c r="J200" i="105" s="1"/>
  <c r="AC193" i="105"/>
  <c r="AC115" i="105"/>
  <c r="AE116" i="105"/>
  <c r="AE194" i="105"/>
  <c r="O193" i="105"/>
  <c r="O115" i="105"/>
  <c r="N102" i="105"/>
  <c r="P422" i="41"/>
  <c r="P426" i="41" s="1"/>
  <c r="N194" i="105"/>
  <c r="N116" i="105"/>
  <c r="O182" i="105"/>
  <c r="O105" i="105"/>
  <c r="P38" i="82"/>
  <c r="P130" i="65"/>
  <c r="P159" i="65" s="1"/>
  <c r="P64" i="105" s="1"/>
  <c r="P121" i="65"/>
  <c r="P150" i="65" s="1"/>
  <c r="P55" i="105" s="1"/>
  <c r="P95" i="105" s="1"/>
  <c r="P139" i="65"/>
  <c r="P168" i="65" s="1"/>
  <c r="P73" i="105" s="1"/>
  <c r="S384" i="41"/>
  <c r="S388" i="41" s="1"/>
  <c r="S395" i="41" s="1"/>
  <c r="T388" i="41"/>
  <c r="T395" i="41" s="1"/>
  <c r="Y398" i="41" l="1"/>
  <c r="Y405" i="41" s="1"/>
  <c r="Y414" i="41" s="1"/>
  <c r="Y34" i="65" s="1"/>
  <c r="Y112" i="65" s="1"/>
  <c r="Y400" i="41"/>
  <c r="Y403" i="41" s="1"/>
  <c r="Y412" i="41" s="1"/>
  <c r="Y32" i="65" s="1"/>
  <c r="Y110" i="65" s="1"/>
  <c r="Y121" i="65" s="1"/>
  <c r="Y150" i="65" s="1"/>
  <c r="Y55" i="105" s="1"/>
  <c r="Y95" i="105" s="1"/>
  <c r="AC102" i="105"/>
  <c r="AC140" i="105" s="1"/>
  <c r="X400" i="41"/>
  <c r="X403" i="41" s="1"/>
  <c r="X412" i="41" s="1"/>
  <c r="X32" i="65" s="1"/>
  <c r="X110" i="65" s="1"/>
  <c r="X121" i="65" s="1"/>
  <c r="X150" i="65" s="1"/>
  <c r="X55" i="105" s="1"/>
  <c r="X95" i="105" s="1"/>
  <c r="X398" i="41"/>
  <c r="X405" i="41" s="1"/>
  <c r="X414" i="41" s="1"/>
  <c r="X34" i="65" s="1"/>
  <c r="X112" i="65" s="1"/>
  <c r="X141" i="65" s="1"/>
  <c r="X170" i="65" s="1"/>
  <c r="X75" i="105" s="1"/>
  <c r="AF194" i="105"/>
  <c r="O106" i="105"/>
  <c r="O112" i="105" s="1"/>
  <c r="Z398" i="41"/>
  <c r="Z405" i="41" s="1"/>
  <c r="Z414" i="41" s="1"/>
  <c r="Z34" i="65" s="1"/>
  <c r="Z112" i="65" s="1"/>
  <c r="Z123" i="65" s="1"/>
  <c r="Z152" i="65" s="1"/>
  <c r="Z57" i="105" s="1"/>
  <c r="Z97" i="105" s="1"/>
  <c r="Z400" i="41"/>
  <c r="Z403" i="41" s="1"/>
  <c r="Z412" i="41" s="1"/>
  <c r="Z32" i="65" s="1"/>
  <c r="Z110" i="65" s="1"/>
  <c r="Z38" i="82" s="1"/>
  <c r="V399" i="41"/>
  <c r="V404" i="41" s="1"/>
  <c r="V413" i="41" s="1"/>
  <c r="V33" i="65" s="1"/>
  <c r="V111" i="65" s="1"/>
  <c r="V39" i="82" s="1"/>
  <c r="N193" i="105"/>
  <c r="N200" i="105" s="1"/>
  <c r="M102" i="105"/>
  <c r="M174" i="105" s="1"/>
  <c r="M71" i="82" s="1"/>
  <c r="O116" i="105"/>
  <c r="O122" i="105" s="1"/>
  <c r="AF102" i="105"/>
  <c r="AF146" i="105" s="1"/>
  <c r="AF69" i="82" s="1"/>
  <c r="P184" i="105"/>
  <c r="P107" i="105"/>
  <c r="AA123" i="65"/>
  <c r="AA152" i="65" s="1"/>
  <c r="AA57" i="105" s="1"/>
  <c r="AA97" i="105" s="1"/>
  <c r="AA40" i="82"/>
  <c r="AA141" i="65"/>
  <c r="AA170" i="65" s="1"/>
  <c r="AA75" i="105" s="1"/>
  <c r="V141" i="65"/>
  <c r="V170" i="65" s="1"/>
  <c r="V75" i="105" s="1"/>
  <c r="V132" i="65"/>
  <c r="V161" i="65" s="1"/>
  <c r="V66" i="105" s="1"/>
  <c r="V123" i="65"/>
  <c r="V152" i="65" s="1"/>
  <c r="V57" i="105" s="1"/>
  <c r="V97" i="105" s="1"/>
  <c r="V40" i="82"/>
  <c r="Y40" i="82"/>
  <c r="Y141" i="65"/>
  <c r="Y170" i="65" s="1"/>
  <c r="Y75" i="105" s="1"/>
  <c r="Y123" i="65"/>
  <c r="Y152" i="65" s="1"/>
  <c r="Y57" i="105" s="1"/>
  <c r="Y97" i="105" s="1"/>
  <c r="M193" i="105"/>
  <c r="M200" i="105" s="1"/>
  <c r="AE117" i="105"/>
  <c r="AE195" i="105"/>
  <c r="AE200" i="105" s="1"/>
  <c r="P195" i="105"/>
  <c r="P117" i="105"/>
  <c r="AF195" i="105"/>
  <c r="AF117" i="105"/>
  <c r="AF122" i="105" s="1"/>
  <c r="N182" i="105"/>
  <c r="N189" i="105" s="1"/>
  <c r="AF193" i="105"/>
  <c r="O146" i="105"/>
  <c r="O69" i="82" s="1"/>
  <c r="V400" i="41"/>
  <c r="V403" i="41" s="1"/>
  <c r="V412" i="41" s="1"/>
  <c r="V32" i="65" s="1"/>
  <c r="V110" i="65" s="1"/>
  <c r="V130" i="65" s="1"/>
  <c r="V159" i="65" s="1"/>
  <c r="V64" i="105" s="1"/>
  <c r="O140" i="105"/>
  <c r="O68" i="82" s="1"/>
  <c r="AE115" i="105"/>
  <c r="N112" i="105"/>
  <c r="N147" i="105" s="1"/>
  <c r="J122" i="105"/>
  <c r="J142" i="105" s="1"/>
  <c r="J106" i="105"/>
  <c r="J112" i="105" s="1"/>
  <c r="J141" i="105" s="1"/>
  <c r="U400" i="41"/>
  <c r="U403" i="41" s="1"/>
  <c r="U412" i="41" s="1"/>
  <c r="U32" i="65" s="1"/>
  <c r="U110" i="65" s="1"/>
  <c r="U139" i="65" s="1"/>
  <c r="U168" i="65" s="1"/>
  <c r="U73" i="105" s="1"/>
  <c r="AD193" i="105"/>
  <c r="AD200" i="105" s="1"/>
  <c r="U398" i="41"/>
  <c r="U405" i="41" s="1"/>
  <c r="U414" i="41" s="1"/>
  <c r="U34" i="65" s="1"/>
  <c r="U112" i="65" s="1"/>
  <c r="M116" i="105"/>
  <c r="M122" i="105" s="1"/>
  <c r="M148" i="105" s="1"/>
  <c r="AD146" i="105"/>
  <c r="AD69" i="82" s="1"/>
  <c r="AD174" i="105"/>
  <c r="AD71" i="82" s="1"/>
  <c r="AD122" i="105"/>
  <c r="AD142" i="105" s="1"/>
  <c r="M106" i="105"/>
  <c r="M112" i="105" s="1"/>
  <c r="M147" i="105" s="1"/>
  <c r="AA399" i="41"/>
  <c r="AA404" i="41" s="1"/>
  <c r="AA413" i="41" s="1"/>
  <c r="AA33" i="65" s="1"/>
  <c r="AA111" i="65" s="1"/>
  <c r="AA39" i="82" s="1"/>
  <c r="AA400" i="41"/>
  <c r="AA403" i="41" s="1"/>
  <c r="AA412" i="41" s="1"/>
  <c r="AA32" i="65" s="1"/>
  <c r="AA110" i="65" s="1"/>
  <c r="AA38" i="82" s="1"/>
  <c r="AC122" i="105"/>
  <c r="AC142" i="105" s="1"/>
  <c r="AC200" i="105"/>
  <c r="AD140" i="105"/>
  <c r="AD68" i="82" s="1"/>
  <c r="Y39" i="82"/>
  <c r="Y122" i="65"/>
  <c r="Y151" i="65" s="1"/>
  <c r="Y56" i="105" s="1"/>
  <c r="Y96" i="105" s="1"/>
  <c r="Y140" i="65"/>
  <c r="Y169" i="65" s="1"/>
  <c r="Y74" i="105" s="1"/>
  <c r="P105" i="105"/>
  <c r="P182" i="105"/>
  <c r="AE174" i="105"/>
  <c r="AE71" i="82" s="1"/>
  <c r="AE146" i="105"/>
  <c r="AE69" i="82" s="1"/>
  <c r="AE140" i="105"/>
  <c r="Y38" i="82"/>
  <c r="Y139" i="65"/>
  <c r="Y168" i="65" s="1"/>
  <c r="Y73" i="105" s="1"/>
  <c r="P116" i="105"/>
  <c r="P194" i="105"/>
  <c r="Y422" i="41"/>
  <c r="Y426" i="41" s="1"/>
  <c r="N174" i="105"/>
  <c r="N71" i="82" s="1"/>
  <c r="N140" i="105"/>
  <c r="N146" i="105"/>
  <c r="N69" i="82" s="1"/>
  <c r="P106" i="105"/>
  <c r="P183" i="105"/>
  <c r="S400" i="41"/>
  <c r="S403" i="41" s="1"/>
  <c r="S412" i="41" s="1"/>
  <c r="S32" i="65" s="1"/>
  <c r="S399" i="41"/>
  <c r="S404" i="41" s="1"/>
  <c r="S413" i="41" s="1"/>
  <c r="S33" i="65" s="1"/>
  <c r="S111" i="65" s="1"/>
  <c r="S398" i="41"/>
  <c r="S405" i="41" s="1"/>
  <c r="S414" i="41" s="1"/>
  <c r="S34" i="65" s="1"/>
  <c r="S112" i="65" s="1"/>
  <c r="O189" i="105"/>
  <c r="Z140" i="65"/>
  <c r="Z169" i="65" s="1"/>
  <c r="Z74" i="105" s="1"/>
  <c r="Z39" i="82"/>
  <c r="Z122" i="65"/>
  <c r="Z151" i="65" s="1"/>
  <c r="Z56" i="105" s="1"/>
  <c r="Z96" i="105" s="1"/>
  <c r="T399" i="41"/>
  <c r="T404" i="41" s="1"/>
  <c r="T413" i="41" s="1"/>
  <c r="T33" i="65" s="1"/>
  <c r="T111" i="65" s="1"/>
  <c r="T398" i="41"/>
  <c r="T405" i="41" s="1"/>
  <c r="T414" i="41" s="1"/>
  <c r="T34" i="65" s="1"/>
  <c r="T112" i="65" s="1"/>
  <c r="T400" i="41"/>
  <c r="T403" i="41" s="1"/>
  <c r="T412" i="41" s="1"/>
  <c r="T32" i="65" s="1"/>
  <c r="T110" i="65" s="1"/>
  <c r="P115" i="105"/>
  <c r="P193" i="105"/>
  <c r="O200" i="105"/>
  <c r="X39" i="82"/>
  <c r="X140" i="65"/>
  <c r="X169" i="65" s="1"/>
  <c r="X74" i="105" s="1"/>
  <c r="X122" i="65"/>
  <c r="X151" i="65" s="1"/>
  <c r="X56" i="105" s="1"/>
  <c r="X96" i="105" s="1"/>
  <c r="P102" i="105"/>
  <c r="N122" i="105"/>
  <c r="U122" i="65"/>
  <c r="U151" i="65" s="1"/>
  <c r="U56" i="105" s="1"/>
  <c r="U96" i="105" s="1"/>
  <c r="U140" i="65"/>
  <c r="U169" i="65" s="1"/>
  <c r="U74" i="105" s="1"/>
  <c r="U39" i="82"/>
  <c r="U131" i="65"/>
  <c r="U160" i="65" s="1"/>
  <c r="U65" i="105" s="1"/>
  <c r="J140" i="105"/>
  <c r="J174" i="105"/>
  <c r="J71" i="82" s="1"/>
  <c r="J146" i="105"/>
  <c r="J69" i="82" s="1"/>
  <c r="AC146" i="105" l="1"/>
  <c r="AC69" i="82" s="1"/>
  <c r="AC174" i="105"/>
  <c r="AC71" i="82" s="1"/>
  <c r="V140" i="65"/>
  <c r="V169" i="65" s="1"/>
  <c r="V74" i="105" s="1"/>
  <c r="X139" i="65"/>
  <c r="X168" i="65" s="1"/>
  <c r="X73" i="105" s="1"/>
  <c r="X193" i="105" s="1"/>
  <c r="X422" i="41"/>
  <c r="X426" i="41" s="1"/>
  <c r="X40" i="82"/>
  <c r="X123" i="65"/>
  <c r="X152" i="65" s="1"/>
  <c r="X57" i="105" s="1"/>
  <c r="X97" i="105" s="1"/>
  <c r="X38" i="82"/>
  <c r="V131" i="65"/>
  <c r="V160" i="65" s="1"/>
  <c r="V65" i="105" s="1"/>
  <c r="V122" i="65"/>
  <c r="V151" i="65" s="1"/>
  <c r="V56" i="105" s="1"/>
  <c r="V96" i="105" s="1"/>
  <c r="Z40" i="82"/>
  <c r="Z141" i="65"/>
  <c r="Z170" i="65" s="1"/>
  <c r="Z75" i="105" s="1"/>
  <c r="Z117" i="105" s="1"/>
  <c r="Z121" i="65"/>
  <c r="Z150" i="65" s="1"/>
  <c r="Z55" i="105" s="1"/>
  <c r="Z95" i="105" s="1"/>
  <c r="Z139" i="65"/>
  <c r="Z168" i="65" s="1"/>
  <c r="Z73" i="105" s="1"/>
  <c r="Z115" i="105" s="1"/>
  <c r="Z422" i="41"/>
  <c r="Z426" i="41" s="1"/>
  <c r="M146" i="105"/>
  <c r="M69" i="82" s="1"/>
  <c r="M140" i="105"/>
  <c r="M68" i="82" s="1"/>
  <c r="AF174" i="105"/>
  <c r="AF71" i="82" s="1"/>
  <c r="AF140" i="105"/>
  <c r="AF68" i="82" s="1"/>
  <c r="AF200" i="105"/>
  <c r="AE122" i="105"/>
  <c r="AE148" i="105" s="1"/>
  <c r="Y195" i="105"/>
  <c r="Y117" i="105"/>
  <c r="U123" i="65"/>
  <c r="U152" i="65" s="1"/>
  <c r="U57" i="105" s="1"/>
  <c r="U97" i="105" s="1"/>
  <c r="U132" i="65"/>
  <c r="U161" i="65" s="1"/>
  <c r="U66" i="105" s="1"/>
  <c r="U141" i="65"/>
  <c r="U170" i="65" s="1"/>
  <c r="U75" i="105" s="1"/>
  <c r="U40" i="82"/>
  <c r="V195" i="105"/>
  <c r="V117" i="105"/>
  <c r="V184" i="105"/>
  <c r="V107" i="105"/>
  <c r="T132" i="65"/>
  <c r="T161" i="65" s="1"/>
  <c r="T66" i="105" s="1"/>
  <c r="T40" i="82"/>
  <c r="T123" i="65"/>
  <c r="T152" i="65" s="1"/>
  <c r="T57" i="105" s="1"/>
  <c r="T97" i="105" s="1"/>
  <c r="T141" i="65"/>
  <c r="T170" i="65" s="1"/>
  <c r="T75" i="105" s="1"/>
  <c r="Z195" i="105"/>
  <c r="AA117" i="105"/>
  <c r="AA195" i="105"/>
  <c r="X195" i="105"/>
  <c r="X117" i="105"/>
  <c r="S40" i="82"/>
  <c r="S123" i="65"/>
  <c r="S152" i="65" s="1"/>
  <c r="S57" i="105" s="1"/>
  <c r="S97" i="105" s="1"/>
  <c r="S141" i="65"/>
  <c r="S170" i="65" s="1"/>
  <c r="S75" i="105" s="1"/>
  <c r="S132" i="65"/>
  <c r="S161" i="65" s="1"/>
  <c r="S66" i="105" s="1"/>
  <c r="N141" i="105"/>
  <c r="V121" i="65"/>
  <c r="V150" i="65" s="1"/>
  <c r="V55" i="105" s="1"/>
  <c r="V95" i="105" s="1"/>
  <c r="V102" i="105" s="1"/>
  <c r="V139" i="65"/>
  <c r="V168" i="65" s="1"/>
  <c r="V73" i="105" s="1"/>
  <c r="V193" i="105" s="1"/>
  <c r="V38" i="82"/>
  <c r="V422" i="41"/>
  <c r="V426" i="41" s="1"/>
  <c r="U38" i="82"/>
  <c r="O207" i="105"/>
  <c r="O80" i="82" s="1"/>
  <c r="O206" i="105"/>
  <c r="O79" i="82" s="1"/>
  <c r="J148" i="105"/>
  <c r="U121" i="65"/>
  <c r="U150" i="65" s="1"/>
  <c r="U55" i="105" s="1"/>
  <c r="U95" i="105" s="1"/>
  <c r="M141" i="105"/>
  <c r="U130" i="65"/>
  <c r="U159" i="65" s="1"/>
  <c r="U64" i="105" s="1"/>
  <c r="U182" i="105" s="1"/>
  <c r="U422" i="41"/>
  <c r="U426" i="41" s="1"/>
  <c r="J147" i="105"/>
  <c r="M207" i="105"/>
  <c r="M80" i="82" s="1"/>
  <c r="AA140" i="65"/>
  <c r="AA169" i="65" s="1"/>
  <c r="AA74" i="105" s="1"/>
  <c r="AA116" i="105" s="1"/>
  <c r="AD148" i="105"/>
  <c r="M142" i="105"/>
  <c r="AD207" i="105"/>
  <c r="AD80" i="82" s="1"/>
  <c r="AA122" i="65"/>
  <c r="AA151" i="65" s="1"/>
  <c r="AA56" i="105" s="1"/>
  <c r="AA96" i="105" s="1"/>
  <c r="AA139" i="65"/>
  <c r="AA168" i="65" s="1"/>
  <c r="AA73" i="105" s="1"/>
  <c r="AA193" i="105" s="1"/>
  <c r="AA121" i="65"/>
  <c r="AA150" i="65" s="1"/>
  <c r="AA55" i="105" s="1"/>
  <c r="AA95" i="105" s="1"/>
  <c r="AA422" i="41"/>
  <c r="AA426" i="41" s="1"/>
  <c r="Y102" i="105"/>
  <c r="Y146" i="105" s="1"/>
  <c r="Y69" i="82" s="1"/>
  <c r="AD206" i="105"/>
  <c r="P189" i="105"/>
  <c r="P200" i="105"/>
  <c r="T140" i="65"/>
  <c r="T169" i="65" s="1"/>
  <c r="T74" i="105" s="1"/>
  <c r="T131" i="65"/>
  <c r="T160" i="65" s="1"/>
  <c r="T65" i="105" s="1"/>
  <c r="T39" i="82"/>
  <c r="T122" i="65"/>
  <c r="T151" i="65" s="1"/>
  <c r="T56" i="105" s="1"/>
  <c r="T96" i="105" s="1"/>
  <c r="U183" i="105"/>
  <c r="U106" i="105"/>
  <c r="O147" i="105"/>
  <c r="O141" i="105"/>
  <c r="V106" i="105"/>
  <c r="V183" i="105"/>
  <c r="Y115" i="105"/>
  <c r="Y193" i="105"/>
  <c r="N142" i="105"/>
  <c r="N148" i="105"/>
  <c r="X116" i="105"/>
  <c r="X194" i="105"/>
  <c r="V105" i="105"/>
  <c r="V182" i="105"/>
  <c r="V116" i="105"/>
  <c r="V194" i="105"/>
  <c r="P112" i="105"/>
  <c r="X102" i="105"/>
  <c r="AF148" i="105"/>
  <c r="AF142" i="105"/>
  <c r="P174" i="105"/>
  <c r="P71" i="82" s="1"/>
  <c r="P140" i="105"/>
  <c r="P146" i="105"/>
  <c r="P69" i="82" s="1"/>
  <c r="X115" i="105"/>
  <c r="O148" i="105"/>
  <c r="O142" i="105"/>
  <c r="S422" i="41"/>
  <c r="H430" i="41" a="1"/>
  <c r="H430" i="41" s="1"/>
  <c r="AE206" i="105"/>
  <c r="AE68" i="82"/>
  <c r="AE207" i="105"/>
  <c r="AE80" i="82" s="1"/>
  <c r="U116" i="105"/>
  <c r="U194" i="105"/>
  <c r="P122" i="105"/>
  <c r="AC207" i="105"/>
  <c r="AC80" i="82" s="1"/>
  <c r="AC68" i="82"/>
  <c r="AC206" i="105"/>
  <c r="Y116" i="105"/>
  <c r="Y194" i="105"/>
  <c r="Z102" i="105"/>
  <c r="T130" i="65"/>
  <c r="T159" i="65" s="1"/>
  <c r="T64" i="105" s="1"/>
  <c r="T38" i="82"/>
  <c r="T139" i="65"/>
  <c r="T168" i="65" s="1"/>
  <c r="T73" i="105" s="1"/>
  <c r="T121" i="65"/>
  <c r="T150" i="65" s="1"/>
  <c r="T55" i="105" s="1"/>
  <c r="T95" i="105" s="1"/>
  <c r="Z194" i="105"/>
  <c r="Z116" i="105"/>
  <c r="S39" i="82"/>
  <c r="S122" i="65"/>
  <c r="S151" i="65" s="1"/>
  <c r="S56" i="105" s="1"/>
  <c r="S96" i="105" s="1"/>
  <c r="S140" i="65"/>
  <c r="S169" i="65" s="1"/>
  <c r="S74" i="105" s="1"/>
  <c r="S131" i="65"/>
  <c r="S160" i="65" s="1"/>
  <c r="S65" i="105" s="1"/>
  <c r="N207" i="105"/>
  <c r="N80" i="82" s="1"/>
  <c r="N206" i="105"/>
  <c r="N79" i="82" s="1"/>
  <c r="N68" i="82"/>
  <c r="T422" i="41"/>
  <c r="T426" i="41" s="1"/>
  <c r="U115" i="105"/>
  <c r="U193" i="105"/>
  <c r="S110" i="65"/>
  <c r="J68" i="82"/>
  <c r="J207" i="105"/>
  <c r="J80" i="82" s="1"/>
  <c r="J206" i="105"/>
  <c r="J79" i="82" s="1"/>
  <c r="Z193" i="105" l="1"/>
  <c r="Z200" i="105" s="1"/>
  <c r="V115" i="105"/>
  <c r="V122" i="105" s="1"/>
  <c r="V142" i="105" s="1"/>
  <c r="M206" i="105"/>
  <c r="M79" i="82" s="1"/>
  <c r="AF206" i="105"/>
  <c r="AF207" i="105"/>
  <c r="AF80" i="82" s="1"/>
  <c r="AE142" i="105"/>
  <c r="H97" i="105"/>
  <c r="U102" i="105"/>
  <c r="U140" i="105" s="1"/>
  <c r="U68" i="82" s="1"/>
  <c r="S117" i="105"/>
  <c r="S195" i="105"/>
  <c r="T107" i="105"/>
  <c r="T184" i="105"/>
  <c r="U195" i="105"/>
  <c r="U200" i="105" s="1"/>
  <c r="U117" i="105"/>
  <c r="U122" i="105" s="1"/>
  <c r="U148" i="105" s="1"/>
  <c r="T195" i="105"/>
  <c r="T117" i="105"/>
  <c r="U107" i="105"/>
  <c r="U184" i="105"/>
  <c r="U189" i="105" s="1"/>
  <c r="S184" i="105"/>
  <c r="S107" i="105"/>
  <c r="V140" i="105"/>
  <c r="V68" i="82" s="1"/>
  <c r="V146" i="105"/>
  <c r="V69" i="82" s="1"/>
  <c r="AA194" i="105"/>
  <c r="AA200" i="105" s="1"/>
  <c r="U105" i="105"/>
  <c r="V174" i="105"/>
  <c r="V71" i="82" s="1"/>
  <c r="Y140" i="105"/>
  <c r="Y206" i="105" s="1"/>
  <c r="Y174" i="105"/>
  <c r="Y71" i="82" s="1"/>
  <c r="AA115" i="105"/>
  <c r="AA122" i="105" s="1"/>
  <c r="AA102" i="105"/>
  <c r="AA146" i="105" s="1"/>
  <c r="AA69" i="82" s="1"/>
  <c r="V200" i="105"/>
  <c r="X200" i="105"/>
  <c r="V189" i="105"/>
  <c r="X122" i="105"/>
  <c r="X142" i="105" s="1"/>
  <c r="V112" i="105"/>
  <c r="V147" i="105" s="1"/>
  <c r="T115" i="105"/>
  <c r="T193" i="105"/>
  <c r="S106" i="105"/>
  <c r="S183" i="105"/>
  <c r="T102" i="105"/>
  <c r="P147" i="105"/>
  <c r="P141" i="105"/>
  <c r="Z122" i="105"/>
  <c r="Y200" i="105"/>
  <c r="S194" i="105"/>
  <c r="S116" i="105"/>
  <c r="H96" i="105"/>
  <c r="S130" i="65"/>
  <c r="S159" i="65" s="1"/>
  <c r="S121" i="65"/>
  <c r="S139" i="65"/>
  <c r="S168" i="65" s="1"/>
  <c r="S38" i="82"/>
  <c r="T182" i="105"/>
  <c r="T105" i="105"/>
  <c r="S426" i="41"/>
  <c r="H426" i="41" s="1"/>
  <c r="H432" i="41" s="1"/>
  <c r="H422" i="41"/>
  <c r="P68" i="82"/>
  <c r="P207" i="105"/>
  <c r="P80" i="82" s="1"/>
  <c r="P206" i="105"/>
  <c r="P79" i="82" s="1"/>
  <c r="Y122" i="105"/>
  <c r="T183" i="105"/>
  <c r="T106" i="105"/>
  <c r="P142" i="105"/>
  <c r="P148" i="105"/>
  <c r="Z140" i="105"/>
  <c r="Z146" i="105"/>
  <c r="Z69" i="82" s="1"/>
  <c r="Z174" i="105"/>
  <c r="Z71" i="82" s="1"/>
  <c r="X146" i="105"/>
  <c r="X69" i="82" s="1"/>
  <c r="X174" i="105"/>
  <c r="X71" i="82" s="1"/>
  <c r="X140" i="105"/>
  <c r="T194" i="105"/>
  <c r="T116" i="105"/>
  <c r="S172" i="105"/>
  <c r="S70" i="82" s="1"/>
  <c r="U174" i="105" l="1"/>
  <c r="U71" i="82" s="1"/>
  <c r="U146" i="105"/>
  <c r="U69" i="82" s="1"/>
  <c r="H117" i="105"/>
  <c r="H107" i="105"/>
  <c r="U207" i="105"/>
  <c r="U80" i="82" s="1"/>
  <c r="V206" i="105"/>
  <c r="V79" i="82" s="1"/>
  <c r="U112" i="105"/>
  <c r="U141" i="105" s="1"/>
  <c r="V207" i="105"/>
  <c r="V80" i="82" s="1"/>
  <c r="U206" i="105"/>
  <c r="U79" i="82" s="1"/>
  <c r="Y68" i="82"/>
  <c r="Y207" i="105"/>
  <c r="Y80" i="82" s="1"/>
  <c r="AA174" i="105"/>
  <c r="AA71" i="82" s="1"/>
  <c r="AA140" i="105"/>
  <c r="AA68" i="82" s="1"/>
  <c r="U142" i="105"/>
  <c r="V148" i="105"/>
  <c r="V141" i="105"/>
  <c r="T200" i="105"/>
  <c r="S150" i="65"/>
  <c r="H178" i="65" a="1"/>
  <c r="H178" i="65" s="1"/>
  <c r="Z68" i="82"/>
  <c r="Z207" i="105"/>
  <c r="Z80" i="82" s="1"/>
  <c r="Z206" i="105"/>
  <c r="J84" i="106" a="1"/>
  <c r="S73" i="105"/>
  <c r="S64" i="105"/>
  <c r="J50" i="106" a="1"/>
  <c r="T122" i="105"/>
  <c r="H116" i="105"/>
  <c r="T140" i="105"/>
  <c r="T174" i="105"/>
  <c r="T71" i="82" s="1"/>
  <c r="T146" i="105"/>
  <c r="T69" i="82" s="1"/>
  <c r="Y142" i="105"/>
  <c r="Y148" i="105"/>
  <c r="T112" i="105"/>
  <c r="AA148" i="105"/>
  <c r="AA142" i="105"/>
  <c r="H106" i="105"/>
  <c r="A4" i="41"/>
  <c r="J60" i="55"/>
  <c r="X68" i="82"/>
  <c r="X207" i="105"/>
  <c r="X80" i="82" s="1"/>
  <c r="X206" i="105"/>
  <c r="T189" i="105"/>
  <c r="Z148" i="105"/>
  <c r="Z142" i="105"/>
  <c r="U147" i="105" l="1"/>
  <c r="AA207" i="105"/>
  <c r="AA80" i="82" s="1"/>
  <c r="AA206" i="105"/>
  <c r="K90" i="106"/>
  <c r="L113" i="106"/>
  <c r="K95" i="106"/>
  <c r="P109" i="106"/>
  <c r="P96" i="106"/>
  <c r="P104" i="106"/>
  <c r="M87" i="106"/>
  <c r="K112" i="106"/>
  <c r="N107" i="106"/>
  <c r="L109" i="106"/>
  <c r="L111" i="106"/>
  <c r="N99" i="106"/>
  <c r="O84" i="106"/>
  <c r="J95" i="106"/>
  <c r="J102" i="106"/>
  <c r="L107" i="106"/>
  <c r="P100" i="106"/>
  <c r="O112" i="106"/>
  <c r="P102" i="106"/>
  <c r="N98" i="106"/>
  <c r="M102" i="106"/>
  <c r="J91" i="106"/>
  <c r="K110" i="106"/>
  <c r="J86" i="106"/>
  <c r="N91" i="106"/>
  <c r="O98" i="106"/>
  <c r="J111" i="106"/>
  <c r="J105" i="106"/>
  <c r="J99" i="106"/>
  <c r="P97" i="106"/>
  <c r="M84" i="106"/>
  <c r="P111" i="106"/>
  <c r="O111" i="106"/>
  <c r="K103" i="106"/>
  <c r="O101" i="106"/>
  <c r="O102" i="106"/>
  <c r="M103" i="106"/>
  <c r="N87" i="106"/>
  <c r="K102" i="106"/>
  <c r="L88" i="106"/>
  <c r="J113" i="106"/>
  <c r="N94" i="106"/>
  <c r="J88" i="106"/>
  <c r="O85" i="106"/>
  <c r="K87" i="106"/>
  <c r="P99" i="106"/>
  <c r="J93" i="106"/>
  <c r="O93" i="106"/>
  <c r="M100" i="106"/>
  <c r="K105" i="106"/>
  <c r="M92" i="106"/>
  <c r="P94" i="106"/>
  <c r="M106" i="106"/>
  <c r="M99" i="106"/>
  <c r="N108" i="106"/>
  <c r="L104" i="106"/>
  <c r="O97" i="106"/>
  <c r="P112" i="106"/>
  <c r="N97" i="106"/>
  <c r="P105" i="106"/>
  <c r="P95" i="106"/>
  <c r="N105" i="106"/>
  <c r="L98" i="106"/>
  <c r="L110" i="106"/>
  <c r="O95" i="106"/>
  <c r="O90" i="106"/>
  <c r="K97" i="106"/>
  <c r="L90" i="106"/>
  <c r="L115" i="106"/>
  <c r="K98" i="106"/>
  <c r="N113" i="106"/>
  <c r="L85" i="106"/>
  <c r="M115" i="106"/>
  <c r="L106" i="106"/>
  <c r="N112" i="106"/>
  <c r="J112" i="106"/>
  <c r="L91" i="106"/>
  <c r="J106" i="106"/>
  <c r="P85" i="106"/>
  <c r="N84" i="106"/>
  <c r="K100" i="106"/>
  <c r="M94" i="106"/>
  <c r="P87" i="106"/>
  <c r="O94" i="106"/>
  <c r="O105" i="106"/>
  <c r="O100" i="106"/>
  <c r="K109" i="106"/>
  <c r="L94" i="106"/>
  <c r="K96" i="106"/>
  <c r="M111" i="106"/>
  <c r="L84" i="106"/>
  <c r="O96" i="106"/>
  <c r="N101" i="106"/>
  <c r="O92" i="106"/>
  <c r="O103" i="106"/>
  <c r="M113" i="106"/>
  <c r="K93" i="106"/>
  <c r="J114" i="106"/>
  <c r="N109" i="106"/>
  <c r="P103" i="106"/>
  <c r="M112" i="106"/>
  <c r="P115" i="106"/>
  <c r="L86" i="106"/>
  <c r="M86" i="106"/>
  <c r="M91" i="106"/>
  <c r="J84" i="106"/>
  <c r="P108" i="106"/>
  <c r="J104" i="106"/>
  <c r="O115" i="106"/>
  <c r="N95" i="106"/>
  <c r="J89" i="106"/>
  <c r="O108" i="106"/>
  <c r="N85" i="106"/>
  <c r="O110" i="106"/>
  <c r="N92" i="106"/>
  <c r="P101" i="106"/>
  <c r="N102" i="106"/>
  <c r="N114" i="106"/>
  <c r="J110" i="106"/>
  <c r="P110" i="106"/>
  <c r="L95" i="106"/>
  <c r="L89" i="106"/>
  <c r="J87" i="106"/>
  <c r="K94" i="106"/>
  <c r="P89" i="106"/>
  <c r="N90" i="106"/>
  <c r="L114" i="106"/>
  <c r="J101" i="106"/>
  <c r="J90" i="106"/>
  <c r="J109" i="106"/>
  <c r="J92" i="106"/>
  <c r="J96" i="106"/>
  <c r="K106" i="106"/>
  <c r="L105" i="106"/>
  <c r="K89" i="106"/>
  <c r="K84" i="106"/>
  <c r="O99" i="106"/>
  <c r="M104" i="106"/>
  <c r="J97" i="106"/>
  <c r="O109" i="106"/>
  <c r="J107" i="106"/>
  <c r="J115" i="106"/>
  <c r="M96" i="106"/>
  <c r="L99" i="106"/>
  <c r="O106" i="106"/>
  <c r="O113" i="106"/>
  <c r="P88" i="106"/>
  <c r="N110" i="106"/>
  <c r="J108" i="106"/>
  <c r="M90" i="106"/>
  <c r="N93" i="106"/>
  <c r="L103" i="106"/>
  <c r="K114" i="106"/>
  <c r="P113" i="106"/>
  <c r="K113" i="106"/>
  <c r="P114" i="106"/>
  <c r="M105" i="106"/>
  <c r="J98" i="106"/>
  <c r="P93" i="106"/>
  <c r="L93" i="106"/>
  <c r="M101" i="106"/>
  <c r="K104" i="106"/>
  <c r="M108" i="106"/>
  <c r="L100" i="106"/>
  <c r="M88" i="106"/>
  <c r="P98" i="106"/>
  <c r="N89" i="106"/>
  <c r="M89" i="106"/>
  <c r="N88" i="106"/>
  <c r="K92" i="106"/>
  <c r="K111" i="106"/>
  <c r="L96" i="106"/>
  <c r="N106" i="106"/>
  <c r="M97" i="106"/>
  <c r="N86" i="106"/>
  <c r="J94" i="106"/>
  <c r="L108" i="106"/>
  <c r="N100" i="106"/>
  <c r="K88" i="106"/>
  <c r="K86" i="106"/>
  <c r="M93" i="106"/>
  <c r="M114" i="106"/>
  <c r="L97" i="106"/>
  <c r="M95" i="106"/>
  <c r="N96" i="106"/>
  <c r="P90" i="106"/>
  <c r="K99" i="106"/>
  <c r="O91" i="106"/>
  <c r="M85" i="106"/>
  <c r="J100" i="106"/>
  <c r="O88" i="106"/>
  <c r="K115" i="106"/>
  <c r="M110" i="106"/>
  <c r="O107" i="106"/>
  <c r="L102" i="106"/>
  <c r="O87" i="106"/>
  <c r="P106" i="106"/>
  <c r="M109" i="106"/>
  <c r="M107" i="106"/>
  <c r="M98" i="106"/>
  <c r="O104" i="106"/>
  <c r="P84" i="106"/>
  <c r="J103" i="106"/>
  <c r="O114" i="106"/>
  <c r="N104" i="106"/>
  <c r="O89" i="106"/>
  <c r="K101" i="106"/>
  <c r="L92" i="106"/>
  <c r="P107" i="106"/>
  <c r="K108" i="106"/>
  <c r="L112" i="106"/>
  <c r="L87" i="106"/>
  <c r="P86" i="106"/>
  <c r="N111" i="106"/>
  <c r="N103" i="106"/>
  <c r="K91" i="106"/>
  <c r="P92" i="106"/>
  <c r="P91" i="106"/>
  <c r="L101" i="106"/>
  <c r="N115" i="106"/>
  <c r="K107" i="106"/>
  <c r="J85" i="106"/>
  <c r="K85" i="106"/>
  <c r="O86" i="106"/>
  <c r="T141" i="105"/>
  <c r="T147" i="105"/>
  <c r="T206" i="105"/>
  <c r="T79" i="82" s="1"/>
  <c r="T68" i="82"/>
  <c r="T207" i="105"/>
  <c r="T80" i="82" s="1"/>
  <c r="T148" i="105"/>
  <c r="T142" i="105"/>
  <c r="J77" i="106"/>
  <c r="M63" i="106"/>
  <c r="N69" i="106"/>
  <c r="M57" i="106"/>
  <c r="M71" i="106"/>
  <c r="L72" i="106"/>
  <c r="P51" i="106"/>
  <c r="O71" i="106"/>
  <c r="K69" i="106"/>
  <c r="J72" i="106"/>
  <c r="P77" i="106"/>
  <c r="J74" i="106"/>
  <c r="K77" i="106"/>
  <c r="O76" i="106"/>
  <c r="O80" i="106"/>
  <c r="J53" i="106"/>
  <c r="L69" i="106"/>
  <c r="J68" i="106"/>
  <c r="N80" i="106"/>
  <c r="L71" i="106"/>
  <c r="M53" i="106"/>
  <c r="N81" i="106"/>
  <c r="O70" i="106"/>
  <c r="M70" i="106"/>
  <c r="J50" i="106"/>
  <c r="L58" i="106"/>
  <c r="L64" i="106"/>
  <c r="K76" i="106"/>
  <c r="N56" i="106"/>
  <c r="P61" i="106"/>
  <c r="N67" i="106"/>
  <c r="K79" i="106"/>
  <c r="M72" i="106"/>
  <c r="J71" i="106"/>
  <c r="K57" i="106"/>
  <c r="P54" i="106"/>
  <c r="M58" i="106"/>
  <c r="L73" i="106"/>
  <c r="O57" i="106"/>
  <c r="N74" i="106"/>
  <c r="P52" i="106"/>
  <c r="L62" i="106"/>
  <c r="N65" i="106"/>
  <c r="J60" i="106"/>
  <c r="J73" i="106"/>
  <c r="N63" i="106"/>
  <c r="M62" i="106"/>
  <c r="L65" i="106"/>
  <c r="K62" i="106"/>
  <c r="M74" i="106"/>
  <c r="P72" i="106"/>
  <c r="N57" i="106"/>
  <c r="N54" i="106"/>
  <c r="L55" i="106"/>
  <c r="M61" i="106"/>
  <c r="K53" i="106"/>
  <c r="K55" i="106"/>
  <c r="O72" i="106"/>
  <c r="O74" i="106"/>
  <c r="M67" i="106"/>
  <c r="J59" i="106"/>
  <c r="L74" i="106"/>
  <c r="M80" i="106"/>
  <c r="O61" i="106"/>
  <c r="L56" i="106"/>
  <c r="L67" i="106"/>
  <c r="P71" i="106"/>
  <c r="N73" i="106"/>
  <c r="P56" i="106"/>
  <c r="M77" i="106"/>
  <c r="P66" i="106"/>
  <c r="K75" i="106"/>
  <c r="P62" i="106"/>
  <c r="O62" i="106"/>
  <c r="O65" i="106"/>
  <c r="O67" i="106"/>
  <c r="M65" i="106"/>
  <c r="K73" i="106"/>
  <c r="J54" i="106"/>
  <c r="O64" i="106"/>
  <c r="J80" i="106"/>
  <c r="K66" i="106"/>
  <c r="M51" i="106"/>
  <c r="L51" i="106"/>
  <c r="N76" i="106"/>
  <c r="M59" i="106"/>
  <c r="K59" i="106"/>
  <c r="L52" i="106"/>
  <c r="P69" i="106"/>
  <c r="N53" i="106"/>
  <c r="J64" i="106"/>
  <c r="M73" i="106"/>
  <c r="P60" i="106"/>
  <c r="L54" i="106"/>
  <c r="K61" i="106"/>
  <c r="L77" i="106"/>
  <c r="M54" i="106"/>
  <c r="O58" i="106"/>
  <c r="P68" i="106"/>
  <c r="K60" i="106"/>
  <c r="M75" i="106"/>
  <c r="K70" i="106"/>
  <c r="K71" i="106"/>
  <c r="J55" i="106"/>
  <c r="N50" i="106"/>
  <c r="P67" i="106"/>
  <c r="N64" i="106"/>
  <c r="O73" i="106"/>
  <c r="L53" i="106"/>
  <c r="P81" i="106"/>
  <c r="P65" i="106"/>
  <c r="K56" i="106"/>
  <c r="O79" i="106"/>
  <c r="N70" i="106"/>
  <c r="L76" i="106"/>
  <c r="P50" i="106"/>
  <c r="J79" i="106"/>
  <c r="K51" i="106"/>
  <c r="J65" i="106"/>
  <c r="P78" i="106"/>
  <c r="J70" i="106"/>
  <c r="O63" i="106"/>
  <c r="O66" i="106"/>
  <c r="N58" i="106"/>
  <c r="N77" i="106"/>
  <c r="M56" i="106"/>
  <c r="K65" i="106"/>
  <c r="P57" i="106"/>
  <c r="P55" i="106"/>
  <c r="K68" i="106"/>
  <c r="L59" i="106"/>
  <c r="N79" i="106"/>
  <c r="M52" i="106"/>
  <c r="M76" i="106"/>
  <c r="P53" i="106"/>
  <c r="J63" i="106"/>
  <c r="L70" i="106"/>
  <c r="M78" i="106"/>
  <c r="M79" i="106"/>
  <c r="O51" i="106"/>
  <c r="O50" i="106"/>
  <c r="P74" i="106"/>
  <c r="P73" i="106"/>
  <c r="L68" i="106"/>
  <c r="P75" i="106"/>
  <c r="J61" i="106"/>
  <c r="M60" i="106"/>
  <c r="J78" i="106"/>
  <c r="J52" i="106"/>
  <c r="O75" i="106"/>
  <c r="O78" i="106"/>
  <c r="O59" i="106"/>
  <c r="K74" i="106"/>
  <c r="O52" i="106"/>
  <c r="J67" i="106"/>
  <c r="P80" i="106"/>
  <c r="N55" i="106"/>
  <c r="N66" i="106"/>
  <c r="O53" i="106"/>
  <c r="P64" i="106"/>
  <c r="K64" i="106"/>
  <c r="N68" i="106"/>
  <c r="P58" i="106"/>
  <c r="N62" i="106"/>
  <c r="O69" i="106"/>
  <c r="N78" i="106"/>
  <c r="J75" i="106"/>
  <c r="L78" i="106"/>
  <c r="K50" i="106"/>
  <c r="P59" i="106"/>
  <c r="N51" i="106"/>
  <c r="O77" i="106"/>
  <c r="P76" i="106"/>
  <c r="N52" i="106"/>
  <c r="L61" i="106"/>
  <c r="N75" i="106"/>
  <c r="L66" i="106"/>
  <c r="L80" i="106"/>
  <c r="J58" i="106"/>
  <c r="M50" i="106"/>
  <c r="N60" i="106"/>
  <c r="N61" i="106"/>
  <c r="M81" i="106"/>
  <c r="N59" i="106"/>
  <c r="L81" i="106"/>
  <c r="M68" i="106"/>
  <c r="K54" i="106"/>
  <c r="J69" i="106"/>
  <c r="L50" i="106"/>
  <c r="M66" i="106"/>
  <c r="P63" i="106"/>
  <c r="L57" i="106"/>
  <c r="O56" i="106"/>
  <c r="K80" i="106"/>
  <c r="K63" i="106"/>
  <c r="J66" i="106"/>
  <c r="N71" i="106"/>
  <c r="M55" i="106"/>
  <c r="K52" i="106"/>
  <c r="P70" i="106"/>
  <c r="L75" i="106"/>
  <c r="K78" i="106"/>
  <c r="L79" i="106"/>
  <c r="O81" i="106"/>
  <c r="K58" i="106"/>
  <c r="K81" i="106"/>
  <c r="M69" i="106"/>
  <c r="K72" i="106"/>
  <c r="P79" i="106"/>
  <c r="J57" i="106"/>
  <c r="J62" i="106"/>
  <c r="O68" i="106"/>
  <c r="N72" i="106"/>
  <c r="J81" i="106"/>
  <c r="L60" i="106"/>
  <c r="J76" i="106"/>
  <c r="L63" i="106"/>
  <c r="O55" i="106"/>
  <c r="M64" i="106"/>
  <c r="O54" i="106"/>
  <c r="J56" i="106"/>
  <c r="O60" i="106"/>
  <c r="J51" i="106"/>
  <c r="K67" i="106"/>
  <c r="A4" i="65"/>
  <c r="J61" i="55"/>
  <c r="S105" i="105"/>
  <c r="S182" i="105"/>
  <c r="S189" i="105" s="1"/>
  <c r="S193" i="105"/>
  <c r="S200" i="105" s="1"/>
  <c r="S115" i="105"/>
  <c r="S55" i="105"/>
  <c r="J16" i="106" a="1"/>
  <c r="S122" i="105" l="1"/>
  <c r="H115" i="105"/>
  <c r="H122" i="105" s="1"/>
  <c r="S95" i="105"/>
  <c r="S112" i="105"/>
  <c r="H105" i="105"/>
  <c r="H112" i="105" s="1"/>
  <c r="N28" i="106"/>
  <c r="L32" i="106"/>
  <c r="O20" i="106"/>
  <c r="N16" i="106"/>
  <c r="K31" i="106"/>
  <c r="P44" i="106"/>
  <c r="M45" i="106"/>
  <c r="J29" i="106"/>
  <c r="K28" i="106"/>
  <c r="O24" i="106"/>
  <c r="J19" i="106"/>
  <c r="P30" i="106"/>
  <c r="N32" i="106"/>
  <c r="P47" i="106"/>
  <c r="L43" i="106"/>
  <c r="K47" i="106"/>
  <c r="J22" i="106"/>
  <c r="O17" i="106"/>
  <c r="M47" i="106"/>
  <c r="J46" i="106"/>
  <c r="K27" i="106"/>
  <c r="P41" i="106"/>
  <c r="K44" i="106"/>
  <c r="P24" i="106"/>
  <c r="N34" i="106"/>
  <c r="P19" i="106"/>
  <c r="M27" i="106"/>
  <c r="N22" i="106"/>
  <c r="J32" i="106"/>
  <c r="P31" i="106"/>
  <c r="O21" i="106"/>
  <c r="L47" i="106"/>
  <c r="O44" i="106"/>
  <c r="J16" i="106"/>
  <c r="K38" i="106"/>
  <c r="N18" i="106"/>
  <c r="O41" i="106"/>
  <c r="N41" i="106"/>
  <c r="O23" i="106"/>
  <c r="O18" i="106"/>
  <c r="N33" i="106"/>
  <c r="K46" i="106"/>
  <c r="O33" i="106"/>
  <c r="J42" i="106"/>
  <c r="J45" i="106"/>
  <c r="K36" i="106"/>
  <c r="L19" i="106"/>
  <c r="P20" i="106"/>
  <c r="K34" i="106"/>
  <c r="L25" i="106"/>
  <c r="P28" i="106"/>
  <c r="J24" i="106"/>
  <c r="O45" i="106"/>
  <c r="P37" i="106"/>
  <c r="K37" i="106"/>
  <c r="J34" i="106"/>
  <c r="K41" i="106"/>
  <c r="L26" i="106"/>
  <c r="P18" i="106"/>
  <c r="O26" i="106"/>
  <c r="P34" i="106"/>
  <c r="M35" i="106"/>
  <c r="O27" i="106"/>
  <c r="P40" i="106"/>
  <c r="P26" i="106"/>
  <c r="J37" i="106"/>
  <c r="M24" i="106"/>
  <c r="L45" i="106"/>
  <c r="N40" i="106"/>
  <c r="K35" i="106"/>
  <c r="L37" i="106"/>
  <c r="L23" i="106"/>
  <c r="L24" i="106"/>
  <c r="M26" i="106"/>
  <c r="O35" i="106"/>
  <c r="K42" i="106"/>
  <c r="P29" i="106"/>
  <c r="L28" i="106"/>
  <c r="P22" i="106"/>
  <c r="O46" i="106"/>
  <c r="K26" i="106"/>
  <c r="K40" i="106"/>
  <c r="L42" i="106"/>
  <c r="M44" i="106"/>
  <c r="K17" i="106"/>
  <c r="N25" i="106"/>
  <c r="L27" i="106"/>
  <c r="K21" i="106"/>
  <c r="K22" i="106"/>
  <c r="N44" i="106"/>
  <c r="M36" i="106"/>
  <c r="L16" i="106"/>
  <c r="P21" i="106"/>
  <c r="O38" i="106"/>
  <c r="N20" i="106"/>
  <c r="N24" i="106"/>
  <c r="M23" i="106"/>
  <c r="O37" i="106"/>
  <c r="P46" i="106"/>
  <c r="K18" i="106"/>
  <c r="J21" i="106"/>
  <c r="N45" i="106"/>
  <c r="N31" i="106"/>
  <c r="O32" i="106"/>
  <c r="P43" i="106"/>
  <c r="L21" i="106"/>
  <c r="K29" i="106"/>
  <c r="J18" i="106"/>
  <c r="M41" i="106"/>
  <c r="N42" i="106"/>
  <c r="L38" i="106"/>
  <c r="M28" i="106"/>
  <c r="J35" i="106"/>
  <c r="N19" i="106"/>
  <c r="M22" i="106"/>
  <c r="M32" i="106"/>
  <c r="J30" i="106"/>
  <c r="P17" i="106"/>
  <c r="M43" i="106"/>
  <c r="L46" i="106"/>
  <c r="N27" i="106"/>
  <c r="L20" i="106"/>
  <c r="P42" i="106"/>
  <c r="O31" i="106"/>
  <c r="O28" i="106"/>
  <c r="J47" i="106"/>
  <c r="M16" i="106"/>
  <c r="J38" i="106"/>
  <c r="P35" i="106"/>
  <c r="N46" i="106"/>
  <c r="P33" i="106"/>
  <c r="J41" i="106"/>
  <c r="L39" i="106"/>
  <c r="L40" i="106"/>
  <c r="L36" i="106"/>
  <c r="M19" i="106"/>
  <c r="K20" i="106"/>
  <c r="K24" i="106"/>
  <c r="P16" i="106"/>
  <c r="M42" i="106"/>
  <c r="N26" i="106"/>
  <c r="J26" i="106"/>
  <c r="O39" i="106"/>
  <c r="M29" i="106"/>
  <c r="O22" i="106"/>
  <c r="N43" i="106"/>
  <c r="O40" i="106"/>
  <c r="P45" i="106"/>
  <c r="O25" i="106"/>
  <c r="K39" i="106"/>
  <c r="M40" i="106"/>
  <c r="O43" i="106"/>
  <c r="J25" i="106"/>
  <c r="M38" i="106"/>
  <c r="K23" i="106"/>
  <c r="L18" i="106"/>
  <c r="L34" i="106"/>
  <c r="O47" i="106"/>
  <c r="M39" i="106"/>
  <c r="N39" i="106"/>
  <c r="P39" i="106"/>
  <c r="L41" i="106"/>
  <c r="M34" i="106"/>
  <c r="L22" i="106"/>
  <c r="O19" i="106"/>
  <c r="L30" i="106"/>
  <c r="K16" i="106"/>
  <c r="O16" i="106"/>
  <c r="M21" i="106"/>
  <c r="L17" i="106"/>
  <c r="P38" i="106"/>
  <c r="J28" i="106"/>
  <c r="L35" i="106"/>
  <c r="M31" i="106"/>
  <c r="O30" i="106"/>
  <c r="N17" i="106"/>
  <c r="M33" i="106"/>
  <c r="J31" i="106"/>
  <c r="J33" i="106"/>
  <c r="P23" i="106"/>
  <c r="L44" i="106"/>
  <c r="J40" i="106"/>
  <c r="J44" i="106"/>
  <c r="K45" i="106"/>
  <c r="P36" i="106"/>
  <c r="L29" i="106"/>
  <c r="L33" i="106"/>
  <c r="M25" i="106"/>
  <c r="M46" i="106"/>
  <c r="O42" i="106"/>
  <c r="L31" i="106"/>
  <c r="N35" i="106"/>
  <c r="K30" i="106"/>
  <c r="N38" i="106"/>
  <c r="J43" i="106"/>
  <c r="N47" i="106"/>
  <c r="P32" i="106"/>
  <c r="J17" i="106"/>
  <c r="M30" i="106"/>
  <c r="K32" i="106"/>
  <c r="N23" i="106"/>
  <c r="J20" i="106"/>
  <c r="K25" i="106"/>
  <c r="M37" i="106"/>
  <c r="O34" i="106"/>
  <c r="M17" i="106"/>
  <c r="O29" i="106"/>
  <c r="K33" i="106"/>
  <c r="N21" i="106"/>
  <c r="M20" i="106"/>
  <c r="K43" i="106"/>
  <c r="K19" i="106"/>
  <c r="J39" i="106"/>
  <c r="J23" i="106"/>
  <c r="P25" i="106"/>
  <c r="P27" i="106"/>
  <c r="N37" i="106"/>
  <c r="J36" i="106"/>
  <c r="N29" i="106"/>
  <c r="J27" i="106"/>
  <c r="M18" i="106"/>
  <c r="N36" i="106"/>
  <c r="N30" i="106"/>
  <c r="O36" i="106"/>
  <c r="S141" i="105" l="1"/>
  <c r="S147" i="105"/>
  <c r="S102" i="105"/>
  <c r="H95" i="105"/>
  <c r="H119" i="106" a="1"/>
  <c r="H119" i="106" s="1"/>
  <c r="S148" i="105"/>
  <c r="S142" i="105"/>
  <c r="J63" i="55" l="1"/>
  <c r="A4" i="106"/>
  <c r="H102" i="105"/>
  <c r="H132" i="105" s="1"/>
  <c r="H133" i="105" s="1"/>
  <c r="S174" i="105"/>
  <c r="S71" i="82" s="1"/>
  <c r="S146" i="105"/>
  <c r="S69" i="82" s="1"/>
  <c r="S140" i="105"/>
  <c r="H135" i="105" l="1"/>
  <c r="H211" i="105" s="1" a="1"/>
  <c r="H211" i="105" s="1"/>
  <c r="H136" i="105"/>
  <c r="S206" i="105"/>
  <c r="S79" i="82" s="1"/>
  <c r="S68" i="82"/>
  <c r="H84" i="82" s="1" a="1"/>
  <c r="H84" i="82" s="1"/>
  <c r="S207" i="105"/>
  <c r="S80" i="82" s="1"/>
  <c r="A4" i="82" l="1"/>
  <c r="J64" i="55"/>
  <c r="A4" i="105"/>
  <c r="J62" i="55"/>
  <c r="J65" i="55" l="1"/>
  <c r="A4" i="55" s="1"/>
</calcChain>
</file>

<file path=xl/sharedStrings.xml><?xml version="1.0" encoding="utf-8"?>
<sst xmlns="http://schemas.openxmlformats.org/spreadsheetml/2006/main" count="7963" uniqueCount="1180">
  <si>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</si>
  <si>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</si>
  <si>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</si>
  <si>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</si>
  <si>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</si>
  <si>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</si>
  <si>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</si>
  <si>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</si>
  <si>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</si>
  <si>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</si>
  <si>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</si>
  <si>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</si>
  <si>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</si>
  <si>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</si>
  <si>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</si>
  <si>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</si>
  <si>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</si>
  <si>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</si>
  <si>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</si>
  <si>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</si>
  <si>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</si>
  <si>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</si>
  <si>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</si>
  <si>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</si>
  <si>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</si>
  <si>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</si>
  <si>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</si>
  <si>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</si>
  <si>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</si>
  <si>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</si>
  <si>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</si>
  <si>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</si>
  <si>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</si>
  <si>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</si>
  <si>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</si>
  <si>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</si>
  <si>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</si>
  <si>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</si>
  <si>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</si>
  <si>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</si>
  <si>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</si>
  <si>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</si>
  <si>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</si>
  <si>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</si>
  <si>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</si>
  <si>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</si>
  <si>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</si>
  <si>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</si>
  <si>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</si>
  <si>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</si>
  <si>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</si>
  <si>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</si>
  <si>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</si>
  <si>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</si>
  <si>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</si>
  <si>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</si>
  <si>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</si>
  <si>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</si>
  <si>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</si>
  <si>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</si>
  <si>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</si>
  <si>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</si>
  <si>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</si>
  <si>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</si>
  <si>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</si>
  <si>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</si>
  <si>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</si>
  <si>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</si>
  <si>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</si>
  <si>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</si>
  <si>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</si>
  <si>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</si>
  <si>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</si>
  <si>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</si>
  <si>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</si>
  <si>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</si>
  <si>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</si>
  <si>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</si>
  <si>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</si>
  <si>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</si>
  <si>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</si>
  <si>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</si>
  <si>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</si>
  <si>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</si>
  <si>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</si>
  <si>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</si>
  <si>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</si>
  <si>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</si>
  <si>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</si>
  <si>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</si>
  <si>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</si>
  <si>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</si>
  <si>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</si>
  <si>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</si>
  <si>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</si>
  <si>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</si>
  <si>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</si>
  <si>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</si>
  <si>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</si>
  <si>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</si>
  <si>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</si>
  <si>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</si>
  <si>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</si>
  <si>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</si>
  <si>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</si>
  <si>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</si>
  <si>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</si>
  <si>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</si>
  <si>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</si>
  <si>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</si>
  <si>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</si>
  <si>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</si>
  <si>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</si>
  <si>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</si>
  <si>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</si>
  <si>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</si>
  <si>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</si>
  <si>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</si>
  <si>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</si>
  <si>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</si>
  <si>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</si>
  <si>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</si>
  <si>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</si>
  <si>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</si>
  <si>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</si>
  <si>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</si>
  <si>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</si>
  <si>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</si>
  <si>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</si>
  <si>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</si>
  <si>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</si>
  <si>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</si>
  <si>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</si>
  <si>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</si>
  <si>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</si>
  <si>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</si>
  <si>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</si>
  <si>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</si>
  <si>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</si>
  <si>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</si>
  <si>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</si>
  <si>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</si>
  <si>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</si>
  <si>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</si>
  <si>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</si>
  <si>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</si>
  <si>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</si>
  <si>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</si>
  <si>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</si>
  <si>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</si>
  <si>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</si>
  <si>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</si>
  <si>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</si>
  <si>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</si>
  <si>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</si>
  <si>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</si>
  <si>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</si>
  <si>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</si>
  <si>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</si>
  <si>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</si>
  <si>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</si>
  <si>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</si>
  <si>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</si>
  <si>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</si>
  <si>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</si>
  <si>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</si>
  <si>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</si>
  <si>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</si>
  <si>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</si>
  <si>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</si>
  <si>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</si>
  <si>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</si>
  <si>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</si>
  <si>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</si>
  <si>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</si>
  <si>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</si>
  <si>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</si>
  <si>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</si>
  <si>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</si>
  <si>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</si>
  <si>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</si>
  <si>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</si>
  <si>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</si>
  <si>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</si>
  <si>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</si>
  <si>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</si>
  <si>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</si>
  <si>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</si>
  <si>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</si>
  <si>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</si>
  <si>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</si>
  <si>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</si>
  <si>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</si>
  <si>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</si>
  <si>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</si>
  <si>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</si>
  <si>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</si>
  <si>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</si>
  <si>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</si>
  <si>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</si>
  <si>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</si>
  <si>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</si>
  <si>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</si>
  <si>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</si>
  <si>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</si>
  <si>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</si>
  <si>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</si>
  <si>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</si>
  <si>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</si>
  <si>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</si>
  <si>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</si>
  <si>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</si>
  <si>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</si>
  <si>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</si>
  <si>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</si>
  <si>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</si>
  <si>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</si>
  <si>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</si>
  <si>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</si>
  <si>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</si>
  <si>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</si>
  <si>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</si>
  <si>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</si>
  <si>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</si>
  <si>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</si>
  <si>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</si>
  <si>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</si>
  <si>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</si>
  <si>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</si>
  <si>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</si>
  <si>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</si>
  <si>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</si>
  <si>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</si>
  <si>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</si>
  <si>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</si>
  <si>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</si>
  <si>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</si>
  <si>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</si>
  <si>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</si>
  <si>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</si>
  <si>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</si>
  <si>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</si>
  <si>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</si>
  <si>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</si>
  <si>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</si>
  <si>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</si>
  <si>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</si>
  <si>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</si>
  <si>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</si>
  <si>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</si>
  <si>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</si>
  <si>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</si>
  <si>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</si>
  <si>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</si>
  <si>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</si>
  <si>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</si>
  <si>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</si>
  <si>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</si>
  <si>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</si>
  <si>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</si>
  <si>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</si>
  <si>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</si>
  <si>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</si>
  <si>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</si>
  <si>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</si>
  <si>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</si>
  <si>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</si>
  <si>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</si>
  <si>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</si>
  <si>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</si>
  <si>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</si>
  <si>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</si>
  <si>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</si>
  <si>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</si>
  <si>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</si>
  <si>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</si>
  <si>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</si>
  <si>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</si>
  <si>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</si>
  <si>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</si>
  <si>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</si>
  <si>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</si>
  <si>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</si>
  <si>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</si>
  <si>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</si>
  <si>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</si>
  <si>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</si>
  <si>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</si>
  <si>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</si>
  <si>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</si>
  <si>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</si>
  <si>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</si>
  <si>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</si>
  <si>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</si>
  <si>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</si>
  <si>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</si>
  <si>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</si>
  <si>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</si>
  <si>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</si>
  <si>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</si>
  <si>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</si>
  <si>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</si>
  <si>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</si>
  <si>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</si>
  <si>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</si>
  <si>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</si>
  <si>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</si>
  <si>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</si>
  <si>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</si>
  <si>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</si>
  <si>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</si>
  <si>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</si>
  <si>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</si>
  <si>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</si>
  <si>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</si>
  <si>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</si>
  <si>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</si>
  <si>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</si>
  <si>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</si>
  <si>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</si>
  <si>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</si>
  <si>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</si>
  <si>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</si>
  <si>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</si>
  <si>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</si>
  <si>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</si>
  <si>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</si>
  <si>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</si>
  <si>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</si>
  <si>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</si>
  <si>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</si>
  <si>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</si>
  <si>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</si>
  <si>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</si>
  <si>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</si>
  <si>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</si>
  <si>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</si>
  <si>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</si>
  <si>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</si>
  <si>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</si>
  <si>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</si>
  <si>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</si>
  <si>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</si>
  <si>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</si>
  <si>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</si>
  <si>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</si>
  <si>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</si>
  <si>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</si>
  <si>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</si>
  <si>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</si>
  <si>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</si>
  <si>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</si>
  <si>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</si>
  <si>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</si>
  <si>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</si>
  <si>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</si>
  <si>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</si>
  <si>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</si>
  <si>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</si>
  <si>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</si>
  <si>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</si>
  <si>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</si>
  <si>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</si>
  <si>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</si>
  <si>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</si>
  <si>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</si>
  <si>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</si>
  <si>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</si>
  <si>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</si>
  <si>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</si>
  <si>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</si>
  <si>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</si>
  <si>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</si>
  <si>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</si>
  <si>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</si>
  <si>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</si>
  <si>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</si>
  <si>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</si>
  <si>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</si>
  <si>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</si>
  <si>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</si>
  <si>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</si>
  <si>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</si>
  <si>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</si>
  <si>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</si>
  <si>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</si>
  <si>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</si>
  <si>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</si>
  <si>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</si>
  <si>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</si>
  <si>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</si>
  <si>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</si>
  <si>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</si>
  <si>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</si>
  <si>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</si>
  <si>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</si>
  <si>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</si>
  <si>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</si>
  <si>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</si>
  <si>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</si>
  <si>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</si>
  <si>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</si>
  <si>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</si>
  <si>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</si>
  <si>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</si>
  <si>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</si>
  <si>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</si>
  <si>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</si>
  <si>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</si>
  <si>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</si>
  <si>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</si>
  <si>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</si>
  <si>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</si>
  <si>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</si>
  <si>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</si>
  <si>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</si>
  <si>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</si>
  <si>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</si>
  <si>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</si>
  <si>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</si>
  <si>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</si>
  <si>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</si>
  <si>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</si>
  <si>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</si>
  <si>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</si>
  <si>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</si>
  <si>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</si>
  <si>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</si>
  <si>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</si>
  <si>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</si>
  <si>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</si>
  <si>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</si>
  <si>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</si>
  <si>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</si>
  <si>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</si>
  <si>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</si>
  <si>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</si>
  <si>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</si>
  <si>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</si>
  <si>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</si>
  <si>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</si>
  <si>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</si>
  <si>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</si>
  <si>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</si>
  <si>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</si>
  <si>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</si>
  <si>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</si>
  <si>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</si>
  <si>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</si>
  <si>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</si>
  <si>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</si>
  <si>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</si>
  <si>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</si>
  <si>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</si>
  <si>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</si>
  <si>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</si>
  <si>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</si>
  <si>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</si>
  <si>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</si>
  <si>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</si>
  <si>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</si>
  <si>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</si>
  <si>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</si>
  <si>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</si>
  <si>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</si>
  <si>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</si>
  <si>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</si>
  <si>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</si>
  <si>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</si>
  <si>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</si>
  <si>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</si>
  <si>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</si>
  <si>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</si>
  <si>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</si>
  <si>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</si>
  <si>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</si>
  <si>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</si>
  <si>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</si>
  <si>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</si>
  <si>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</si>
  <si>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</si>
  <si>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</si>
  <si>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</si>
  <si>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</si>
  <si>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</si>
  <si>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</si>
  <si>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</si>
  <si>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</si>
  <si>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</si>
  <si>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</si>
  <si>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</si>
  <si>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</si>
  <si>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</si>
  <si>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</si>
  <si>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</si>
  <si>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</si>
  <si>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</si>
  <si>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</si>
  <si>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</si>
  <si>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</si>
  <si>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</si>
  <si>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</si>
  <si>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</si>
  <si>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</si>
  <si>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</si>
  <si>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</si>
  <si>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</si>
  <si>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</si>
  <si>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</si>
  <si>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</si>
  <si>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</si>
  <si>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</si>
  <si>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</si>
  <si>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</si>
  <si>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</si>
  <si>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</si>
  <si>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</si>
  <si>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</si>
  <si>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</si>
  <si>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</si>
  <si>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</si>
  <si>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</si>
  <si>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</si>
  <si>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</si>
  <si>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</si>
  <si>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</si>
  <si>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</si>
  <si>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</si>
  <si>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</si>
  <si>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</si>
  <si>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</si>
  <si>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</si>
  <si>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</si>
  <si>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</si>
  <si>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</si>
  <si>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</si>
  <si>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</si>
  <si>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</si>
  <si>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</si>
  <si>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</si>
  <si>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</si>
  <si>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</si>
  <si>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</si>
  <si>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</si>
  <si>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</si>
  <si>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</si>
  <si>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</si>
  <si>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</si>
  <si>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</si>
  <si>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</si>
  <si>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</si>
  <si>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</si>
  <si>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</si>
  <si>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</si>
  <si>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</si>
  <si>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</si>
  <si>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</si>
  <si>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</si>
  <si>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</si>
  <si>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</si>
  <si>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</si>
  <si>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</si>
  <si>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</si>
  <si>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</si>
  <si>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</si>
  <si>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</si>
  <si>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</si>
  <si>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</si>
  <si>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</si>
  <si>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</si>
  <si>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</si>
  <si>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</si>
  <si>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</si>
  <si>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</si>
  <si>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</si>
  <si>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</si>
  <si>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</si>
  <si>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</si>
  <si>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</si>
  <si>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</si>
  <si>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</si>
  <si>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</si>
  <si>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</si>
  <si>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</si>
  <si>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</si>
  <si>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</si>
  <si>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</si>
  <si>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</si>
  <si>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</si>
  <si>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</si>
  <si>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</si>
  <si>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</si>
  <si>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</si>
  <si>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</si>
  <si>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</si>
  <si>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</si>
  <si>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</si>
  <si>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</si>
  <si>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</si>
  <si>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</si>
  <si>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</si>
  <si>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</si>
  <si>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</si>
  <si>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</si>
  <si>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</si>
  <si>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</si>
  <si>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</si>
  <si>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</si>
  <si>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</si>
  <si>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</si>
  <si>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</si>
  <si>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</si>
  <si>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</si>
  <si>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</si>
  <si>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</si>
  <si>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</si>
  <si>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</si>
  <si>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</si>
  <si>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</si>
  <si>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</si>
  <si>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</si>
  <si>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</si>
  <si>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</si>
  <si>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</si>
  <si>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</si>
  <si>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</si>
  <si>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</si>
  <si>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</si>
  <si>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</si>
  <si>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</si>
  <si>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</si>
  <si>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</si>
  <si>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</si>
  <si>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</si>
  <si>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</si>
  <si>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</si>
  <si>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</si>
  <si>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</si>
  <si>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</si>
  <si>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</si>
  <si>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</si>
  <si>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</si>
  <si>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</si>
  <si>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</si>
  <si>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</si>
  <si>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</si>
  <si>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</si>
  <si>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</si>
  <si>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</si>
  <si>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</si>
  <si>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</si>
  <si>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</si>
  <si>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</si>
  <si>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</si>
  <si>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</si>
  <si>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</si>
  <si>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</si>
  <si>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</si>
  <si>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</si>
  <si>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</si>
  <si>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</si>
  <si>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</si>
  <si>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</si>
  <si>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</si>
  <si>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</si>
  <si>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</si>
  <si>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</si>
  <si>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</si>
  <si>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</si>
  <si>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</si>
  <si>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</si>
  <si>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</si>
  <si>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</si>
  <si>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</si>
  <si>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</si>
  <si>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</si>
  <si>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</si>
  <si>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</si>
  <si>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</si>
  <si>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</si>
  <si>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</si>
  <si>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</si>
  <si>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</si>
  <si>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</si>
  <si>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</si>
  <si>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</si>
  <si>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</si>
  <si>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</si>
  <si>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</si>
  <si>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</si>
  <si>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</si>
  <si>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</si>
  <si>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</si>
  <si>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</si>
  <si>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</si>
  <si>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</si>
  <si>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</si>
  <si>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</si>
  <si>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</si>
  <si>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</si>
  <si>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</si>
  <si>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</si>
  <si>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</si>
  <si>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</si>
  <si>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</si>
  <si>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</si>
  <si>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</si>
  <si>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</si>
  <si>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</si>
  <si>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</si>
  <si>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</si>
  <si>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</si>
  <si>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</si>
  <si>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</si>
  <si>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</si>
  <si>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</si>
  <si>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</si>
  <si>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</si>
  <si>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</si>
  <si>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</si>
  <si>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</si>
  <si>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</si>
  <si>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</si>
  <si>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</si>
  <si>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</si>
  <si>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</si>
  <si>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</si>
  <si>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</si>
  <si>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</si>
  <si>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</si>
  <si>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</si>
  <si>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</si>
  <si>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</si>
  <si>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</si>
  <si>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</si>
  <si>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</si>
  <si>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</si>
  <si>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</si>
  <si>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</si>
  <si>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</si>
  <si>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</si>
  <si>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</si>
  <si>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</si>
  <si>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</si>
  <si>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</si>
  <si>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</si>
  <si>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</si>
  <si>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</si>
  <si>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</si>
  <si>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</si>
  <si>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</si>
  <si>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</si>
  <si>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</si>
  <si>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</si>
  <si>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</si>
  <si>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</si>
  <si>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</si>
  <si>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</si>
  <si>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</si>
  <si>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</si>
  <si>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</si>
  <si>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</si>
  <si>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</si>
  <si>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</si>
  <si>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</si>
  <si>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</si>
  <si>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</si>
  <si>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</si>
  <si>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</si>
  <si>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</si>
  <si>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</si>
  <si>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</si>
  <si>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</si>
  <si>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</si>
  <si>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</si>
  <si>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</si>
  <si>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</si>
  <si>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</si>
  <si>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</si>
  <si>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</si>
  <si>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</si>
  <si>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</si>
  <si>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</si>
  <si>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</si>
  <si>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</si>
  <si>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</si>
  <si>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</si>
  <si>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</si>
  <si>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</si>
  <si>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</si>
  <si>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</si>
  <si>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</si>
  <si>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</si>
  <si>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</si>
  <si>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</si>
  <si>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</si>
  <si>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</si>
  <si>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</si>
  <si>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</si>
  <si>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</si>
  <si>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</si>
  <si>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</si>
  <si>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</si>
  <si>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</si>
  <si>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</si>
  <si>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</si>
  <si>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</si>
  <si>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</si>
  <si>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</si>
  <si>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</si>
  <si>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</si>
  <si>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</si>
  <si>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</si>
  <si>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</si>
  <si>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</si>
  <si>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</si>
  <si>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</si>
  <si>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</si>
  <si>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</si>
  <si>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</si>
  <si>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</si>
  <si>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</si>
  <si>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</si>
  <si>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</si>
  <si>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</si>
  <si>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</si>
  <si>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</si>
  <si>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</si>
  <si>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</si>
  <si>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</si>
  <si>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</si>
  <si>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</si>
  <si>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</si>
  <si>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</si>
  <si>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</si>
  <si>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</si>
  <si>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</si>
  <si>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</si>
  <si>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</si>
  <si>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</si>
  <si>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</si>
  <si>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</si>
  <si>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</si>
  <si>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</si>
  <si>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</si>
  <si>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</si>
  <si>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</si>
  <si>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</si>
  <si>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</si>
  <si>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</si>
  <si>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</si>
  <si>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</si>
  <si>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</si>
  <si>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</si>
  <si>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</si>
  <si>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</si>
  <si>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</si>
  <si>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</si>
  <si>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</si>
  <si>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</si>
  <si>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</si>
  <si>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</si>
  <si>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</si>
  <si>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</si>
  <si>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</si>
  <si>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</si>
  <si>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</si>
  <si>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</si>
  <si>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</si>
  <si>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</si>
  <si>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</si>
  <si>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</si>
  <si>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</si>
  <si>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</si>
  <si>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</si>
  <si>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</si>
  <si>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</si>
  <si>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</si>
  <si>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</si>
  <si>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</si>
  <si>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</si>
  <si>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</si>
  <si>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</si>
  <si>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</si>
  <si>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</si>
  <si>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</si>
  <si>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</si>
  <si>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</si>
  <si>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</si>
  <si>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</si>
  <si>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</si>
  <si>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</si>
  <si>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</si>
  <si>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</si>
  <si>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</si>
  <si>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</si>
  <si>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</si>
  <si>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</si>
  <si>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</si>
  <si>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</si>
  <si>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</si>
  <si>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</si>
  <si>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</si>
  <si>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</si>
  <si>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</si>
  <si>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</si>
  <si>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</si>
  <si>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</si>
  <si>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</si>
  <si>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</si>
  <si>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</si>
  <si>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</si>
  <si>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</si>
  <si>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</si>
  <si>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</si>
  <si>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</si>
  <si>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</si>
  <si>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</si>
  <si>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</si>
  <si>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</si>
  <si>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</si>
  <si>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</si>
  <si>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</si>
  <si>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</si>
  <si>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</si>
  <si>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</si>
  <si>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</si>
  <si>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</si>
  <si>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</si>
  <si>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</si>
  <si>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</si>
  <si>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</si>
  <si>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</si>
  <si>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</si>
  <si>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</si>
  <si>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</si>
  <si>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</si>
  <si>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</si>
  <si>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</si>
  <si>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</si>
  <si>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</si>
  <si>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</si>
  <si>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</si>
  <si>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</si>
  <si>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</si>
  <si>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</si>
  <si>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</si>
  <si>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</si>
  <si>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</si>
  <si>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</si>
  <si>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</si>
  <si>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</si>
  <si>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</si>
  <si>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</si>
  <si>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</si>
  <si>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</si>
  <si>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</si>
  <si>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</si>
  <si>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</si>
  <si>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</si>
  <si>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</si>
  <si>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</si>
  <si>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</si>
  <si>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</si>
  <si>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</si>
  <si>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</si>
  <si>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</si>
  <si>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</si>
  <si>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</si>
  <si>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</si>
  <si>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</si>
  <si>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</si>
  <si>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</si>
  <si>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</si>
  <si>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</si>
  <si>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</si>
  <si>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</si>
  <si>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</si>
  <si>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</si>
  <si>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</si>
  <si>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</si>
  <si>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</si>
  <si>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</si>
  <si>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</si>
  <si>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</si>
  <si>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</si>
  <si>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</si>
  <si>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</si>
  <si>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</si>
  <si>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</si>
  <si>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</si>
  <si>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</si>
  <si>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</si>
  <si>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</si>
  <si>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</si>
  <si>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</si>
  <si>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</si>
  <si>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</si>
  <si>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</si>
  <si>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</si>
  <si>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</si>
  <si>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</si>
  <si>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</si>
  <si>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</si>
  <si>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</si>
  <si>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</si>
  <si>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</si>
  <si>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</si>
  <si>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</si>
  <si>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</si>
  <si>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</si>
  <si>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</si>
  <si>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</si>
  <si>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</si>
  <si>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</si>
  <si>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</si>
  <si>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</si>
  <si>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</si>
  <si>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</si>
  <si>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</si>
  <si>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</si>
  <si>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</si>
  <si>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</si>
  <si>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</si>
  <si>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</si>
  <si>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</si>
  <si>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</si>
  <si>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</si>
  <si>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</si>
  <si>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</si>
  <si>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</si>
  <si>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</si>
  <si>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</si>
  <si>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</si>
  <si>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</si>
  <si>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</si>
  <si>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</si>
  <si>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</si>
  <si>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</si>
  <si>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</si>
  <si>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</si>
  <si>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</si>
  <si>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</si>
  <si>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</si>
  <si>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</si>
  <si>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</si>
  <si>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</si>
  <si>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</si>
  <si>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</si>
  <si>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</si>
  <si>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</si>
  <si>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</si>
  <si>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</si>
  <si>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</si>
  <si>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</si>
  <si>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</si>
  <si>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</si>
  <si>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</si>
  <si>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</si>
  <si>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</si>
  <si>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</si>
  <si>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</si>
  <si>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</si>
  <si>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</si>
  <si>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</si>
  <si>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</si>
  <si>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</si>
  <si>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</si>
  <si>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</si>
  <si>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</si>
  <si>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</si>
  <si>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</si>
  <si>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</si>
  <si>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</si>
  <si>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</si>
  <si>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</si>
  <si>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</si>
  <si>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</si>
  <si>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</si>
  <si>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</si>
  <si>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</si>
  <si>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</si>
  <si>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</si>
  <si>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</si>
  <si>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</si>
  <si>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</si>
  <si>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</si>
  <si>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</si>
  <si>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</si>
  <si>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</si>
  <si>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</si>
  <si>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</si>
  <si>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</si>
  <si>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</si>
  <si>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</si>
  <si>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</si>
  <si>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</si>
  <si>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</si>
  <si>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</si>
  <si>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</si>
  <si>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</si>
  <si>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</si>
  <si>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</si>
  <si>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</si>
  <si>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</si>
  <si>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</si>
  <si>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</si>
  <si>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</si>
  <si>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</si>
  <si>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</si>
  <si>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</si>
  <si>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</si>
  <si>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</si>
  <si>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</si>
  <si>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</si>
  <si>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</si>
  <si>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</si>
  <si>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</si>
  <si>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</si>
  <si>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</si>
  <si>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</si>
  <si>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</si>
  <si>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</si>
  <si>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</si>
  <si>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</si>
  <si>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</si>
  <si>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</si>
  <si>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</si>
  <si>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</si>
  <si>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</si>
  <si>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</si>
  <si>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</si>
  <si>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</si>
  <si>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</si>
  <si>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</si>
  <si>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</si>
  <si>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</si>
  <si>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</si>
  <si>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</si>
  <si>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</si>
  <si>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</si>
  <si>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</si>
  <si>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</si>
  <si>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</si>
  <si>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</si>
  <si>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</si>
  <si>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</si>
  <si>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</si>
  <si>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</si>
  <si>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</si>
  <si>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</si>
  <si>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</si>
  <si>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</si>
  <si>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</si>
  <si>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</si>
  <si>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</si>
  <si>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</si>
  <si>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</si>
  <si>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</si>
  <si>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</si>
  <si>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</si>
  <si>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</si>
  <si>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</si>
  <si>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</si>
  <si>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</si>
  <si>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</si>
  <si>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</si>
  <si>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</si>
  <si>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</si>
  <si>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The contents of this table are defined on the DCUSA website and referenced in Paragraph 1.5 of Schedule 15 (Table 1)</t>
  </si>
  <si>
    <t>Other revenue</t>
  </si>
  <si>
    <t>Return Adjustment</t>
  </si>
  <si>
    <t>Nominal calculated revenue (after tax)</t>
  </si>
  <si>
    <t>Total other revenue</t>
  </si>
  <si>
    <t>Revenue raised outside CDCM - EDCM and Certain Interconnector Revenue</t>
  </si>
  <si>
    <t>Release for 2026/27 charge setting</t>
  </si>
  <si>
    <t>2026/27</t>
  </si>
  <si>
    <t>Release for charge setting including DCP 421.</t>
  </si>
  <si>
    <t>Attachment A_2026-27 Charging Methodologies Pre-Release (shared on 03/10/2024)</t>
  </si>
  <si>
    <t>NGED South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</si>
</sst>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
    <numFmt numFmtId="183" formatCode="0.000000"/>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9">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175" fontId="8" fillId="2" borderId="0" xfId="51" applyNumberFormat="1" applyProtection="1">
      <protection locked="0"/>
    </xf>
    <xf numFmtId="9" fontId="8" fillId="2" borderId="1" xfId="51" applyNumberFormat="1" applyBorder="1" applyProtection="1">
      <protection locked="0"/>
    </xf>
    <xf numFmtId="9" fontId="8" fillId="2" borderId="2" xfId="51" applyNumberFormat="1" applyBorder="1" applyProtection="1">
      <protection locked="0"/>
    </xf>
    <xf numFmtId="175" fontId="8" fillId="2" borderId="1" xfId="51" applyNumberFormat="1" applyBorder="1" applyProtection="1">
      <protection locked="0"/>
    </xf>
    <xf numFmtId="175" fontId="8" fillId="2" borderId="2" xfId="51" applyNumberFormat="1" applyBorder="1" applyProtection="1">
      <protection locked="0"/>
    </xf>
    <xf numFmtId="179" fontId="8" fillId="2" borderId="0" xfId="51" applyNumberFormat="1" applyProtection="1">
      <protection locked="0"/>
    </xf>
    <xf numFmtId="9" fontId="8" fillId="2" borderId="0" xfId="51" applyNumberFormat="1" applyBorder="1" applyProtection="1">
      <protection locked="0"/>
    </xf>
    <xf numFmtId="182" fontId="0" fillId="0" borderId="0" xfId="0" applyNumberFormat="1"/>
    <xf numFmtId="10" fontId="8" fillId="2" borderId="0" xfId="51" applyNumberFormat="1" applyProtection="1">
      <protection locked="0"/>
    </xf>
    <xf numFmtId="10" fontId="8" fillId="2" borderId="1" xfId="51" applyNumberFormat="1" applyBorder="1">
      <protection locked="0"/>
    </xf>
    <xf numFmtId="10" fontId="8" fillId="2" borderId="2" xfId="51" applyNumberFormat="1" applyBorder="1">
      <protection locked="0"/>
    </xf>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1" sqref="D21"/>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33" t="s">
        <v>0</v>
      </c>
    </row>
    <row r="4" spans="2:4" ht="21" x14ac:dyDescent="0.25">
      <c r="D4" s="34" t="s">
        <v>1175</v>
      </c>
    </row>
    <row r="5" spans="2:4" ht="15" customHeight="1" x14ac:dyDescent="0.25">
      <c r="D5" s="35"/>
    </row>
    <row r="6" spans="2:4" ht="15" customHeight="1" x14ac:dyDescent="0.25">
      <c r="B6" s="36" t="str">
        <f>'Version control'!F7</f>
        <v>Model date:</v>
      </c>
      <c r="D6" s="37">
        <f>'Version control'!H7</f>
        <v>45590</v>
      </c>
    </row>
    <row r="7" spans="2:4" ht="15" customHeight="1" x14ac:dyDescent="0.25">
      <c r="D7" s="38"/>
    </row>
    <row r="8" spans="2:4" ht="15" customHeight="1" x14ac:dyDescent="0.25">
      <c r="B8" s="36" t="str">
        <f>'Version control'!F9</f>
        <v>Development stage:</v>
      </c>
      <c r="D8" s="37" t="str">
        <f>'Version control'!H9</f>
        <v>Release for charge setting</v>
      </c>
    </row>
    <row r="9" spans="2:4" ht="15" customHeight="1" x14ac:dyDescent="0.25">
      <c r="D9" s="38"/>
    </row>
    <row r="10" spans="2:4" ht="15" customHeight="1" x14ac:dyDescent="0.25">
      <c r="B10" s="36" t="str">
        <f>'Version control'!F11</f>
        <v>Model number:</v>
      </c>
      <c r="D10" s="38">
        <f>'Version control'!H11</f>
        <v>11</v>
      </c>
    </row>
    <row r="11" spans="2:4" ht="15" customHeight="1" x14ac:dyDescent="0.25">
      <c r="D11" s="38"/>
    </row>
    <row r="12" spans="2:4" ht="30" customHeight="1" x14ac:dyDescent="0.25">
      <c r="B12" s="36" t="str">
        <f>'Version control'!F13</f>
        <v>DCUSA text version:</v>
      </c>
      <c r="D12" s="39" t="str">
        <f>'Version control'!H13</f>
        <v>Attachment A_2026-27 Charging Methodologies Pre-Release (shared on 03/10/2024)</v>
      </c>
    </row>
    <row r="13" spans="2:4" ht="15" customHeight="1" x14ac:dyDescent="0.25">
      <c r="D13" s="38"/>
    </row>
    <row r="14" spans="2:4" ht="15" customHeight="1" x14ac:dyDescent="0.25">
      <c r="B14" s="36" t="str">
        <f>'Version control'!F15</f>
        <v>DCUSA text schedule:</v>
      </c>
      <c r="D14" s="37" t="str">
        <f>'Version control'!H15</f>
        <v>Schedule 16</v>
      </c>
    </row>
    <row r="16" spans="2:4" ht="30" x14ac:dyDescent="0.25">
      <c r="B16" s="36" t="s">
        <v>1</v>
      </c>
      <c r="D16" s="40" t="s">
        <v>1083</v>
      </c>
    </row>
    <row r="17" spans="2:4" x14ac:dyDescent="0.25">
      <c r="D17" s="4" t="s">
        <v>2</v>
      </c>
    </row>
    <row r="18" spans="2:4" x14ac:dyDescent="0.25">
      <c r="D18" s="3"/>
    </row>
    <row r="19" spans="2:4" ht="15" customHeight="1" x14ac:dyDescent="0.25">
      <c r="B19" s="36" t="s">
        <v>3</v>
      </c>
      <c r="D19" s="416" t="s">
        <v>1176</v>
      </c>
    </row>
    <row r="21" spans="2:4" ht="15" customHeight="1" x14ac:dyDescent="0.25">
      <c r="B21" s="36" t="s">
        <v>4</v>
      </c>
      <c r="D21" s="416" t="s">
        <v>1179</v>
      </c>
    </row>
    <row r="23" spans="2:4" ht="15" customHeight="1" x14ac:dyDescent="0.25">
      <c r="B23" s="36" t="s">
        <v>5</v>
      </c>
      <c r="D23" s="416" t="s">
        <v>6</v>
      </c>
    </row>
    <row r="25" spans="2:4" ht="30" customHeight="1" x14ac:dyDescent="0.25">
      <c r="B25" s="36" t="s">
        <v>7</v>
      </c>
      <c r="D25" s="416" t="s">
        <v>8</v>
      </c>
    </row>
    <row r="26" spans="2:4" ht="15" customHeight="1" x14ac:dyDescent="0.25">
      <c r="B26" s="36"/>
    </row>
    <row r="27" spans="2:4" ht="15" customHeight="1" x14ac:dyDescent="0.25">
      <c r="B27" s="36" t="s">
        <v>9</v>
      </c>
    </row>
    <row r="28" spans="2:4" ht="15" customHeight="1" x14ac:dyDescent="0.25">
      <c r="B28" s="41" t="s">
        <v>10</v>
      </c>
      <c r="C28" s="42"/>
      <c r="D28" s="42" t="s">
        <v>11</v>
      </c>
    </row>
    <row r="29" spans="2:4" x14ac:dyDescent="0.25">
      <c r="B29" s="43"/>
      <c r="C29" s="44"/>
      <c r="D29" s="44" t="s">
        <v>12</v>
      </c>
    </row>
    <row r="30" spans="2:4" x14ac:dyDescent="0.25">
      <c r="B30" s="16" t="s">
        <v>13</v>
      </c>
      <c r="D30" s="3" t="s">
        <v>14</v>
      </c>
    </row>
    <row r="31" spans="2:4" x14ac:dyDescent="0.25">
      <c r="B31" s="417" t="s">
        <v>13</v>
      </c>
      <c r="D31" s="3" t="s">
        <v>15</v>
      </c>
    </row>
    <row r="32" spans="2:4" x14ac:dyDescent="0.25">
      <c r="B32" s="418" t="s">
        <v>13</v>
      </c>
      <c r="D32" s="3" t="s">
        <v>16</v>
      </c>
    </row>
    <row r="33" spans="2:4" x14ac:dyDescent="0.25">
      <c r="B33" s="45" t="s">
        <v>13</v>
      </c>
      <c r="D33" s="3" t="s">
        <v>17</v>
      </c>
    </row>
    <row r="34" spans="2:4" x14ac:dyDescent="0.25">
      <c r="B34" s="46" t="s">
        <v>13</v>
      </c>
      <c r="D34" s="3" t="s">
        <v>18</v>
      </c>
    </row>
    <row r="35" spans="2:4" x14ac:dyDescent="0.25">
      <c r="B35" s="47" t="s">
        <v>13</v>
      </c>
      <c r="D35" s="3" t="s">
        <v>19</v>
      </c>
    </row>
    <row r="36" spans="2:4" x14ac:dyDescent="0.25">
      <c r="B36" s="48" t="s">
        <v>13</v>
      </c>
      <c r="D36" s="3" t="s">
        <v>20</v>
      </c>
    </row>
    <row r="37" spans="2:4" x14ac:dyDescent="0.25">
      <c r="B37" s="49" t="s">
        <v>21</v>
      </c>
      <c r="D37" s="3" t="s">
        <v>22</v>
      </c>
    </row>
    <row r="38" spans="2:4" ht="15" customHeight="1" x14ac:dyDescent="0.25">
      <c r="B38" s="50" t="s">
        <v>21</v>
      </c>
      <c r="D38" s="3" t="s">
        <v>23</v>
      </c>
    </row>
    <row r="39" spans="2:4" ht="15" customHeight="1" x14ac:dyDescent="0.25">
      <c r="B39" s="42" t="s">
        <v>21</v>
      </c>
      <c r="D39" s="3" t="s">
        <v>24</v>
      </c>
    </row>
    <row r="40" spans="2:4" ht="15" customHeight="1" x14ac:dyDescent="0.25">
      <c r="B40" s="51" t="s">
        <v>21</v>
      </c>
      <c r="D40" s="3" t="s">
        <v>25</v>
      </c>
    </row>
    <row r="41" spans="2:4" ht="15" customHeight="1" x14ac:dyDescent="0.25">
      <c r="B41" s="52" t="s">
        <v>21</v>
      </c>
      <c r="D41" s="3" t="s">
        <v>26</v>
      </c>
    </row>
    <row r="42" spans="2:4" ht="15" customHeight="1" x14ac:dyDescent="0.25">
      <c r="B42" s="53" t="s">
        <v>21</v>
      </c>
      <c r="D42" s="3" t="s">
        <v>27</v>
      </c>
    </row>
    <row r="43" spans="2:4" ht="15" customHeight="1" x14ac:dyDescent="0.25">
      <c r="B43" s="54" t="s">
        <v>28</v>
      </c>
      <c r="D43" s="3" t="s">
        <v>29</v>
      </c>
    </row>
    <row r="44" spans="2:4" ht="15" customHeight="1" x14ac:dyDescent="0.25">
      <c r="B44" s="55" t="s">
        <v>28</v>
      </c>
      <c r="D44" s="3" t="s">
        <v>30</v>
      </c>
    </row>
    <row r="45" spans="2:4" ht="15" customHeight="1" x14ac:dyDescent="0.25">
      <c r="B45" s="56" t="s">
        <v>28</v>
      </c>
      <c r="D45" s="3" t="s">
        <v>31</v>
      </c>
    </row>
    <row r="46" spans="2:4" ht="15" customHeight="1" x14ac:dyDescent="0.25">
      <c r="B46" s="57" t="s">
        <v>28</v>
      </c>
      <c r="C46" s="58"/>
      <c r="D46" s="58" t="s">
        <v>32</v>
      </c>
    </row>
    <row r="47" spans="2:4" ht="15" customHeight="1" x14ac:dyDescent="0.25">
      <c r="D47" s="59"/>
    </row>
    <row r="48" spans="2:4" ht="15" customHeight="1" x14ac:dyDescent="0.25">
      <c r="B48" s="4"/>
    </row>
    <row r="49" spans="2:4" ht="15" customHeight="1" x14ac:dyDescent="0.25">
      <c r="B49" s="17"/>
    </row>
    <row r="50" spans="2:4" ht="15" customHeight="1" x14ac:dyDescent="0.25">
      <c r="B50" s="17"/>
    </row>
    <row r="51" spans="2:4" ht="15" customHeight="1" x14ac:dyDescent="0.25">
      <c r="B51" s="17"/>
    </row>
    <row r="52" spans="2:4" ht="15" customHeight="1" x14ac:dyDescent="0.25">
      <c r="B52" s="17"/>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H58 &amp; IF(H58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324</v>
      </c>
      <c r="E9"/>
    </row>
    <row r="10" spans="1:27" x14ac:dyDescent="0.25">
      <c r="C10" s="86" t="s">
        <v>325</v>
      </c>
      <c r="E10"/>
    </row>
    <row r="11" spans="1:27" x14ac:dyDescent="0.25">
      <c r="C11" s="86" t="s">
        <v>326</v>
      </c>
      <c r="E11"/>
    </row>
    <row r="12" spans="1:27" x14ac:dyDescent="0.25">
      <c r="C12" s="86" t="s">
        <v>327</v>
      </c>
      <c r="E12"/>
    </row>
    <row r="13" spans="1:27" x14ac:dyDescent="0.25">
      <c r="C13" s="86"/>
      <c r="E13"/>
    </row>
    <row r="14" spans="1:27" x14ac:dyDescent="0.25">
      <c r="C14" s="86" t="s">
        <v>328</v>
      </c>
      <c r="E14"/>
    </row>
    <row r="15" spans="1:27" x14ac:dyDescent="0.25">
      <c r="C15" s="86" t="s">
        <v>329</v>
      </c>
      <c r="E15"/>
    </row>
    <row r="17" spans="2:27" x14ac:dyDescent="0.25">
      <c r="B17" s="85" t="s">
        <v>330</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25">
      <c r="C18" s="105"/>
    </row>
    <row r="19" spans="2:27" x14ac:dyDescent="0.25">
      <c r="C19" s="93" t="str">
        <f ca="1">INDEX('Version control'!$H$41:$H$64,MATCH($A$1,'Version control'!$F$41:$F$64,0),1)&amp;"-A: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25">
      <c r="C20" s="105"/>
    </row>
    <row r="21" spans="2:27" x14ac:dyDescent="0.25">
      <c r="D21" s="86" t="s">
        <v>331</v>
      </c>
      <c r="F21" s="2"/>
    </row>
    <row r="22" spans="2:27" x14ac:dyDescent="0.25">
      <c r="D22" s="105"/>
      <c r="F22" s="2"/>
    </row>
    <row r="23" spans="2:27" x14ac:dyDescent="0.25">
      <c r="D23"/>
      <c r="E23" s="75" t="s">
        <v>332</v>
      </c>
      <c r="F23" s="75"/>
      <c r="I23" t="s">
        <v>154</v>
      </c>
      <c r="AA23" t="s">
        <v>203</v>
      </c>
    </row>
    <row r="24" spans="2:27" x14ac:dyDescent="0.25">
      <c r="D24"/>
      <c r="E24" s="86" t="s">
        <v>333</v>
      </c>
    </row>
    <row r="25" spans="2:27" x14ac:dyDescent="0.25">
      <c r="D25" s="105"/>
      <c r="F25" s="95" t="s">
        <v>189</v>
      </c>
      <c r="G25" s="95" t="s">
        <v>167</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25">
      <c r="D26" s="105"/>
      <c r="F26" t="s">
        <v>191</v>
      </c>
      <c r="G26" t="s">
        <v>167</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25">
      <c r="D27" s="105"/>
      <c r="F27" t="s">
        <v>192</v>
      </c>
      <c r="G27" t="s">
        <v>167</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25">
      <c r="D28" s="105"/>
      <c r="F28" t="s">
        <v>193</v>
      </c>
      <c r="G28" t="s">
        <v>167</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25">
      <c r="D29" s="105"/>
      <c r="F29" t="s">
        <v>194</v>
      </c>
      <c r="G29" t="s">
        <v>167</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25">
      <c r="D30" s="105"/>
      <c r="F30" t="s">
        <v>195</v>
      </c>
      <c r="G30" t="s">
        <v>167</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25">
      <c r="D31" s="105"/>
      <c r="F31" t="s">
        <v>196</v>
      </c>
      <c r="G31" t="s">
        <v>167</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25">
      <c r="D32" s="105"/>
      <c r="F32" t="s">
        <v>197</v>
      </c>
      <c r="G32" t="s">
        <v>167</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25">
      <c r="D33" s="105"/>
      <c r="F33" t="s">
        <v>198</v>
      </c>
      <c r="G33" t="s">
        <v>167</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25">
      <c r="D34" s="105"/>
      <c r="F34" t="s">
        <v>199</v>
      </c>
      <c r="G34" t="s">
        <v>167</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25">
      <c r="D35" s="105"/>
      <c r="F35" t="s">
        <v>334</v>
      </c>
      <c r="G35" t="s">
        <v>167</v>
      </c>
      <c r="J35" s="100"/>
      <c r="K35" s="100"/>
      <c r="L35" s="100"/>
      <c r="M35" s="100"/>
      <c r="N35" s="100"/>
      <c r="O35" s="100"/>
      <c r="P35" s="100"/>
      <c r="Q35" s="100"/>
      <c r="R35" s="100"/>
      <c r="S35" s="100"/>
      <c r="T35" s="100"/>
      <c r="U35" s="100"/>
      <c r="V35" s="100"/>
      <c r="W35" s="100"/>
      <c r="X35" s="100"/>
      <c r="Y35" s="100"/>
    </row>
    <row r="36" spans="4:27" x14ac:dyDescent="0.25">
      <c r="D36" s="105"/>
      <c r="F36" s="96" t="s">
        <v>335</v>
      </c>
      <c r="G36" s="96" t="s">
        <v>167</v>
      </c>
      <c r="H36" s="96"/>
      <c r="I36" s="96"/>
      <c r="J36" s="102"/>
      <c r="K36" s="102"/>
      <c r="L36" s="102"/>
      <c r="M36" s="102"/>
      <c r="N36" s="102"/>
      <c r="O36" s="102"/>
      <c r="P36" s="102"/>
      <c r="Q36" s="102"/>
      <c r="R36" s="102"/>
      <c r="S36" s="102"/>
      <c r="T36" s="102"/>
      <c r="U36" s="102"/>
      <c r="V36" s="102"/>
      <c r="W36" s="102"/>
      <c r="X36" s="102"/>
      <c r="Y36" s="102"/>
    </row>
    <row r="37" spans="4:27" x14ac:dyDescent="0.25">
      <c r="D37" s="105"/>
      <c r="F37" s="2"/>
    </row>
    <row r="38" spans="4:27" x14ac:dyDescent="0.25">
      <c r="D38"/>
      <c r="E38" s="75" t="s">
        <v>281</v>
      </c>
      <c r="F38" s="2"/>
    </row>
    <row r="39" spans="4:27" x14ac:dyDescent="0.25">
      <c r="D39" s="105"/>
      <c r="E39"/>
      <c r="F39" s="94" t="s">
        <v>281</v>
      </c>
      <c r="G39" s="94" t="s">
        <v>167</v>
      </c>
      <c r="H39" s="155">
        <f>'Inputs by network level'!P17</f>
        <v>0</v>
      </c>
    </row>
    <row r="40" spans="4:27" x14ac:dyDescent="0.25">
      <c r="D40" s="105"/>
      <c r="F40" s="2"/>
    </row>
    <row r="41" spans="4:27" x14ac:dyDescent="0.25">
      <c r="D41"/>
      <c r="E41" s="75" t="s">
        <v>336</v>
      </c>
      <c r="F41" s="75"/>
    </row>
    <row r="42" spans="4:27" x14ac:dyDescent="0.25">
      <c r="D42"/>
      <c r="E42" s="86" t="s">
        <v>337</v>
      </c>
    </row>
    <row r="43" spans="4:27" x14ac:dyDescent="0.25">
      <c r="D43" s="105"/>
      <c r="F43" s="95" t="s">
        <v>189</v>
      </c>
      <c r="G43" s="95" t="s">
        <v>167</v>
      </c>
      <c r="H43" s="95"/>
      <c r="I43" s="95"/>
      <c r="J43" s="99"/>
      <c r="K43" s="99"/>
      <c r="L43" s="99"/>
      <c r="M43" s="99"/>
      <c r="N43" s="99"/>
      <c r="O43" s="99"/>
      <c r="P43" s="99"/>
      <c r="Q43" s="99"/>
      <c r="R43" s="99"/>
      <c r="S43" s="99"/>
      <c r="T43" s="99"/>
      <c r="U43" s="99"/>
      <c r="V43" s="99"/>
      <c r="W43" s="99"/>
      <c r="X43" s="99"/>
      <c r="Y43" s="99"/>
    </row>
    <row r="44" spans="4:27" x14ac:dyDescent="0.25">
      <c r="D44" s="105"/>
      <c r="F44" t="s">
        <v>191</v>
      </c>
      <c r="G44" t="s">
        <v>167</v>
      </c>
      <c r="J44" s="100"/>
      <c r="K44" s="100"/>
      <c r="L44" s="100"/>
      <c r="M44" s="100"/>
      <c r="N44" s="100"/>
      <c r="O44" s="100"/>
      <c r="P44" s="100"/>
      <c r="Q44" s="100"/>
      <c r="R44" s="100"/>
      <c r="S44" s="100"/>
      <c r="T44" s="100"/>
      <c r="U44" s="100"/>
      <c r="V44" s="100"/>
      <c r="W44" s="100"/>
      <c r="X44" s="100"/>
      <c r="Y44" s="100"/>
    </row>
    <row r="45" spans="4:27" x14ac:dyDescent="0.25">
      <c r="D45" s="105"/>
      <c r="F45" s="145" t="s">
        <v>192</v>
      </c>
      <c r="G45" s="145" t="s">
        <v>167</v>
      </c>
      <c r="H45" s="145"/>
      <c r="I45" s="145" t="s">
        <v>154</v>
      </c>
      <c r="J45" s="156">
        <f>IF($H$39 = 0, J27, J29 * $H$39)</f>
        <v>0</v>
      </c>
      <c r="K45" s="156">
        <f t="shared" ref="K45:Q45" si="0">IF($H$39 = 0, K27, K29 * $H$39)</f>
        <v>0</v>
      </c>
      <c r="L45" s="156">
        <f t="shared" si="0"/>
        <v>0</v>
      </c>
      <c r="M45" s="156">
        <f t="shared" si="0"/>
        <v>0</v>
      </c>
      <c r="N45" s="156">
        <f t="shared" si="0"/>
        <v>0</v>
      </c>
      <c r="O45" s="156">
        <f t="shared" si="0"/>
        <v>0</v>
      </c>
      <c r="P45" s="156">
        <f t="shared" si="0"/>
        <v>0</v>
      </c>
      <c r="Q45" s="156">
        <f t="shared" si="0"/>
        <v>0</v>
      </c>
      <c r="R45" s="157"/>
      <c r="S45" s="157"/>
      <c r="T45" s="157"/>
      <c r="U45" s="157"/>
      <c r="V45" s="157"/>
      <c r="W45" s="157"/>
      <c r="X45" s="157"/>
      <c r="Y45" s="157"/>
      <c r="AA45" t="s">
        <v>338</v>
      </c>
    </row>
    <row r="46" spans="4:27" x14ac:dyDescent="0.25">
      <c r="D46" s="105"/>
      <c r="F46" t="s">
        <v>193</v>
      </c>
      <c r="G46" t="s">
        <v>167</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25">
      <c r="D47" s="105"/>
      <c r="F47" t="s">
        <v>194</v>
      </c>
      <c r="G47" t="s">
        <v>167</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25">
      <c r="D48" s="105"/>
      <c r="F48" t="s">
        <v>195</v>
      </c>
      <c r="G48" t="s">
        <v>167</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25">
      <c r="D49" s="105"/>
      <c r="F49" s="145" t="s">
        <v>196</v>
      </c>
      <c r="G49" s="145" t="s">
        <v>167</v>
      </c>
      <c r="H49" s="145"/>
      <c r="I49" s="145" t="s">
        <v>154</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339</v>
      </c>
    </row>
    <row r="50" spans="2:27" x14ac:dyDescent="0.25">
      <c r="D50" s="105"/>
      <c r="F50" t="s">
        <v>197</v>
      </c>
      <c r="G50" t="s">
        <v>167</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25">
      <c r="D51" s="105"/>
      <c r="F51" t="s">
        <v>198</v>
      </c>
      <c r="G51" t="s">
        <v>167</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25">
      <c r="D52" s="105"/>
      <c r="F52" t="s">
        <v>199</v>
      </c>
      <c r="G52" t="s">
        <v>167</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25">
      <c r="D53" s="105"/>
      <c r="F53" t="s">
        <v>334</v>
      </c>
      <c r="G53" t="s">
        <v>167</v>
      </c>
      <c r="J53" s="100"/>
      <c r="K53" s="100"/>
      <c r="L53" s="100"/>
      <c r="M53" s="100"/>
      <c r="N53" s="100"/>
      <c r="O53" s="100"/>
      <c r="P53" s="100"/>
      <c r="Q53" s="100"/>
      <c r="R53" s="100"/>
      <c r="S53" s="100"/>
      <c r="T53" s="100"/>
      <c r="U53" s="100"/>
      <c r="V53" s="100"/>
      <c r="W53" s="100"/>
      <c r="X53" s="100"/>
      <c r="Y53" s="100"/>
    </row>
    <row r="54" spans="2:27" x14ac:dyDescent="0.25">
      <c r="D54" s="105"/>
      <c r="F54" s="96" t="s">
        <v>335</v>
      </c>
      <c r="G54" s="96" t="s">
        <v>167</v>
      </c>
      <c r="H54" s="96"/>
      <c r="I54" s="96"/>
      <c r="J54" s="102"/>
      <c r="K54" s="102"/>
      <c r="L54" s="102"/>
      <c r="M54" s="102"/>
      <c r="N54" s="102"/>
      <c r="O54" s="102"/>
      <c r="P54" s="102"/>
      <c r="Q54" s="102"/>
      <c r="R54" s="102"/>
      <c r="S54" s="102"/>
      <c r="T54" s="102"/>
      <c r="U54" s="102"/>
      <c r="V54" s="102"/>
      <c r="W54" s="102"/>
      <c r="X54" s="102"/>
      <c r="Y54" s="102"/>
    </row>
    <row r="55" spans="2:27" x14ac:dyDescent="0.25">
      <c r="C55" s="105"/>
    </row>
    <row r="56" spans="2:27" x14ac:dyDescent="0.25">
      <c r="B56" s="85" t="s">
        <v>231</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D57"/>
      <c r="E57"/>
    </row>
    <row r="58" spans="2:27" x14ac:dyDescent="0.25">
      <c r="D58"/>
      <c r="E58" t="s">
        <v>232</v>
      </c>
      <c r="G58" s="6" t="s">
        <v>56</v>
      </c>
      <c r="H58" s="113">
        <f t="array" ref="H58">SUM(IF(ISERROR(H25:Y54), 1))</f>
        <v>0</v>
      </c>
    </row>
    <row r="59" spans="2:27" x14ac:dyDescent="0.25">
      <c r="D59"/>
      <c r="E59"/>
    </row>
    <row r="60" spans="2:27" x14ac:dyDescent="0.25">
      <c r="B60" s="85" t="s">
        <v>107</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NGED South West - [enter data version name]</v>
      </c>
    </row>
    <row r="3" spans="1:23" s="5" customFormat="1" x14ac:dyDescent="0.25">
      <c r="A3" s="5" t="str">
        <f>Cover!D2&amp;" - "&amp;Cover!D8&amp;" v"&amp;Cover!D10&amp;" - "&amp;Cover!D19</f>
        <v>CDCM charging model - Release for charge setting v11 - 2026/27</v>
      </c>
    </row>
    <row r="4" spans="1:23" x14ac:dyDescent="0.25">
      <c r="A4" s="60" t="str">
        <f>H183 &amp; IF(H183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07"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86"/>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340</v>
      </c>
    </row>
    <row r="10" spans="1:23" x14ac:dyDescent="0.25">
      <c r="C10" s="86" t="s">
        <v>341</v>
      </c>
    </row>
    <row r="11" spans="1:23" x14ac:dyDescent="0.25">
      <c r="C11" s="86" t="s">
        <v>342</v>
      </c>
    </row>
    <row r="13" spans="1:23" x14ac:dyDescent="0.25">
      <c r="B13" s="85" t="s">
        <v>343</v>
      </c>
      <c r="C13" s="85"/>
      <c r="D13" s="85"/>
      <c r="E13" s="85"/>
      <c r="F13" s="85"/>
      <c r="G13" s="85"/>
      <c r="H13" s="85"/>
      <c r="I13" s="85"/>
      <c r="J13" s="85"/>
      <c r="K13" s="85"/>
      <c r="L13" s="85"/>
      <c r="M13" s="85"/>
      <c r="N13" s="85"/>
      <c r="O13" s="85"/>
      <c r="P13" s="85"/>
      <c r="Q13" s="85"/>
      <c r="R13" s="85"/>
      <c r="S13" s="85"/>
      <c r="T13" s="85"/>
      <c r="U13" s="85"/>
      <c r="V13" s="85"/>
      <c r="W13" s="85"/>
    </row>
    <row r="14" spans="1:23" x14ac:dyDescent="0.25">
      <c r="H14" s="3"/>
      <c r="I14" s="3"/>
      <c r="J14" s="3"/>
      <c r="K14" s="3"/>
      <c r="L14" s="3"/>
      <c r="M14" s="3"/>
      <c r="N14" s="3"/>
      <c r="O14" s="3"/>
      <c r="P14" s="3"/>
      <c r="Q14" s="3"/>
      <c r="R14" s="3"/>
      <c r="S14" s="3"/>
      <c r="T14" s="3"/>
      <c r="U14" s="3"/>
      <c r="W14" s="3"/>
    </row>
    <row r="15" spans="1:23" x14ac:dyDescent="0.25">
      <c r="C15" s="86" t="s">
        <v>344</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93" t="str">
        <f ca="1">INDEX('Version control'!$H$41:$H$64,MATCH($A$1,'Version control'!$F$41:$F$64,0),1)&amp;"-A: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25">
      <c r="H18" s="3"/>
      <c r="I18" s="3"/>
      <c r="J18" s="3"/>
      <c r="K18" s="3"/>
      <c r="L18" s="3"/>
      <c r="M18" s="3"/>
      <c r="N18" s="3"/>
      <c r="O18" s="3"/>
      <c r="P18" s="3"/>
      <c r="Q18" s="3"/>
      <c r="R18" s="3"/>
      <c r="S18" s="3"/>
      <c r="T18" s="3"/>
      <c r="U18" s="3"/>
      <c r="W18" s="3"/>
    </row>
    <row r="19" spans="2:23" x14ac:dyDescent="0.25">
      <c r="E19" t="s">
        <v>345</v>
      </c>
      <c r="F19" s="162"/>
      <c r="G19" s="61" t="s">
        <v>167</v>
      </c>
      <c r="H19" s="3"/>
      <c r="I19" s="3"/>
      <c r="J19" s="139"/>
      <c r="K19" s="163">
        <f>'Inputs by network level'!K15</f>
        <v>2.1999999999999999E-2</v>
      </c>
      <c r="L19" s="163">
        <f>'Inputs by network level'!L15</f>
        <v>3.1E-2</v>
      </c>
      <c r="M19" s="139"/>
      <c r="N19" s="163">
        <f>'Inputs by network level'!N15</f>
        <v>7.4999999999999997E-2</v>
      </c>
      <c r="O19" s="139"/>
      <c r="P19" s="139"/>
      <c r="Q19" s="163">
        <f>'Inputs by network level'!Q15</f>
        <v>0.37</v>
      </c>
      <c r="R19" s="139"/>
      <c r="S19" s="139"/>
      <c r="T19" s="100"/>
      <c r="U19" s="100"/>
    </row>
    <row r="20" spans="2:23" x14ac:dyDescent="0.25">
      <c r="E20" t="s">
        <v>243</v>
      </c>
      <c r="F20" s="162"/>
      <c r="G20" s="61" t="s">
        <v>167</v>
      </c>
      <c r="H20" s="3"/>
      <c r="I20" s="3"/>
      <c r="J20" s="164">
        <f t="shared" ref="J20" si="0">IF(I20 = "", 1, I20 / (1 + J19))</f>
        <v>1</v>
      </c>
      <c r="K20" s="164">
        <f>IF(J20 = "", 1, J20 / (1 + K19))</f>
        <v>0.97847358121330719</v>
      </c>
      <c r="L20" s="164">
        <f t="shared" ref="L20:S20" si="1">IF(K20 = "", 1, K20 / (1 + L19))</f>
        <v>0.94905294007110308</v>
      </c>
      <c r="M20" s="164">
        <f t="shared" si="1"/>
        <v>0.94905294007110308</v>
      </c>
      <c r="N20" s="164">
        <f t="shared" si="1"/>
        <v>0.88283994425218892</v>
      </c>
      <c r="O20" s="164">
        <f t="shared" si="1"/>
        <v>0.88283994425218892</v>
      </c>
      <c r="P20" s="164">
        <f t="shared" si="1"/>
        <v>0.88283994425218892</v>
      </c>
      <c r="Q20" s="164">
        <f t="shared" si="1"/>
        <v>0.64440871843225467</v>
      </c>
      <c r="R20" s="164">
        <f t="shared" si="1"/>
        <v>0.64440871843225467</v>
      </c>
      <c r="S20" s="164">
        <f t="shared" si="1"/>
        <v>0.64440871843225467</v>
      </c>
      <c r="T20" s="100"/>
      <c r="U20" s="100"/>
    </row>
    <row r="21" spans="2:23" x14ac:dyDescent="0.25">
      <c r="E21" t="s">
        <v>346</v>
      </c>
      <c r="F21" s="162"/>
      <c r="G21" s="61" t="s">
        <v>167</v>
      </c>
      <c r="H21" s="3"/>
      <c r="I21" s="3"/>
      <c r="J21" s="164">
        <f>1 / J20 - 1</f>
        <v>0</v>
      </c>
      <c r="K21" s="164">
        <f t="shared" ref="K21:S21" si="2">1 / K20 - 1</f>
        <v>2.200000000000002E-2</v>
      </c>
      <c r="L21" s="164">
        <f t="shared" si="2"/>
        <v>5.3682000000000007E-2</v>
      </c>
      <c r="M21" s="164">
        <f t="shared" si="2"/>
        <v>5.3682000000000007E-2</v>
      </c>
      <c r="N21" s="164">
        <f t="shared" si="2"/>
        <v>0.13270815000000002</v>
      </c>
      <c r="O21" s="164">
        <f t="shared" si="2"/>
        <v>0.13270815000000002</v>
      </c>
      <c r="P21" s="164">
        <f t="shared" si="2"/>
        <v>0.13270815000000002</v>
      </c>
      <c r="Q21" s="164">
        <f t="shared" si="2"/>
        <v>0.55181016550000006</v>
      </c>
      <c r="R21" s="164">
        <f t="shared" si="2"/>
        <v>0.55181016550000006</v>
      </c>
      <c r="S21" s="164">
        <f t="shared" si="2"/>
        <v>0.55181016550000006</v>
      </c>
      <c r="T21" s="100"/>
      <c r="U21" s="100"/>
    </row>
    <row r="22" spans="2:23" x14ac:dyDescent="0.25">
      <c r="E22" t="s">
        <v>347</v>
      </c>
      <c r="F22" s="162"/>
      <c r="G22" s="61" t="s">
        <v>167</v>
      </c>
      <c r="H22" s="3"/>
      <c r="I22" s="3"/>
      <c r="J22" s="139"/>
      <c r="K22" s="139"/>
      <c r="L22" s="139"/>
      <c r="M22" s="139"/>
      <c r="N22" s="139"/>
      <c r="O22" s="139"/>
      <c r="P22" s="164">
        <f>M21</f>
        <v>5.3682000000000007E-2</v>
      </c>
      <c r="Q22" s="139"/>
      <c r="R22" s="139"/>
      <c r="S22" s="139"/>
      <c r="T22" s="100"/>
      <c r="U22" s="100"/>
    </row>
    <row r="23" spans="2:23" x14ac:dyDescent="0.25">
      <c r="E23" t="s">
        <v>348</v>
      </c>
      <c r="F23" s="162"/>
      <c r="G23" s="61" t="s">
        <v>167</v>
      </c>
      <c r="H23" s="3"/>
      <c r="I23" s="3" t="s">
        <v>154</v>
      </c>
      <c r="J23" s="165">
        <f t="shared" ref="J23:S23" si="3">IF(J22 = "", J21, J22)</f>
        <v>0</v>
      </c>
      <c r="K23" s="165">
        <f t="shared" si="3"/>
        <v>2.200000000000002E-2</v>
      </c>
      <c r="L23" s="165">
        <f t="shared" si="3"/>
        <v>5.3682000000000007E-2</v>
      </c>
      <c r="M23" s="165">
        <f t="shared" si="3"/>
        <v>5.3682000000000007E-2</v>
      </c>
      <c r="N23" s="165">
        <f t="shared" si="3"/>
        <v>0.13270815000000002</v>
      </c>
      <c r="O23" s="165">
        <f t="shared" si="3"/>
        <v>0.13270815000000002</v>
      </c>
      <c r="P23" s="165">
        <f t="shared" si="3"/>
        <v>5.3682000000000007E-2</v>
      </c>
      <c r="Q23" s="165">
        <f t="shared" si="3"/>
        <v>0.55181016550000006</v>
      </c>
      <c r="R23" s="165">
        <f t="shared" si="3"/>
        <v>0.55181016550000006</v>
      </c>
      <c r="S23" s="165">
        <f t="shared" si="3"/>
        <v>0.55181016550000006</v>
      </c>
      <c r="T23" s="100"/>
      <c r="U23" s="100"/>
      <c r="W23" s="97" t="s">
        <v>349</v>
      </c>
    </row>
    <row r="24" spans="2:23" x14ac:dyDescent="0.25">
      <c r="F24" s="162"/>
      <c r="G24" s="61"/>
      <c r="H24" s="3"/>
      <c r="I24" s="3"/>
      <c r="J24" s="164"/>
      <c r="K24" s="164"/>
      <c r="L24" s="164"/>
      <c r="M24" s="164"/>
      <c r="N24" s="164"/>
      <c r="O24" s="164"/>
      <c r="P24" s="164"/>
      <c r="Q24" s="164"/>
      <c r="R24" s="164"/>
      <c r="S24" s="164"/>
      <c r="T24" s="3"/>
      <c r="U24" s="3"/>
    </row>
    <row r="25" spans="2:23" x14ac:dyDescent="0.25">
      <c r="C25" s="93" t="str">
        <f ca="1">INDEX('Version control'!$H$41:$H$64,MATCH($A$1,'Version control'!$F$41:$F$64,0),1)&amp;"-B: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25">
      <c r="H26" s="3"/>
      <c r="I26" s="3"/>
      <c r="J26" s="3"/>
      <c r="K26" s="3"/>
      <c r="L26" s="3"/>
      <c r="M26" s="3"/>
      <c r="N26" s="3"/>
      <c r="O26" s="3"/>
      <c r="P26" s="3"/>
      <c r="Q26" s="3"/>
      <c r="R26" s="3"/>
      <c r="S26" s="3"/>
      <c r="T26" s="3"/>
      <c r="U26" s="3"/>
      <c r="W26" s="3"/>
    </row>
    <row r="27" spans="2:23" x14ac:dyDescent="0.25">
      <c r="E27" t="s">
        <v>350</v>
      </c>
      <c r="F27" s="166"/>
      <c r="G27" s="118" t="s">
        <v>283</v>
      </c>
      <c r="H27" s="3"/>
      <c r="I27" s="3"/>
      <c r="J27" s="119"/>
      <c r="K27" s="167">
        <f>'Inputs by network level'!K19</f>
        <v>1</v>
      </c>
      <c r="L27" s="167">
        <f>'Inputs by network level'!L19</f>
        <v>1.0009999999999999</v>
      </c>
      <c r="M27" s="167">
        <f>'Inputs by network level'!M19</f>
        <v>1.0049999999999999</v>
      </c>
      <c r="N27" s="167">
        <f>'Inputs by network level'!N19</f>
        <v>1.012</v>
      </c>
      <c r="O27" s="167">
        <f>'Inputs by network level'!O19</f>
        <v>1.018</v>
      </c>
      <c r="P27" s="119"/>
      <c r="Q27" s="167">
        <f>'Inputs by network level'!Q19</f>
        <v>1.034</v>
      </c>
      <c r="R27" s="167">
        <f>'Inputs by network level'!R19</f>
        <v>1.048</v>
      </c>
      <c r="S27" s="167">
        <f>'Inputs by network level'!S19</f>
        <v>1.0620000000000001</v>
      </c>
      <c r="T27" s="119"/>
      <c r="U27" s="119"/>
    </row>
    <row r="28" spans="2:23" x14ac:dyDescent="0.25">
      <c r="E28" t="s">
        <v>351</v>
      </c>
      <c r="F28" s="166"/>
      <c r="G28" s="118" t="s">
        <v>283</v>
      </c>
      <c r="H28" s="3"/>
      <c r="I28" s="3"/>
      <c r="J28" s="168">
        <f>K27</f>
        <v>1</v>
      </c>
      <c r="K28" s="119"/>
      <c r="L28" s="119"/>
      <c r="M28" s="119"/>
      <c r="N28" s="119"/>
      <c r="O28" s="119"/>
      <c r="P28" s="168">
        <f>O27</f>
        <v>1.018</v>
      </c>
      <c r="Q28" s="119"/>
      <c r="R28" s="119"/>
      <c r="S28" s="119"/>
      <c r="T28" s="119"/>
      <c r="U28" s="119"/>
    </row>
    <row r="29" spans="2:23" x14ac:dyDescent="0.25">
      <c r="E29" t="s">
        <v>352</v>
      </c>
      <c r="F29" s="166"/>
      <c r="G29" s="118" t="s">
        <v>283</v>
      </c>
      <c r="H29" s="3"/>
      <c r="I29" s="3" t="s">
        <v>154</v>
      </c>
      <c r="J29" s="151">
        <f t="shared" ref="J29:S29" si="4">J27 + J28</f>
        <v>1</v>
      </c>
      <c r="K29" s="151">
        <f t="shared" si="4"/>
        <v>1</v>
      </c>
      <c r="L29" s="151">
        <f t="shared" si="4"/>
        <v>1.0009999999999999</v>
      </c>
      <c r="M29" s="151">
        <f t="shared" si="4"/>
        <v>1.0049999999999999</v>
      </c>
      <c r="N29" s="151">
        <f t="shared" si="4"/>
        <v>1.012</v>
      </c>
      <c r="O29" s="151">
        <f t="shared" si="4"/>
        <v>1.018</v>
      </c>
      <c r="P29" s="151">
        <f t="shared" si="4"/>
        <v>1.018</v>
      </c>
      <c r="Q29" s="151">
        <f t="shared" si="4"/>
        <v>1.034</v>
      </c>
      <c r="R29" s="151">
        <f t="shared" si="4"/>
        <v>1.048</v>
      </c>
      <c r="S29" s="151">
        <f t="shared" si="4"/>
        <v>1.0620000000000001</v>
      </c>
      <c r="T29" s="119"/>
      <c r="U29" s="119"/>
      <c r="W29" s="97" t="s">
        <v>284</v>
      </c>
    </row>
    <row r="30" spans="2:23" x14ac:dyDescent="0.25">
      <c r="F30" s="162"/>
      <c r="G30" s="61"/>
      <c r="H30" s="3"/>
      <c r="I30" s="3"/>
      <c r="J30" s="3"/>
      <c r="K30" s="3"/>
      <c r="L30" s="3"/>
      <c r="M30" s="3"/>
      <c r="N30" s="3"/>
      <c r="O30" s="3"/>
      <c r="Q30" s="3"/>
      <c r="R30" s="3"/>
      <c r="S30" s="3"/>
      <c r="T30" s="3"/>
      <c r="U30" s="3"/>
    </row>
    <row r="31" spans="2:23" x14ac:dyDescent="0.25">
      <c r="B31" s="85" t="s">
        <v>353</v>
      </c>
      <c r="C31" s="85"/>
      <c r="D31" s="85"/>
      <c r="E31" s="85"/>
      <c r="F31" s="85"/>
      <c r="G31" s="137"/>
      <c r="H31" s="85"/>
      <c r="I31" s="85"/>
      <c r="J31" s="85"/>
      <c r="K31" s="85"/>
      <c r="L31" s="85"/>
      <c r="M31" s="85"/>
      <c r="N31" s="85"/>
      <c r="O31" s="85"/>
      <c r="P31" s="85"/>
      <c r="Q31" s="85"/>
      <c r="R31" s="85"/>
      <c r="S31" s="85"/>
      <c r="T31" s="85"/>
      <c r="U31" s="85"/>
      <c r="V31" s="85"/>
      <c r="W31" s="85"/>
    </row>
    <row r="32" spans="2:23" x14ac:dyDescent="0.25">
      <c r="F32" s="162"/>
      <c r="G32" s="61"/>
      <c r="H32" s="3"/>
      <c r="I32" s="3"/>
      <c r="J32" s="3"/>
      <c r="K32" s="3"/>
      <c r="L32" s="3"/>
      <c r="M32" s="3"/>
      <c r="N32" s="3"/>
      <c r="O32" s="3"/>
      <c r="Q32" s="3"/>
      <c r="R32" s="3"/>
      <c r="S32" s="3"/>
      <c r="T32" s="3"/>
      <c r="U32" s="3"/>
    </row>
    <row r="33" spans="3:23" x14ac:dyDescent="0.25">
      <c r="C33" s="86" t="s">
        <v>354</v>
      </c>
      <c r="F33" s="162"/>
      <c r="G33" s="61"/>
      <c r="H33" s="3"/>
      <c r="I33" s="3"/>
      <c r="J33" s="3"/>
      <c r="K33" s="3"/>
      <c r="L33" s="3"/>
      <c r="M33" s="3"/>
      <c r="N33" s="3"/>
      <c r="O33" s="3"/>
      <c r="Q33" s="3"/>
      <c r="R33" s="3"/>
      <c r="S33" s="3"/>
      <c r="T33" s="3"/>
      <c r="U33" s="3"/>
    </row>
    <row r="34" spans="3:23" x14ac:dyDescent="0.25">
      <c r="F34" s="162"/>
      <c r="G34" s="61"/>
      <c r="H34" s="3"/>
      <c r="I34" s="3"/>
      <c r="J34" s="3"/>
      <c r="K34" s="3"/>
      <c r="L34" s="3"/>
      <c r="M34" s="3"/>
      <c r="N34" s="3"/>
      <c r="O34" s="3"/>
      <c r="Q34" s="3"/>
      <c r="R34" s="3"/>
      <c r="S34" s="3"/>
      <c r="T34" s="3"/>
      <c r="U34" s="3"/>
    </row>
    <row r="35" spans="3:23" x14ac:dyDescent="0.25">
      <c r="C35" s="93" t="str">
        <f ca="1">INDEX('Version control'!$H$41:$H$64,MATCH($A$1,'Version control'!$F$41:$F$64,0),1)&amp;"-C: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25">
      <c r="H36" s="3"/>
      <c r="I36" s="3"/>
      <c r="J36" s="3"/>
      <c r="K36" s="3"/>
      <c r="L36" s="3"/>
      <c r="M36" s="3"/>
      <c r="N36" s="3"/>
      <c r="O36" s="3"/>
      <c r="P36" s="3"/>
      <c r="Q36" s="3"/>
      <c r="R36" s="3"/>
      <c r="S36" s="3"/>
      <c r="T36" s="3"/>
      <c r="U36" s="3"/>
      <c r="W36" s="3"/>
    </row>
    <row r="37" spans="3:23" x14ac:dyDescent="0.25">
      <c r="E37" t="s">
        <v>196</v>
      </c>
      <c r="F37" s="94"/>
      <c r="G37" s="118" t="s">
        <v>167</v>
      </c>
      <c r="H37" s="163">
        <f>'Inputs by network level'!P17</f>
        <v>0</v>
      </c>
      <c r="I37" s="3"/>
    </row>
    <row r="38" spans="3:23" x14ac:dyDescent="0.25">
      <c r="E38" t="s">
        <v>355</v>
      </c>
      <c r="F38" s="162"/>
      <c r="G38" s="61" t="s">
        <v>167</v>
      </c>
      <c r="H38" s="3"/>
      <c r="I38" s="3"/>
      <c r="J38" s="100"/>
      <c r="K38" s="100"/>
      <c r="L38" s="100"/>
      <c r="M38" s="169">
        <f>1 - $H$37</f>
        <v>1</v>
      </c>
      <c r="N38" s="169">
        <f>1 - $H$37</f>
        <v>1</v>
      </c>
      <c r="O38" s="169">
        <f>1 - $H$37</f>
        <v>1</v>
      </c>
      <c r="P38" s="170">
        <f>H37</f>
        <v>0</v>
      </c>
      <c r="Q38" s="100"/>
      <c r="R38" s="100"/>
      <c r="S38" s="100"/>
      <c r="T38" s="100"/>
      <c r="U38" s="100"/>
    </row>
    <row r="39" spans="3:23" x14ac:dyDescent="0.25">
      <c r="F39" s="162"/>
      <c r="G39" s="61"/>
      <c r="H39" s="3"/>
      <c r="I39" s="3"/>
      <c r="J39" s="3"/>
      <c r="K39" s="3"/>
      <c r="L39" s="3"/>
      <c r="M39" s="3"/>
      <c r="N39" s="3"/>
      <c r="O39" s="3"/>
      <c r="Q39" s="3"/>
      <c r="R39" s="3"/>
      <c r="S39" s="3"/>
      <c r="T39" s="3"/>
      <c r="U39" s="3"/>
    </row>
    <row r="40" spans="3:23" x14ac:dyDescent="0.25">
      <c r="C40" s="93" t="str">
        <f ca="1">INDEX('Version control'!$H$41:$H$64,MATCH($A$1,'Version control'!$F$41:$F$64,0),1)&amp;"-D: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25">
      <c r="H41" s="3"/>
      <c r="I41" s="3"/>
      <c r="J41" s="3"/>
      <c r="K41" s="3"/>
      <c r="L41" s="3"/>
      <c r="M41" s="3"/>
      <c r="N41" s="3"/>
      <c r="O41" s="3"/>
      <c r="P41" s="3"/>
      <c r="Q41" s="3"/>
      <c r="R41" s="3"/>
      <c r="S41" s="3"/>
      <c r="T41" s="3"/>
      <c r="U41" s="3"/>
      <c r="W41" s="3"/>
    </row>
    <row r="42" spans="3:23" x14ac:dyDescent="0.25">
      <c r="D42" s="86" t="s">
        <v>356</v>
      </c>
      <c r="H42" s="3"/>
      <c r="I42" s="3"/>
      <c r="J42" s="3"/>
      <c r="K42" s="3"/>
      <c r="L42" s="3"/>
      <c r="M42" s="3"/>
      <c r="N42" s="3"/>
      <c r="O42" s="3"/>
      <c r="P42" s="3"/>
      <c r="Q42" s="3"/>
      <c r="R42" s="3"/>
      <c r="S42" s="3"/>
      <c r="T42" s="3"/>
      <c r="U42" s="3"/>
      <c r="W42" s="3"/>
    </row>
    <row r="43" spans="3:23" x14ac:dyDescent="0.25">
      <c r="D43" s="86"/>
      <c r="H43" s="3"/>
      <c r="I43" s="3"/>
      <c r="J43" s="3"/>
      <c r="K43" s="3"/>
      <c r="L43" s="3"/>
      <c r="M43" s="3"/>
      <c r="N43" s="3"/>
      <c r="O43" s="3"/>
      <c r="P43" s="3"/>
      <c r="Q43" s="3"/>
      <c r="R43" s="3"/>
      <c r="S43" s="3"/>
      <c r="T43" s="3"/>
      <c r="U43" s="3"/>
      <c r="W43" s="3"/>
    </row>
    <row r="44" spans="3:23" x14ac:dyDescent="0.25">
      <c r="E44" s="75" t="s">
        <v>187</v>
      </c>
      <c r="G44" s="61"/>
    </row>
    <row r="45" spans="3:23" x14ac:dyDescent="0.25">
      <c r="E45" s="86" t="s">
        <v>357</v>
      </c>
      <c r="G45" s="61"/>
    </row>
    <row r="46" spans="3:23" x14ac:dyDescent="0.25">
      <c r="F46" s="95" t="s">
        <v>1114</v>
      </c>
      <c r="G46" s="116" t="s">
        <v>190</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25">
      <c r="F47" t="s">
        <v>785</v>
      </c>
      <c r="G47" s="118" t="s">
        <v>190</v>
      </c>
      <c r="J47" s="167">
        <v>1</v>
      </c>
      <c r="K47" s="167">
        <v>1</v>
      </c>
      <c r="L47" s="167">
        <v>1</v>
      </c>
      <c r="M47" s="167">
        <v>1</v>
      </c>
      <c r="N47" s="167">
        <v>1</v>
      </c>
      <c r="O47" s="167">
        <v>1</v>
      </c>
      <c r="P47" s="167">
        <v>1</v>
      </c>
      <c r="Q47" s="167">
        <v>1</v>
      </c>
      <c r="R47" s="167">
        <v>1</v>
      </c>
      <c r="S47" s="167">
        <v>1</v>
      </c>
      <c r="T47" s="119"/>
      <c r="U47" s="119"/>
    </row>
    <row r="48" spans="3:23" x14ac:dyDescent="0.25">
      <c r="F48" t="s">
        <v>1115</v>
      </c>
      <c r="G48" s="118" t="s">
        <v>190</v>
      </c>
      <c r="J48" s="167">
        <v>1</v>
      </c>
      <c r="K48" s="167">
        <v>1</v>
      </c>
      <c r="L48" s="167">
        <v>1</v>
      </c>
      <c r="M48" s="167">
        <v>1</v>
      </c>
      <c r="N48" s="167">
        <v>1</v>
      </c>
      <c r="O48" s="167">
        <v>1</v>
      </c>
      <c r="P48" s="167">
        <v>1</v>
      </c>
      <c r="Q48" s="167">
        <v>1</v>
      </c>
      <c r="R48" s="167">
        <v>1</v>
      </c>
      <c r="S48" s="167">
        <v>1</v>
      </c>
      <c r="T48" s="119"/>
      <c r="U48" s="119"/>
    </row>
    <row r="49" spans="5:21" x14ac:dyDescent="0.25">
      <c r="F49" t="s">
        <v>786</v>
      </c>
      <c r="G49" s="118" t="s">
        <v>190</v>
      </c>
      <c r="J49" s="167">
        <v>1</v>
      </c>
      <c r="K49" s="167">
        <v>1</v>
      </c>
      <c r="L49" s="167">
        <v>1</v>
      </c>
      <c r="M49" s="167">
        <v>1</v>
      </c>
      <c r="N49" s="167">
        <v>1</v>
      </c>
      <c r="O49" s="167">
        <v>1</v>
      </c>
      <c r="P49" s="167">
        <v>1</v>
      </c>
      <c r="Q49" s="167">
        <v>1</v>
      </c>
      <c r="R49" s="167">
        <v>1</v>
      </c>
      <c r="S49" s="167">
        <v>1</v>
      </c>
      <c r="T49" s="119"/>
      <c r="U49" s="119"/>
    </row>
    <row r="50" spans="5:21" x14ac:dyDescent="0.25">
      <c r="F50" t="s">
        <v>792</v>
      </c>
      <c r="G50" s="118" t="s">
        <v>190</v>
      </c>
      <c r="J50" s="167">
        <v>1</v>
      </c>
      <c r="K50" s="167">
        <v>1</v>
      </c>
      <c r="L50" s="167">
        <v>1</v>
      </c>
      <c r="M50" s="167">
        <v>1</v>
      </c>
      <c r="N50" s="167">
        <v>1</v>
      </c>
      <c r="O50" s="167">
        <v>1</v>
      </c>
      <c r="P50" s="167">
        <v>1</v>
      </c>
      <c r="Q50" s="167">
        <v>1</v>
      </c>
      <c r="R50" s="167">
        <v>1</v>
      </c>
      <c r="S50" s="167">
        <v>1</v>
      </c>
      <c r="T50" s="119"/>
      <c r="U50" s="119"/>
    </row>
    <row r="51" spans="5:21" x14ac:dyDescent="0.25">
      <c r="F51" t="s">
        <v>793</v>
      </c>
      <c r="G51" s="118" t="s">
        <v>190</v>
      </c>
      <c r="J51" s="167">
        <v>1</v>
      </c>
      <c r="K51" s="167">
        <v>1</v>
      </c>
      <c r="L51" s="167">
        <v>1</v>
      </c>
      <c r="M51" s="167">
        <v>1</v>
      </c>
      <c r="N51" s="167">
        <v>1</v>
      </c>
      <c r="O51" s="167">
        <v>1</v>
      </c>
      <c r="P51" s="167">
        <v>1</v>
      </c>
      <c r="Q51" s="167">
        <v>1</v>
      </c>
      <c r="R51" s="167">
        <v>1</v>
      </c>
      <c r="S51" s="167">
        <v>0</v>
      </c>
      <c r="T51" s="119"/>
      <c r="U51" s="119"/>
    </row>
    <row r="52" spans="5:21" x14ac:dyDescent="0.25">
      <c r="F52" t="s">
        <v>794</v>
      </c>
      <c r="G52" s="118" t="s">
        <v>190</v>
      </c>
      <c r="J52" s="167">
        <v>1</v>
      </c>
      <c r="K52" s="167">
        <v>1</v>
      </c>
      <c r="L52" s="167">
        <v>1</v>
      </c>
      <c r="M52" s="167">
        <v>1</v>
      </c>
      <c r="N52" s="167">
        <v>1</v>
      </c>
      <c r="O52" s="167">
        <v>1</v>
      </c>
      <c r="P52" s="167">
        <v>1</v>
      </c>
      <c r="Q52" s="167">
        <v>1</v>
      </c>
      <c r="R52" s="167">
        <v>0</v>
      </c>
      <c r="S52" s="167">
        <v>0</v>
      </c>
      <c r="T52" s="119"/>
      <c r="U52" s="119"/>
    </row>
    <row r="53" spans="5:21" x14ac:dyDescent="0.25">
      <c r="F53" t="s">
        <v>795</v>
      </c>
      <c r="G53" s="118" t="s">
        <v>190</v>
      </c>
      <c r="J53" s="167">
        <v>1</v>
      </c>
      <c r="K53" s="167">
        <v>1</v>
      </c>
      <c r="L53" s="167">
        <v>1</v>
      </c>
      <c r="M53" s="167">
        <v>1</v>
      </c>
      <c r="N53" s="167">
        <v>1</v>
      </c>
      <c r="O53" s="167">
        <v>1</v>
      </c>
      <c r="P53" s="167">
        <v>1</v>
      </c>
      <c r="Q53" s="167">
        <v>1</v>
      </c>
      <c r="R53" s="167">
        <v>1</v>
      </c>
      <c r="S53" s="167">
        <v>1</v>
      </c>
      <c r="T53" s="119"/>
      <c r="U53" s="119"/>
    </row>
    <row r="54" spans="5:21" x14ac:dyDescent="0.25">
      <c r="F54" t="s">
        <v>787</v>
      </c>
      <c r="G54" s="118" t="s">
        <v>190</v>
      </c>
      <c r="J54" s="167">
        <v>-1</v>
      </c>
      <c r="K54" s="167">
        <v>-1</v>
      </c>
      <c r="L54" s="167">
        <v>-1</v>
      </c>
      <c r="M54" s="167">
        <v>-1</v>
      </c>
      <c r="N54" s="167">
        <v>-1</v>
      </c>
      <c r="O54" s="167">
        <v>-1</v>
      </c>
      <c r="P54" s="167">
        <v>-1</v>
      </c>
      <c r="Q54" s="167">
        <v>-1</v>
      </c>
      <c r="R54" s="167">
        <v>-1</v>
      </c>
      <c r="S54" s="167">
        <v>-1</v>
      </c>
      <c r="T54" s="119"/>
      <c r="U54" s="119"/>
    </row>
    <row r="55" spans="5:21" x14ac:dyDescent="0.25">
      <c r="F55" t="s">
        <v>788</v>
      </c>
      <c r="G55" s="118" t="s">
        <v>190</v>
      </c>
      <c r="J55" s="167">
        <v>-1</v>
      </c>
      <c r="K55" s="167">
        <v>-1</v>
      </c>
      <c r="L55" s="167">
        <v>-1</v>
      </c>
      <c r="M55" s="167">
        <v>-1</v>
      </c>
      <c r="N55" s="167">
        <v>-1</v>
      </c>
      <c r="O55" s="167">
        <v>-1</v>
      </c>
      <c r="P55" s="167">
        <v>-1</v>
      </c>
      <c r="Q55" s="167">
        <v>-1</v>
      </c>
      <c r="R55" s="167">
        <v>-1</v>
      </c>
      <c r="S55" s="167">
        <v>0</v>
      </c>
      <c r="T55" s="119"/>
      <c r="U55" s="119"/>
    </row>
    <row r="56" spans="5:21" x14ac:dyDescent="0.25">
      <c r="F56" t="s">
        <v>789</v>
      </c>
      <c r="G56" s="118" t="s">
        <v>190</v>
      </c>
      <c r="J56" s="167">
        <v>-1</v>
      </c>
      <c r="K56" s="167">
        <v>-1</v>
      </c>
      <c r="L56" s="167">
        <v>-1</v>
      </c>
      <c r="M56" s="167">
        <v>-1</v>
      </c>
      <c r="N56" s="167">
        <v>-1</v>
      </c>
      <c r="O56" s="167">
        <v>-1</v>
      </c>
      <c r="P56" s="167">
        <v>-1</v>
      </c>
      <c r="Q56" s="167">
        <v>-1</v>
      </c>
      <c r="R56" s="167">
        <v>-1</v>
      </c>
      <c r="S56" s="167">
        <v>-1</v>
      </c>
      <c r="T56" s="119"/>
      <c r="U56" s="119"/>
    </row>
    <row r="57" spans="5:21" x14ac:dyDescent="0.25">
      <c r="F57" t="s">
        <v>798</v>
      </c>
      <c r="G57" s="118" t="s">
        <v>190</v>
      </c>
      <c r="J57" s="167">
        <v>-1</v>
      </c>
      <c r="K57" s="167">
        <v>-1</v>
      </c>
      <c r="L57" s="167">
        <v>-1</v>
      </c>
      <c r="M57" s="167">
        <v>-1</v>
      </c>
      <c r="N57" s="167">
        <v>-1</v>
      </c>
      <c r="O57" s="167">
        <v>-1</v>
      </c>
      <c r="P57" s="167">
        <v>-1</v>
      </c>
      <c r="Q57" s="167">
        <v>-1</v>
      </c>
      <c r="R57" s="167">
        <v>-1</v>
      </c>
      <c r="S57" s="167">
        <v>-1</v>
      </c>
      <c r="T57" s="119"/>
      <c r="U57" s="119"/>
    </row>
    <row r="58" spans="5:21" x14ac:dyDescent="0.25">
      <c r="F58" t="s">
        <v>790</v>
      </c>
      <c r="G58" s="118" t="s">
        <v>190</v>
      </c>
      <c r="J58" s="167">
        <v>-1</v>
      </c>
      <c r="K58" s="167">
        <v>-1</v>
      </c>
      <c r="L58" s="167">
        <v>-1</v>
      </c>
      <c r="M58" s="167">
        <v>-1</v>
      </c>
      <c r="N58" s="167">
        <v>-1</v>
      </c>
      <c r="O58" s="167">
        <v>-1</v>
      </c>
      <c r="P58" s="167">
        <v>-1</v>
      </c>
      <c r="Q58" s="167">
        <v>-1</v>
      </c>
      <c r="R58" s="167">
        <v>-1</v>
      </c>
      <c r="S58" s="167">
        <v>0</v>
      </c>
      <c r="T58" s="119"/>
      <c r="U58" s="119"/>
    </row>
    <row r="59" spans="5:21" x14ac:dyDescent="0.25">
      <c r="F59" t="s">
        <v>797</v>
      </c>
      <c r="G59" s="118" t="s">
        <v>190</v>
      </c>
      <c r="J59" s="167">
        <v>-1</v>
      </c>
      <c r="K59" s="167">
        <v>-1</v>
      </c>
      <c r="L59" s="167">
        <v>-1</v>
      </c>
      <c r="M59" s="167">
        <v>-1</v>
      </c>
      <c r="N59" s="167">
        <v>-1</v>
      </c>
      <c r="O59" s="167">
        <v>-1</v>
      </c>
      <c r="P59" s="167">
        <v>-1</v>
      </c>
      <c r="Q59" s="167">
        <v>-1</v>
      </c>
      <c r="R59" s="167">
        <v>-1</v>
      </c>
      <c r="S59" s="167">
        <v>0</v>
      </c>
      <c r="T59" s="119"/>
      <c r="U59" s="119"/>
    </row>
    <row r="60" spans="5:21" x14ac:dyDescent="0.25">
      <c r="F60" t="s">
        <v>791</v>
      </c>
      <c r="G60" s="118" t="s">
        <v>190</v>
      </c>
      <c r="J60" s="167">
        <v>-1</v>
      </c>
      <c r="K60" s="167">
        <v>-1</v>
      </c>
      <c r="L60" s="167">
        <v>-1</v>
      </c>
      <c r="M60" s="167">
        <v>-1</v>
      </c>
      <c r="N60" s="167">
        <v>-1</v>
      </c>
      <c r="O60" s="167">
        <v>-1</v>
      </c>
      <c r="P60" s="167">
        <v>-1</v>
      </c>
      <c r="Q60" s="167">
        <v>-1</v>
      </c>
      <c r="R60" s="167">
        <v>0</v>
      </c>
      <c r="S60" s="167">
        <v>0</v>
      </c>
      <c r="T60" s="119"/>
      <c r="U60" s="119"/>
    </row>
    <row r="61" spans="5:21" x14ac:dyDescent="0.25">
      <c r="F61" s="96" t="s">
        <v>796</v>
      </c>
      <c r="G61" s="120" t="s">
        <v>190</v>
      </c>
      <c r="H61" s="96"/>
      <c r="I61" s="96"/>
      <c r="J61" s="172">
        <v>-1</v>
      </c>
      <c r="K61" s="172">
        <v>-1</v>
      </c>
      <c r="L61" s="172">
        <v>-1</v>
      </c>
      <c r="M61" s="172">
        <v>-1</v>
      </c>
      <c r="N61" s="172">
        <v>-1</v>
      </c>
      <c r="O61" s="172">
        <v>-1</v>
      </c>
      <c r="P61" s="172">
        <v>-1</v>
      </c>
      <c r="Q61" s="172">
        <v>-1</v>
      </c>
      <c r="R61" s="172">
        <v>0</v>
      </c>
      <c r="S61" s="172">
        <v>0</v>
      </c>
      <c r="T61" s="121"/>
      <c r="U61" s="121"/>
    </row>
    <row r="62" spans="5:21" x14ac:dyDescent="0.25">
      <c r="G62" s="61"/>
      <c r="J62" s="106"/>
      <c r="K62" s="106"/>
      <c r="L62" s="106"/>
      <c r="M62" s="106"/>
      <c r="N62" s="106"/>
      <c r="O62" s="106"/>
      <c r="P62" s="106"/>
      <c r="Q62" s="106"/>
      <c r="R62" s="106"/>
      <c r="S62" s="106"/>
      <c r="T62" s="106"/>
      <c r="U62" s="106"/>
    </row>
    <row r="63" spans="5:21" x14ac:dyDescent="0.25">
      <c r="E63" s="75" t="s">
        <v>358</v>
      </c>
      <c r="G63" s="61"/>
      <c r="J63" s="106"/>
      <c r="K63" s="106"/>
      <c r="L63" s="106"/>
      <c r="M63" s="106"/>
      <c r="N63" s="106"/>
      <c r="O63" s="106"/>
      <c r="P63" s="106"/>
      <c r="Q63" s="106"/>
      <c r="R63" s="106"/>
      <c r="S63" s="106"/>
      <c r="T63" s="106"/>
      <c r="U63" s="106"/>
    </row>
    <row r="64" spans="5:21" x14ac:dyDescent="0.25">
      <c r="E64" s="86" t="s">
        <v>359</v>
      </c>
      <c r="G64" s="61"/>
      <c r="J64" s="106"/>
      <c r="K64" s="106"/>
      <c r="L64" s="106"/>
      <c r="M64" s="106"/>
      <c r="N64" s="106"/>
      <c r="O64" s="106"/>
      <c r="P64" s="106"/>
      <c r="Q64" s="106"/>
      <c r="R64" s="106"/>
      <c r="S64" s="106"/>
      <c r="T64" s="106"/>
      <c r="U64" s="106"/>
    </row>
    <row r="65" spans="6:23" x14ac:dyDescent="0.25">
      <c r="F65" s="95" t="s">
        <v>1114</v>
      </c>
      <c r="G65" s="116" t="s">
        <v>190</v>
      </c>
      <c r="H65" s="95"/>
      <c r="I65" s="95"/>
      <c r="J65" s="147">
        <f t="shared" ref="J65:S65" si="5">IF(J$38 = "", J46, J46 * J$38)</f>
        <v>1</v>
      </c>
      <c r="K65" s="147">
        <f t="shared" si="5"/>
        <v>1</v>
      </c>
      <c r="L65" s="147">
        <f t="shared" si="5"/>
        <v>1</v>
      </c>
      <c r="M65" s="147">
        <f t="shared" si="5"/>
        <v>1</v>
      </c>
      <c r="N65" s="147">
        <f t="shared" si="5"/>
        <v>1</v>
      </c>
      <c r="O65" s="147">
        <f t="shared" si="5"/>
        <v>1</v>
      </c>
      <c r="P65" s="147">
        <f t="shared" si="5"/>
        <v>0</v>
      </c>
      <c r="Q65" s="147">
        <f t="shared" si="5"/>
        <v>1</v>
      </c>
      <c r="R65" s="147">
        <f t="shared" si="5"/>
        <v>1</v>
      </c>
      <c r="S65" s="147">
        <f t="shared" si="5"/>
        <v>1</v>
      </c>
      <c r="T65" s="117"/>
      <c r="U65" s="117"/>
      <c r="W65" s="3"/>
    </row>
    <row r="66" spans="6:23" x14ac:dyDescent="0.25">
      <c r="F66" t="s">
        <v>785</v>
      </c>
      <c r="G66" s="118" t="s">
        <v>190</v>
      </c>
      <c r="J66" s="168">
        <f t="shared" ref="J66:S66" si="6">IF(J$38 = "", J47, J47 * J$38)</f>
        <v>1</v>
      </c>
      <c r="K66" s="168">
        <f t="shared" si="6"/>
        <v>1</v>
      </c>
      <c r="L66" s="168">
        <f t="shared" si="6"/>
        <v>1</v>
      </c>
      <c r="M66" s="168">
        <f t="shared" si="6"/>
        <v>1</v>
      </c>
      <c r="N66" s="168">
        <f t="shared" si="6"/>
        <v>1</v>
      </c>
      <c r="O66" s="168">
        <f t="shared" si="6"/>
        <v>1</v>
      </c>
      <c r="P66" s="168">
        <f t="shared" si="6"/>
        <v>0</v>
      </c>
      <c r="Q66" s="168">
        <f t="shared" si="6"/>
        <v>1</v>
      </c>
      <c r="R66" s="168">
        <f t="shared" si="6"/>
        <v>1</v>
      </c>
      <c r="S66" s="168">
        <f t="shared" si="6"/>
        <v>1</v>
      </c>
      <c r="T66" s="119"/>
      <c r="U66" s="119"/>
    </row>
    <row r="67" spans="6:23" x14ac:dyDescent="0.25">
      <c r="F67" t="s">
        <v>1115</v>
      </c>
      <c r="G67" s="118" t="s">
        <v>190</v>
      </c>
      <c r="J67" s="168">
        <f t="shared" ref="J67:S67" si="7">IF(J$38 = "", J48, J48 * J$38)</f>
        <v>1</v>
      </c>
      <c r="K67" s="168">
        <f t="shared" si="7"/>
        <v>1</v>
      </c>
      <c r="L67" s="168">
        <f t="shared" si="7"/>
        <v>1</v>
      </c>
      <c r="M67" s="168">
        <f t="shared" si="7"/>
        <v>1</v>
      </c>
      <c r="N67" s="168">
        <f t="shared" si="7"/>
        <v>1</v>
      </c>
      <c r="O67" s="168">
        <f t="shared" si="7"/>
        <v>1</v>
      </c>
      <c r="P67" s="168">
        <f t="shared" si="7"/>
        <v>0</v>
      </c>
      <c r="Q67" s="168">
        <f t="shared" si="7"/>
        <v>1</v>
      </c>
      <c r="R67" s="168">
        <f t="shared" si="7"/>
        <v>1</v>
      </c>
      <c r="S67" s="168">
        <f t="shared" si="7"/>
        <v>1</v>
      </c>
      <c r="T67" s="119"/>
      <c r="U67" s="119"/>
    </row>
    <row r="68" spans="6:23" x14ac:dyDescent="0.25">
      <c r="F68" t="s">
        <v>786</v>
      </c>
      <c r="G68" s="118" t="s">
        <v>190</v>
      </c>
      <c r="J68" s="168">
        <f t="shared" ref="J68:S68" si="8">IF(J$38 = "", J49, J49 * J$38)</f>
        <v>1</v>
      </c>
      <c r="K68" s="168">
        <f t="shared" si="8"/>
        <v>1</v>
      </c>
      <c r="L68" s="168">
        <f t="shared" si="8"/>
        <v>1</v>
      </c>
      <c r="M68" s="168">
        <f t="shared" si="8"/>
        <v>1</v>
      </c>
      <c r="N68" s="168">
        <f t="shared" si="8"/>
        <v>1</v>
      </c>
      <c r="O68" s="168">
        <f t="shared" si="8"/>
        <v>1</v>
      </c>
      <c r="P68" s="168">
        <f t="shared" si="8"/>
        <v>0</v>
      </c>
      <c r="Q68" s="168">
        <f t="shared" si="8"/>
        <v>1</v>
      </c>
      <c r="R68" s="168">
        <f t="shared" si="8"/>
        <v>1</v>
      </c>
      <c r="S68" s="168">
        <f t="shared" si="8"/>
        <v>1</v>
      </c>
      <c r="T68" s="119"/>
      <c r="U68" s="119"/>
    </row>
    <row r="69" spans="6:23" x14ac:dyDescent="0.25">
      <c r="F69" t="s">
        <v>792</v>
      </c>
      <c r="G69" s="118" t="s">
        <v>190</v>
      </c>
      <c r="J69" s="168">
        <f t="shared" ref="J69:S69" si="9">IF(J$38 = "", J50, J50 * J$38)</f>
        <v>1</v>
      </c>
      <c r="K69" s="168">
        <f t="shared" si="9"/>
        <v>1</v>
      </c>
      <c r="L69" s="168">
        <f t="shared" si="9"/>
        <v>1</v>
      </c>
      <c r="M69" s="168">
        <f t="shared" si="9"/>
        <v>1</v>
      </c>
      <c r="N69" s="168">
        <f t="shared" si="9"/>
        <v>1</v>
      </c>
      <c r="O69" s="168">
        <f t="shared" si="9"/>
        <v>1</v>
      </c>
      <c r="P69" s="168">
        <f t="shared" si="9"/>
        <v>0</v>
      </c>
      <c r="Q69" s="168">
        <f t="shared" si="9"/>
        <v>1</v>
      </c>
      <c r="R69" s="168">
        <f t="shared" si="9"/>
        <v>1</v>
      </c>
      <c r="S69" s="168">
        <f t="shared" si="9"/>
        <v>1</v>
      </c>
      <c r="T69" s="119"/>
      <c r="U69" s="119"/>
    </row>
    <row r="70" spans="6:23" x14ac:dyDescent="0.25">
      <c r="F70" t="s">
        <v>793</v>
      </c>
      <c r="G70" s="118" t="s">
        <v>190</v>
      </c>
      <c r="J70" s="168">
        <f t="shared" ref="J70:S70" si="10">IF(J$38 = "", J51, J51 * J$38)</f>
        <v>1</v>
      </c>
      <c r="K70" s="168">
        <f t="shared" si="10"/>
        <v>1</v>
      </c>
      <c r="L70" s="168">
        <f t="shared" si="10"/>
        <v>1</v>
      </c>
      <c r="M70" s="168">
        <f t="shared" si="10"/>
        <v>1</v>
      </c>
      <c r="N70" s="168">
        <f t="shared" si="10"/>
        <v>1</v>
      </c>
      <c r="O70" s="168">
        <f t="shared" si="10"/>
        <v>1</v>
      </c>
      <c r="P70" s="168">
        <f t="shared" si="10"/>
        <v>0</v>
      </c>
      <c r="Q70" s="168">
        <f t="shared" si="10"/>
        <v>1</v>
      </c>
      <c r="R70" s="168">
        <f t="shared" si="10"/>
        <v>1</v>
      </c>
      <c r="S70" s="168">
        <f t="shared" si="10"/>
        <v>0</v>
      </c>
      <c r="T70" s="119"/>
      <c r="U70" s="119"/>
    </row>
    <row r="71" spans="6:23" x14ac:dyDescent="0.25">
      <c r="F71" t="s">
        <v>794</v>
      </c>
      <c r="G71" s="118" t="s">
        <v>190</v>
      </c>
      <c r="J71" s="168">
        <f t="shared" ref="J71:S71" si="11">IF(J$38 = "", J52, J52 * J$38)</f>
        <v>1</v>
      </c>
      <c r="K71" s="168">
        <f t="shared" si="11"/>
        <v>1</v>
      </c>
      <c r="L71" s="168">
        <f t="shared" si="11"/>
        <v>1</v>
      </c>
      <c r="M71" s="168">
        <f t="shared" si="11"/>
        <v>1</v>
      </c>
      <c r="N71" s="168">
        <f t="shared" si="11"/>
        <v>1</v>
      </c>
      <c r="O71" s="168">
        <f t="shared" si="11"/>
        <v>1</v>
      </c>
      <c r="P71" s="168">
        <f t="shared" si="11"/>
        <v>0</v>
      </c>
      <c r="Q71" s="168">
        <f t="shared" si="11"/>
        <v>1</v>
      </c>
      <c r="R71" s="168">
        <f t="shared" si="11"/>
        <v>0</v>
      </c>
      <c r="S71" s="168">
        <f t="shared" si="11"/>
        <v>0</v>
      </c>
      <c r="T71" s="119"/>
      <c r="U71" s="119"/>
    </row>
    <row r="72" spans="6:23" x14ac:dyDescent="0.25">
      <c r="F72" t="s">
        <v>795</v>
      </c>
      <c r="G72" s="118" t="s">
        <v>190</v>
      </c>
      <c r="J72" s="168">
        <f t="shared" ref="J72:S72" si="12">IF(J$38 = "", J53, J53 * J$38)</f>
        <v>1</v>
      </c>
      <c r="K72" s="168">
        <f t="shared" si="12"/>
        <v>1</v>
      </c>
      <c r="L72" s="168">
        <f t="shared" si="12"/>
        <v>1</v>
      </c>
      <c r="M72" s="168">
        <f t="shared" si="12"/>
        <v>1</v>
      </c>
      <c r="N72" s="168">
        <f t="shared" si="12"/>
        <v>1</v>
      </c>
      <c r="O72" s="168">
        <f t="shared" si="12"/>
        <v>1</v>
      </c>
      <c r="P72" s="168">
        <f t="shared" si="12"/>
        <v>0</v>
      </c>
      <c r="Q72" s="168">
        <f t="shared" si="12"/>
        <v>1</v>
      </c>
      <c r="R72" s="168">
        <f t="shared" si="12"/>
        <v>1</v>
      </c>
      <c r="S72" s="168">
        <f t="shared" si="12"/>
        <v>1</v>
      </c>
      <c r="T72" s="119"/>
      <c r="U72" s="119"/>
    </row>
    <row r="73" spans="6:23" x14ac:dyDescent="0.25">
      <c r="F73" t="s">
        <v>787</v>
      </c>
      <c r="G73" s="118" t="s">
        <v>190</v>
      </c>
      <c r="J73" s="168">
        <f t="shared" ref="J73:S73" si="13">IF(J$38 = "", J54, J54 * J$38)</f>
        <v>-1</v>
      </c>
      <c r="K73" s="168">
        <f t="shared" si="13"/>
        <v>-1</v>
      </c>
      <c r="L73" s="168">
        <f t="shared" si="13"/>
        <v>-1</v>
      </c>
      <c r="M73" s="168">
        <f t="shared" si="13"/>
        <v>-1</v>
      </c>
      <c r="N73" s="168">
        <f t="shared" si="13"/>
        <v>-1</v>
      </c>
      <c r="O73" s="168">
        <f t="shared" si="13"/>
        <v>-1</v>
      </c>
      <c r="P73" s="168">
        <f t="shared" si="13"/>
        <v>0</v>
      </c>
      <c r="Q73" s="168">
        <f t="shared" si="13"/>
        <v>-1</v>
      </c>
      <c r="R73" s="168">
        <f t="shared" si="13"/>
        <v>-1</v>
      </c>
      <c r="S73" s="168">
        <f t="shared" si="13"/>
        <v>-1</v>
      </c>
      <c r="T73" s="119"/>
      <c r="U73" s="119"/>
    </row>
    <row r="74" spans="6:23" x14ac:dyDescent="0.25">
      <c r="F74" t="s">
        <v>788</v>
      </c>
      <c r="G74" s="118" t="s">
        <v>190</v>
      </c>
      <c r="J74" s="168">
        <f t="shared" ref="J74:S74" si="14">IF(J$38 = "", J55, J55 * J$38)</f>
        <v>-1</v>
      </c>
      <c r="K74" s="168">
        <f t="shared" si="14"/>
        <v>-1</v>
      </c>
      <c r="L74" s="168">
        <f t="shared" si="14"/>
        <v>-1</v>
      </c>
      <c r="M74" s="168">
        <f t="shared" si="14"/>
        <v>-1</v>
      </c>
      <c r="N74" s="168">
        <f t="shared" si="14"/>
        <v>-1</v>
      </c>
      <c r="O74" s="168">
        <f t="shared" si="14"/>
        <v>-1</v>
      </c>
      <c r="P74" s="168">
        <f t="shared" si="14"/>
        <v>0</v>
      </c>
      <c r="Q74" s="168">
        <f t="shared" si="14"/>
        <v>-1</v>
      </c>
      <c r="R74" s="168">
        <f t="shared" si="14"/>
        <v>-1</v>
      </c>
      <c r="S74" s="168">
        <f t="shared" si="14"/>
        <v>0</v>
      </c>
      <c r="T74" s="119"/>
      <c r="U74" s="119"/>
    </row>
    <row r="75" spans="6:23" x14ac:dyDescent="0.25">
      <c r="F75" t="s">
        <v>789</v>
      </c>
      <c r="G75" s="118" t="s">
        <v>190</v>
      </c>
      <c r="J75" s="168">
        <f t="shared" ref="J75:S75" si="15">IF(J$38 = "", J56, J56 * J$38)</f>
        <v>-1</v>
      </c>
      <c r="K75" s="168">
        <f t="shared" si="15"/>
        <v>-1</v>
      </c>
      <c r="L75" s="168">
        <f t="shared" si="15"/>
        <v>-1</v>
      </c>
      <c r="M75" s="168">
        <f t="shared" si="15"/>
        <v>-1</v>
      </c>
      <c r="N75" s="168">
        <f t="shared" si="15"/>
        <v>-1</v>
      </c>
      <c r="O75" s="168">
        <f t="shared" si="15"/>
        <v>-1</v>
      </c>
      <c r="P75" s="168">
        <f t="shared" si="15"/>
        <v>0</v>
      </c>
      <c r="Q75" s="168">
        <f t="shared" si="15"/>
        <v>-1</v>
      </c>
      <c r="R75" s="168">
        <f t="shared" si="15"/>
        <v>-1</v>
      </c>
      <c r="S75" s="168">
        <f t="shared" si="15"/>
        <v>-1</v>
      </c>
      <c r="T75" s="119"/>
      <c r="U75" s="119"/>
    </row>
    <row r="76" spans="6:23" x14ac:dyDescent="0.25">
      <c r="F76" t="s">
        <v>798</v>
      </c>
      <c r="G76" s="118" t="s">
        <v>190</v>
      </c>
      <c r="J76" s="168">
        <f t="shared" ref="J76:S76" si="16">IF(J$38 = "", J57, J57 * J$38)</f>
        <v>-1</v>
      </c>
      <c r="K76" s="168">
        <f t="shared" si="16"/>
        <v>-1</v>
      </c>
      <c r="L76" s="168">
        <f t="shared" si="16"/>
        <v>-1</v>
      </c>
      <c r="M76" s="168">
        <f t="shared" si="16"/>
        <v>-1</v>
      </c>
      <c r="N76" s="168">
        <f t="shared" si="16"/>
        <v>-1</v>
      </c>
      <c r="O76" s="168">
        <f t="shared" si="16"/>
        <v>-1</v>
      </c>
      <c r="P76" s="168">
        <f t="shared" si="16"/>
        <v>0</v>
      </c>
      <c r="Q76" s="168">
        <f t="shared" si="16"/>
        <v>-1</v>
      </c>
      <c r="R76" s="168">
        <f t="shared" si="16"/>
        <v>-1</v>
      </c>
      <c r="S76" s="168">
        <f t="shared" si="16"/>
        <v>-1</v>
      </c>
      <c r="T76" s="119"/>
      <c r="U76" s="119"/>
    </row>
    <row r="77" spans="6:23" x14ac:dyDescent="0.25">
      <c r="F77" t="s">
        <v>790</v>
      </c>
      <c r="G77" s="118" t="s">
        <v>190</v>
      </c>
      <c r="J77" s="168">
        <f t="shared" ref="J77:S77" si="17">IF(J$38 = "", J58, J58 * J$38)</f>
        <v>-1</v>
      </c>
      <c r="K77" s="168">
        <f t="shared" si="17"/>
        <v>-1</v>
      </c>
      <c r="L77" s="168">
        <f t="shared" si="17"/>
        <v>-1</v>
      </c>
      <c r="M77" s="168">
        <f t="shared" si="17"/>
        <v>-1</v>
      </c>
      <c r="N77" s="168">
        <f t="shared" si="17"/>
        <v>-1</v>
      </c>
      <c r="O77" s="168">
        <f t="shared" si="17"/>
        <v>-1</v>
      </c>
      <c r="P77" s="168">
        <f t="shared" si="17"/>
        <v>0</v>
      </c>
      <c r="Q77" s="168">
        <f t="shared" si="17"/>
        <v>-1</v>
      </c>
      <c r="R77" s="168">
        <f t="shared" si="17"/>
        <v>-1</v>
      </c>
      <c r="S77" s="168">
        <f t="shared" si="17"/>
        <v>0</v>
      </c>
      <c r="T77" s="119"/>
      <c r="U77" s="119"/>
    </row>
    <row r="78" spans="6:23" x14ac:dyDescent="0.25">
      <c r="F78" t="s">
        <v>797</v>
      </c>
      <c r="G78" s="118" t="s">
        <v>190</v>
      </c>
      <c r="J78" s="168">
        <f t="shared" ref="J78:S78" si="18">IF(J$38 = "", J59, J59 * J$38)</f>
        <v>-1</v>
      </c>
      <c r="K78" s="168">
        <f t="shared" si="18"/>
        <v>-1</v>
      </c>
      <c r="L78" s="168">
        <f t="shared" si="18"/>
        <v>-1</v>
      </c>
      <c r="M78" s="168">
        <f t="shared" si="18"/>
        <v>-1</v>
      </c>
      <c r="N78" s="168">
        <f t="shared" si="18"/>
        <v>-1</v>
      </c>
      <c r="O78" s="168">
        <f t="shared" si="18"/>
        <v>-1</v>
      </c>
      <c r="P78" s="168">
        <f t="shared" si="18"/>
        <v>0</v>
      </c>
      <c r="Q78" s="168">
        <f t="shared" si="18"/>
        <v>-1</v>
      </c>
      <c r="R78" s="168">
        <f t="shared" si="18"/>
        <v>-1</v>
      </c>
      <c r="S78" s="168">
        <f t="shared" si="18"/>
        <v>0</v>
      </c>
      <c r="T78" s="119"/>
      <c r="U78" s="119"/>
    </row>
    <row r="79" spans="6:23" x14ac:dyDescent="0.25">
      <c r="F79" t="s">
        <v>791</v>
      </c>
      <c r="G79" s="118" t="s">
        <v>190</v>
      </c>
      <c r="J79" s="168">
        <f t="shared" ref="J79:S79" si="19">IF(J$38 = "", J60, J60 * J$38)</f>
        <v>-1</v>
      </c>
      <c r="K79" s="168">
        <f t="shared" si="19"/>
        <v>-1</v>
      </c>
      <c r="L79" s="168">
        <f t="shared" si="19"/>
        <v>-1</v>
      </c>
      <c r="M79" s="168">
        <f t="shared" si="19"/>
        <v>-1</v>
      </c>
      <c r="N79" s="168">
        <f t="shared" si="19"/>
        <v>-1</v>
      </c>
      <c r="O79" s="168">
        <f t="shared" si="19"/>
        <v>-1</v>
      </c>
      <c r="P79" s="168">
        <f t="shared" si="19"/>
        <v>0</v>
      </c>
      <c r="Q79" s="168">
        <f t="shared" si="19"/>
        <v>-1</v>
      </c>
      <c r="R79" s="168">
        <f t="shared" si="19"/>
        <v>0</v>
      </c>
      <c r="S79" s="168">
        <f t="shared" si="19"/>
        <v>0</v>
      </c>
      <c r="T79" s="119"/>
      <c r="U79" s="119"/>
    </row>
    <row r="80" spans="6:23" x14ac:dyDescent="0.25">
      <c r="F80" s="96" t="s">
        <v>796</v>
      </c>
      <c r="G80" s="120" t="s">
        <v>190</v>
      </c>
      <c r="H80" s="96"/>
      <c r="I80" s="96"/>
      <c r="J80" s="173">
        <f t="shared" ref="J80:S80" si="20">IF(J$38 = "", J61, J61 * J$38)</f>
        <v>-1</v>
      </c>
      <c r="K80" s="173">
        <f t="shared" si="20"/>
        <v>-1</v>
      </c>
      <c r="L80" s="173">
        <f t="shared" si="20"/>
        <v>-1</v>
      </c>
      <c r="M80" s="173">
        <f t="shared" si="20"/>
        <v>-1</v>
      </c>
      <c r="N80" s="173">
        <f t="shared" si="20"/>
        <v>-1</v>
      </c>
      <c r="O80" s="173">
        <f t="shared" si="20"/>
        <v>-1</v>
      </c>
      <c r="P80" s="173">
        <f t="shared" si="20"/>
        <v>0</v>
      </c>
      <c r="Q80" s="173">
        <f t="shared" si="20"/>
        <v>-1</v>
      </c>
      <c r="R80" s="173">
        <f t="shared" si="20"/>
        <v>0</v>
      </c>
      <c r="S80" s="173">
        <f t="shared" si="20"/>
        <v>0</v>
      </c>
      <c r="T80" s="121"/>
      <c r="U80" s="121"/>
    </row>
    <row r="81" spans="5:23" x14ac:dyDescent="0.25">
      <c r="G81" s="61"/>
      <c r="J81" s="106"/>
      <c r="K81" s="106"/>
      <c r="L81" s="106"/>
      <c r="M81" s="106"/>
      <c r="N81" s="106"/>
      <c r="O81" s="106"/>
      <c r="P81" s="106"/>
      <c r="Q81" s="106"/>
      <c r="R81" s="106"/>
      <c r="S81" s="106"/>
      <c r="T81" s="106"/>
      <c r="U81" s="106"/>
    </row>
    <row r="82" spans="5:23" x14ac:dyDescent="0.25">
      <c r="E82" s="75" t="s">
        <v>200</v>
      </c>
      <c r="G82" s="61"/>
      <c r="I82" t="s">
        <v>154</v>
      </c>
      <c r="J82" s="106"/>
      <c r="K82" s="106"/>
      <c r="L82" s="106"/>
      <c r="M82" s="106"/>
      <c r="N82" s="106"/>
      <c r="O82" s="106"/>
      <c r="P82" s="106"/>
      <c r="Q82" s="106"/>
      <c r="R82" s="106"/>
      <c r="S82" s="106"/>
      <c r="T82" s="106"/>
      <c r="U82" s="106"/>
      <c r="W82" s="3" t="s">
        <v>360</v>
      </c>
    </row>
    <row r="83" spans="5:23" x14ac:dyDescent="0.25">
      <c r="E83" s="86" t="s">
        <v>202</v>
      </c>
      <c r="G83" s="61"/>
      <c r="J83" s="106"/>
      <c r="K83" s="106"/>
      <c r="L83" s="106"/>
      <c r="M83" s="106"/>
      <c r="N83" s="106"/>
      <c r="O83" s="106"/>
      <c r="P83" s="106"/>
      <c r="Q83" s="106"/>
      <c r="R83" s="106"/>
      <c r="S83" s="106"/>
      <c r="T83" s="106"/>
      <c r="U83" s="106"/>
    </row>
    <row r="84" spans="5:23" x14ac:dyDescent="0.25">
      <c r="F84" s="95" t="s">
        <v>1114</v>
      </c>
      <c r="G84" s="116" t="s">
        <v>176</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25">
      <c r="F85" t="s">
        <v>785</v>
      </c>
      <c r="G85" s="118" t="s">
        <v>176</v>
      </c>
      <c r="J85" s="167">
        <v>1</v>
      </c>
      <c r="K85" s="167">
        <v>1</v>
      </c>
      <c r="L85" s="167">
        <v>1</v>
      </c>
      <c r="M85" s="167">
        <v>1</v>
      </c>
      <c r="N85" s="167">
        <v>1</v>
      </c>
      <c r="O85" s="167">
        <v>1</v>
      </c>
      <c r="P85" s="167">
        <v>1</v>
      </c>
      <c r="Q85" s="167">
        <v>1</v>
      </c>
      <c r="R85" s="167">
        <v>1</v>
      </c>
      <c r="S85" s="167">
        <v>1</v>
      </c>
      <c r="T85" s="119"/>
      <c r="U85" s="119"/>
    </row>
    <row r="86" spans="5:23" x14ac:dyDescent="0.25">
      <c r="F86" t="s">
        <v>1115</v>
      </c>
      <c r="G86" s="118" t="s">
        <v>176</v>
      </c>
      <c r="J86" s="167">
        <v>1</v>
      </c>
      <c r="K86" s="167">
        <v>1</v>
      </c>
      <c r="L86" s="167">
        <v>1</v>
      </c>
      <c r="M86" s="167">
        <v>1</v>
      </c>
      <c r="N86" s="167">
        <v>1</v>
      </c>
      <c r="O86" s="167">
        <v>1</v>
      </c>
      <c r="P86" s="167">
        <v>1</v>
      </c>
      <c r="Q86" s="167">
        <v>1</v>
      </c>
      <c r="R86" s="167">
        <v>1</v>
      </c>
      <c r="S86" s="167">
        <v>1</v>
      </c>
      <c r="T86" s="119"/>
      <c r="U86" s="119"/>
    </row>
    <row r="87" spans="5:23" x14ac:dyDescent="0.25">
      <c r="F87" t="s">
        <v>786</v>
      </c>
      <c r="G87" s="118" t="s">
        <v>176</v>
      </c>
      <c r="J87" s="167">
        <v>1</v>
      </c>
      <c r="K87" s="167">
        <v>1</v>
      </c>
      <c r="L87" s="167">
        <v>1</v>
      </c>
      <c r="M87" s="167">
        <v>1</v>
      </c>
      <c r="N87" s="167">
        <v>1</v>
      </c>
      <c r="O87" s="167">
        <v>1</v>
      </c>
      <c r="P87" s="167">
        <v>1</v>
      </c>
      <c r="Q87" s="167">
        <v>1</v>
      </c>
      <c r="R87" s="167">
        <v>1</v>
      </c>
      <c r="S87" s="167">
        <v>1</v>
      </c>
      <c r="T87" s="119"/>
      <c r="U87" s="119"/>
    </row>
    <row r="88" spans="5:23" x14ac:dyDescent="0.25">
      <c r="F88" t="s">
        <v>792</v>
      </c>
      <c r="G88" s="118" t="s">
        <v>176</v>
      </c>
      <c r="J88" s="167">
        <v>1</v>
      </c>
      <c r="K88" s="167">
        <v>1</v>
      </c>
      <c r="L88" s="167">
        <v>1</v>
      </c>
      <c r="M88" s="167">
        <v>1</v>
      </c>
      <c r="N88" s="167">
        <v>1</v>
      </c>
      <c r="O88" s="167">
        <v>1</v>
      </c>
      <c r="P88" s="167">
        <v>1</v>
      </c>
      <c r="Q88" s="167">
        <v>1</v>
      </c>
      <c r="R88" s="167">
        <v>1</v>
      </c>
      <c r="S88" s="167">
        <v>1</v>
      </c>
      <c r="T88" s="119"/>
      <c r="U88" s="119"/>
    </row>
    <row r="89" spans="5:23" x14ac:dyDescent="0.25">
      <c r="F89" t="s">
        <v>793</v>
      </c>
      <c r="G89" s="118" t="s">
        <v>176</v>
      </c>
      <c r="J89" s="167">
        <v>1</v>
      </c>
      <c r="K89" s="167">
        <v>1</v>
      </c>
      <c r="L89" s="167">
        <v>1</v>
      </c>
      <c r="M89" s="167">
        <v>1</v>
      </c>
      <c r="N89" s="167">
        <v>1</v>
      </c>
      <c r="O89" s="167">
        <v>1</v>
      </c>
      <c r="P89" s="167">
        <v>1</v>
      </c>
      <c r="Q89" s="167">
        <v>1</v>
      </c>
      <c r="R89" s="167">
        <v>1</v>
      </c>
      <c r="S89" s="167">
        <v>0</v>
      </c>
      <c r="T89" s="119"/>
      <c r="U89" s="119"/>
    </row>
    <row r="90" spans="5:23" x14ac:dyDescent="0.25">
      <c r="F90" t="s">
        <v>794</v>
      </c>
      <c r="G90" s="118" t="s">
        <v>176</v>
      </c>
      <c r="J90" s="167">
        <v>1</v>
      </c>
      <c r="K90" s="167">
        <v>1</v>
      </c>
      <c r="L90" s="167">
        <v>1</v>
      </c>
      <c r="M90" s="167">
        <v>1</v>
      </c>
      <c r="N90" s="167">
        <v>1</v>
      </c>
      <c r="O90" s="167">
        <v>1</v>
      </c>
      <c r="P90" s="167">
        <v>1</v>
      </c>
      <c r="Q90" s="167">
        <v>1</v>
      </c>
      <c r="R90" s="167">
        <v>0</v>
      </c>
      <c r="S90" s="167">
        <v>0</v>
      </c>
      <c r="T90" s="119"/>
      <c r="U90" s="119"/>
    </row>
    <row r="91" spans="5:23" x14ac:dyDescent="0.25">
      <c r="F91" t="s">
        <v>795</v>
      </c>
      <c r="G91" s="118" t="s">
        <v>176</v>
      </c>
      <c r="J91" s="167">
        <v>1</v>
      </c>
      <c r="K91" s="167">
        <v>1</v>
      </c>
      <c r="L91" s="167">
        <v>1</v>
      </c>
      <c r="M91" s="167">
        <v>1</v>
      </c>
      <c r="N91" s="167">
        <v>1</v>
      </c>
      <c r="O91" s="167">
        <v>1</v>
      </c>
      <c r="P91" s="167">
        <v>1</v>
      </c>
      <c r="Q91" s="167">
        <v>1</v>
      </c>
      <c r="R91" s="167">
        <v>1</v>
      </c>
      <c r="S91" s="167">
        <v>1</v>
      </c>
      <c r="T91" s="119"/>
      <c r="U91" s="119"/>
    </row>
    <row r="92" spans="5:23" x14ac:dyDescent="0.25">
      <c r="F92" t="s">
        <v>787</v>
      </c>
      <c r="G92" s="118" t="s">
        <v>176</v>
      </c>
      <c r="J92" s="167">
        <v>-1</v>
      </c>
      <c r="K92" s="167">
        <v>-1</v>
      </c>
      <c r="L92" s="167">
        <v>-1</v>
      </c>
      <c r="M92" s="167">
        <v>-1</v>
      </c>
      <c r="N92" s="167">
        <v>-1</v>
      </c>
      <c r="O92" s="167">
        <v>-1</v>
      </c>
      <c r="P92" s="167">
        <v>-1</v>
      </c>
      <c r="Q92" s="167">
        <v>-1</v>
      </c>
      <c r="R92" s="167">
        <v>-1</v>
      </c>
      <c r="S92" s="167">
        <v>0</v>
      </c>
      <c r="T92" s="119"/>
      <c r="U92" s="119"/>
    </row>
    <row r="93" spans="5:23" x14ac:dyDescent="0.25">
      <c r="F93" t="s">
        <v>788</v>
      </c>
      <c r="G93" s="118" t="s">
        <v>176</v>
      </c>
      <c r="J93" s="167">
        <v>-1</v>
      </c>
      <c r="K93" s="167">
        <v>-1</v>
      </c>
      <c r="L93" s="167">
        <v>-1</v>
      </c>
      <c r="M93" s="167">
        <v>-1</v>
      </c>
      <c r="N93" s="167">
        <v>-1</v>
      </c>
      <c r="O93" s="167">
        <v>-1</v>
      </c>
      <c r="P93" s="167">
        <v>-1</v>
      </c>
      <c r="Q93" s="167">
        <v>-1</v>
      </c>
      <c r="R93" s="167">
        <v>0</v>
      </c>
      <c r="S93" s="167">
        <v>0</v>
      </c>
      <c r="T93" s="119"/>
      <c r="U93" s="119"/>
    </row>
    <row r="94" spans="5:23" x14ac:dyDescent="0.25">
      <c r="F94" t="s">
        <v>789</v>
      </c>
      <c r="G94" s="118" t="s">
        <v>176</v>
      </c>
      <c r="J94" s="167">
        <v>-1</v>
      </c>
      <c r="K94" s="167">
        <v>-1</v>
      </c>
      <c r="L94" s="167">
        <v>-1</v>
      </c>
      <c r="M94" s="167">
        <v>-1</v>
      </c>
      <c r="N94" s="167">
        <v>-1</v>
      </c>
      <c r="O94" s="167">
        <v>-1</v>
      </c>
      <c r="P94" s="167">
        <v>-1</v>
      </c>
      <c r="Q94" s="167">
        <v>-1</v>
      </c>
      <c r="R94" s="167">
        <v>-1</v>
      </c>
      <c r="S94" s="167">
        <v>0</v>
      </c>
      <c r="T94" s="119"/>
      <c r="U94" s="119"/>
    </row>
    <row r="95" spans="5:23" x14ac:dyDescent="0.25">
      <c r="F95" t="s">
        <v>798</v>
      </c>
      <c r="G95" s="118" t="s">
        <v>176</v>
      </c>
      <c r="J95" s="167">
        <v>-1</v>
      </c>
      <c r="K95" s="167">
        <v>-1</v>
      </c>
      <c r="L95" s="167">
        <v>-1</v>
      </c>
      <c r="M95" s="167">
        <v>-1</v>
      </c>
      <c r="N95" s="167">
        <v>-1</v>
      </c>
      <c r="O95" s="167">
        <v>-1</v>
      </c>
      <c r="P95" s="167">
        <v>-1</v>
      </c>
      <c r="Q95" s="167">
        <v>-1</v>
      </c>
      <c r="R95" s="167">
        <v>-1</v>
      </c>
      <c r="S95" s="167">
        <v>0</v>
      </c>
      <c r="T95" s="119"/>
      <c r="U95" s="119"/>
    </row>
    <row r="96" spans="5:23" x14ac:dyDescent="0.25">
      <c r="F96" t="s">
        <v>790</v>
      </c>
      <c r="G96" s="118" t="s">
        <v>176</v>
      </c>
      <c r="J96" s="167">
        <v>-1</v>
      </c>
      <c r="K96" s="167">
        <v>-1</v>
      </c>
      <c r="L96" s="167">
        <v>-1</v>
      </c>
      <c r="M96" s="167">
        <v>-1</v>
      </c>
      <c r="N96" s="167">
        <v>-1</v>
      </c>
      <c r="O96" s="167">
        <v>-1</v>
      </c>
      <c r="P96" s="167">
        <v>-1</v>
      </c>
      <c r="Q96" s="167">
        <v>-1</v>
      </c>
      <c r="R96" s="167">
        <v>0</v>
      </c>
      <c r="S96" s="167">
        <v>0</v>
      </c>
      <c r="T96" s="119"/>
      <c r="U96" s="119"/>
    </row>
    <row r="97" spans="5:23" x14ac:dyDescent="0.25">
      <c r="F97" t="s">
        <v>797</v>
      </c>
      <c r="G97" s="118" t="s">
        <v>176</v>
      </c>
      <c r="J97" s="167">
        <v>-1</v>
      </c>
      <c r="K97" s="167">
        <v>-1</v>
      </c>
      <c r="L97" s="167">
        <v>-1</v>
      </c>
      <c r="M97" s="167">
        <v>-1</v>
      </c>
      <c r="N97" s="167">
        <v>-1</v>
      </c>
      <c r="O97" s="167">
        <v>-1</v>
      </c>
      <c r="P97" s="167">
        <v>-1</v>
      </c>
      <c r="Q97" s="167">
        <v>-1</v>
      </c>
      <c r="R97" s="167">
        <v>0</v>
      </c>
      <c r="S97" s="167">
        <v>0</v>
      </c>
      <c r="T97" s="119"/>
      <c r="U97" s="119"/>
    </row>
    <row r="98" spans="5:23" x14ac:dyDescent="0.25">
      <c r="F98" t="s">
        <v>791</v>
      </c>
      <c r="G98" s="118" t="s">
        <v>176</v>
      </c>
      <c r="J98" s="167">
        <v>-1</v>
      </c>
      <c r="K98" s="167">
        <v>-1</v>
      </c>
      <c r="L98" s="167">
        <v>-1</v>
      </c>
      <c r="M98" s="167">
        <v>-1</v>
      </c>
      <c r="N98" s="167">
        <v>-1</v>
      </c>
      <c r="O98" s="167">
        <v>-1</v>
      </c>
      <c r="P98" s="167">
        <v>-1</v>
      </c>
      <c r="Q98" s="167">
        <v>0</v>
      </c>
      <c r="R98" s="167">
        <v>0</v>
      </c>
      <c r="S98" s="167">
        <v>0</v>
      </c>
      <c r="T98" s="119"/>
      <c r="U98" s="119"/>
    </row>
    <row r="99" spans="5:23" x14ac:dyDescent="0.25">
      <c r="F99" s="96" t="s">
        <v>796</v>
      </c>
      <c r="G99" s="120" t="s">
        <v>176</v>
      </c>
      <c r="H99" s="96"/>
      <c r="I99" s="96"/>
      <c r="J99" s="172">
        <v>-1</v>
      </c>
      <c r="K99" s="172">
        <v>-1</v>
      </c>
      <c r="L99" s="172">
        <v>-1</v>
      </c>
      <c r="M99" s="172">
        <v>-1</v>
      </c>
      <c r="N99" s="172">
        <v>-1</v>
      </c>
      <c r="O99" s="172">
        <v>-1</v>
      </c>
      <c r="P99" s="172">
        <v>-1</v>
      </c>
      <c r="Q99" s="172">
        <v>0</v>
      </c>
      <c r="R99" s="172">
        <v>0</v>
      </c>
      <c r="S99" s="172">
        <v>0</v>
      </c>
      <c r="T99" s="121"/>
      <c r="U99" s="121"/>
    </row>
    <row r="100" spans="5:23" x14ac:dyDescent="0.25">
      <c r="G100" s="61"/>
      <c r="J100" s="106"/>
      <c r="K100" s="106"/>
      <c r="L100" s="106"/>
      <c r="M100" s="106"/>
      <c r="N100" s="106"/>
      <c r="O100" s="106"/>
      <c r="P100" s="106"/>
      <c r="Q100" s="106"/>
      <c r="R100" s="106"/>
      <c r="S100" s="106"/>
      <c r="T100" s="106"/>
      <c r="U100" s="106"/>
    </row>
    <row r="101" spans="5:23" x14ac:dyDescent="0.25">
      <c r="E101" s="75" t="s">
        <v>361</v>
      </c>
      <c r="G101" s="61"/>
      <c r="I101" t="s">
        <v>154</v>
      </c>
      <c r="J101" s="106"/>
      <c r="K101" s="106"/>
      <c r="L101" s="106"/>
      <c r="M101" s="106"/>
      <c r="N101" s="106"/>
      <c r="O101" s="106"/>
      <c r="P101" s="106"/>
      <c r="Q101" s="106"/>
      <c r="R101" s="106"/>
      <c r="S101" s="106"/>
      <c r="T101" s="106"/>
      <c r="U101" s="106"/>
      <c r="W101" s="3" t="s">
        <v>360</v>
      </c>
    </row>
    <row r="102" spans="5:23" x14ac:dyDescent="0.25">
      <c r="E102" s="86" t="s">
        <v>202</v>
      </c>
      <c r="G102" s="61"/>
      <c r="J102" s="106"/>
      <c r="K102" s="106"/>
      <c r="L102" s="106"/>
      <c r="M102" s="106"/>
      <c r="N102" s="106"/>
      <c r="O102" s="106"/>
      <c r="P102" s="106"/>
      <c r="Q102" s="106"/>
      <c r="R102" s="106"/>
      <c r="S102" s="106"/>
      <c r="T102" s="106"/>
      <c r="U102" s="106"/>
    </row>
    <row r="103" spans="5:23" x14ac:dyDescent="0.25">
      <c r="E103" s="86" t="s">
        <v>359</v>
      </c>
      <c r="G103" s="61"/>
      <c r="J103" s="106"/>
      <c r="K103" s="106"/>
      <c r="L103" s="106"/>
      <c r="M103" s="106"/>
      <c r="N103" s="106"/>
      <c r="O103" s="106"/>
      <c r="P103" s="106"/>
      <c r="Q103" s="106"/>
      <c r="R103" s="106"/>
      <c r="S103" s="106"/>
      <c r="T103" s="106"/>
      <c r="U103" s="106"/>
    </row>
    <row r="104" spans="5:23" x14ac:dyDescent="0.25">
      <c r="F104" s="95" t="s">
        <v>1114</v>
      </c>
      <c r="G104" s="116" t="s">
        <v>176</v>
      </c>
      <c r="H104" s="95"/>
      <c r="I104" s="95"/>
      <c r="J104" s="147">
        <f t="shared" ref="J104:S104" si="21">IF(J$38 = "", J84, J84 * J$38)</f>
        <v>1</v>
      </c>
      <c r="K104" s="147">
        <f t="shared" si="21"/>
        <v>1</v>
      </c>
      <c r="L104" s="147">
        <f t="shared" si="21"/>
        <v>1</v>
      </c>
      <c r="M104" s="147">
        <f t="shared" si="21"/>
        <v>1</v>
      </c>
      <c r="N104" s="147">
        <f t="shared" si="21"/>
        <v>1</v>
      </c>
      <c r="O104" s="147">
        <f t="shared" si="21"/>
        <v>1</v>
      </c>
      <c r="P104" s="147">
        <f t="shared" si="21"/>
        <v>0</v>
      </c>
      <c r="Q104" s="147">
        <f t="shared" si="21"/>
        <v>1</v>
      </c>
      <c r="R104" s="147">
        <f t="shared" si="21"/>
        <v>1</v>
      </c>
      <c r="S104" s="147">
        <f t="shared" si="21"/>
        <v>1</v>
      </c>
      <c r="T104" s="117"/>
      <c r="U104" s="117"/>
    </row>
    <row r="105" spans="5:23" x14ac:dyDescent="0.25">
      <c r="F105" t="s">
        <v>785</v>
      </c>
      <c r="G105" s="118" t="s">
        <v>176</v>
      </c>
      <c r="J105" s="168">
        <f t="shared" ref="J105:S105" si="22">IF(J$38 = "", J85, J85 * J$38)</f>
        <v>1</v>
      </c>
      <c r="K105" s="168">
        <f t="shared" si="22"/>
        <v>1</v>
      </c>
      <c r="L105" s="168">
        <f t="shared" si="22"/>
        <v>1</v>
      </c>
      <c r="M105" s="168">
        <f t="shared" si="22"/>
        <v>1</v>
      </c>
      <c r="N105" s="168">
        <f t="shared" si="22"/>
        <v>1</v>
      </c>
      <c r="O105" s="168">
        <f t="shared" si="22"/>
        <v>1</v>
      </c>
      <c r="P105" s="168">
        <f t="shared" si="22"/>
        <v>0</v>
      </c>
      <c r="Q105" s="168">
        <f t="shared" si="22"/>
        <v>1</v>
      </c>
      <c r="R105" s="168">
        <f t="shared" si="22"/>
        <v>1</v>
      </c>
      <c r="S105" s="168">
        <f t="shared" si="22"/>
        <v>1</v>
      </c>
      <c r="T105" s="119"/>
      <c r="U105" s="119"/>
    </row>
    <row r="106" spans="5:23" x14ac:dyDescent="0.25">
      <c r="F106" t="s">
        <v>1115</v>
      </c>
      <c r="G106" s="118" t="s">
        <v>176</v>
      </c>
      <c r="J106" s="168">
        <f t="shared" ref="J106:S106" si="23">IF(J$38 = "", J86, J86 * J$38)</f>
        <v>1</v>
      </c>
      <c r="K106" s="168">
        <f t="shared" si="23"/>
        <v>1</v>
      </c>
      <c r="L106" s="168">
        <f t="shared" si="23"/>
        <v>1</v>
      </c>
      <c r="M106" s="168">
        <f t="shared" si="23"/>
        <v>1</v>
      </c>
      <c r="N106" s="168">
        <f t="shared" si="23"/>
        <v>1</v>
      </c>
      <c r="O106" s="168">
        <f t="shared" si="23"/>
        <v>1</v>
      </c>
      <c r="P106" s="168">
        <f t="shared" si="23"/>
        <v>0</v>
      </c>
      <c r="Q106" s="168">
        <f t="shared" si="23"/>
        <v>1</v>
      </c>
      <c r="R106" s="168">
        <f t="shared" si="23"/>
        <v>1</v>
      </c>
      <c r="S106" s="168">
        <f t="shared" si="23"/>
        <v>1</v>
      </c>
      <c r="T106" s="119"/>
      <c r="U106" s="119"/>
    </row>
    <row r="107" spans="5:23" x14ac:dyDescent="0.25">
      <c r="F107" t="s">
        <v>786</v>
      </c>
      <c r="G107" s="118" t="s">
        <v>176</v>
      </c>
      <c r="J107" s="168">
        <f t="shared" ref="J107:S107" si="24">IF(J$38 = "", J87, J87 * J$38)</f>
        <v>1</v>
      </c>
      <c r="K107" s="168">
        <f t="shared" si="24"/>
        <v>1</v>
      </c>
      <c r="L107" s="168">
        <f t="shared" si="24"/>
        <v>1</v>
      </c>
      <c r="M107" s="168">
        <f t="shared" si="24"/>
        <v>1</v>
      </c>
      <c r="N107" s="168">
        <f t="shared" si="24"/>
        <v>1</v>
      </c>
      <c r="O107" s="168">
        <f t="shared" si="24"/>
        <v>1</v>
      </c>
      <c r="P107" s="168">
        <f t="shared" si="24"/>
        <v>0</v>
      </c>
      <c r="Q107" s="168">
        <f t="shared" si="24"/>
        <v>1</v>
      </c>
      <c r="R107" s="168">
        <f t="shared" si="24"/>
        <v>1</v>
      </c>
      <c r="S107" s="168">
        <f t="shared" si="24"/>
        <v>1</v>
      </c>
      <c r="T107" s="119"/>
      <c r="U107" s="119"/>
    </row>
    <row r="108" spans="5:23" x14ac:dyDescent="0.25">
      <c r="F108" t="s">
        <v>792</v>
      </c>
      <c r="G108" s="118" t="s">
        <v>176</v>
      </c>
      <c r="J108" s="168">
        <f t="shared" ref="J108:S108" si="25">IF(J$38 = "", J88, J88 * J$38)</f>
        <v>1</v>
      </c>
      <c r="K108" s="168">
        <f t="shared" si="25"/>
        <v>1</v>
      </c>
      <c r="L108" s="168">
        <f t="shared" si="25"/>
        <v>1</v>
      </c>
      <c r="M108" s="168">
        <f t="shared" si="25"/>
        <v>1</v>
      </c>
      <c r="N108" s="168">
        <f t="shared" si="25"/>
        <v>1</v>
      </c>
      <c r="O108" s="168">
        <f t="shared" si="25"/>
        <v>1</v>
      </c>
      <c r="P108" s="168">
        <f t="shared" si="25"/>
        <v>0</v>
      </c>
      <c r="Q108" s="168">
        <f t="shared" si="25"/>
        <v>1</v>
      </c>
      <c r="R108" s="168">
        <f t="shared" si="25"/>
        <v>1</v>
      </c>
      <c r="S108" s="168">
        <f t="shared" si="25"/>
        <v>1</v>
      </c>
      <c r="T108" s="119"/>
      <c r="U108" s="119"/>
    </row>
    <row r="109" spans="5:23" x14ac:dyDescent="0.25">
      <c r="F109" t="s">
        <v>793</v>
      </c>
      <c r="G109" s="118" t="s">
        <v>176</v>
      </c>
      <c r="J109" s="168">
        <f t="shared" ref="J109:S109" si="26">IF(J$38 = "", J89, J89 * J$38)</f>
        <v>1</v>
      </c>
      <c r="K109" s="168">
        <f t="shared" si="26"/>
        <v>1</v>
      </c>
      <c r="L109" s="168">
        <f t="shared" si="26"/>
        <v>1</v>
      </c>
      <c r="M109" s="168">
        <f t="shared" si="26"/>
        <v>1</v>
      </c>
      <c r="N109" s="168">
        <f t="shared" si="26"/>
        <v>1</v>
      </c>
      <c r="O109" s="168">
        <f t="shared" si="26"/>
        <v>1</v>
      </c>
      <c r="P109" s="168">
        <f t="shared" si="26"/>
        <v>0</v>
      </c>
      <c r="Q109" s="168">
        <f t="shared" si="26"/>
        <v>1</v>
      </c>
      <c r="R109" s="168">
        <f t="shared" si="26"/>
        <v>1</v>
      </c>
      <c r="S109" s="168">
        <f t="shared" si="26"/>
        <v>0</v>
      </c>
      <c r="T109" s="119"/>
      <c r="U109" s="119"/>
    </row>
    <row r="110" spans="5:23" x14ac:dyDescent="0.25">
      <c r="F110" t="s">
        <v>794</v>
      </c>
      <c r="G110" s="118" t="s">
        <v>176</v>
      </c>
      <c r="J110" s="168">
        <f t="shared" ref="J110:S110" si="27">IF(J$38 = "", J90, J90 * J$38)</f>
        <v>1</v>
      </c>
      <c r="K110" s="168">
        <f t="shared" si="27"/>
        <v>1</v>
      </c>
      <c r="L110" s="168">
        <f t="shared" si="27"/>
        <v>1</v>
      </c>
      <c r="M110" s="168">
        <f t="shared" si="27"/>
        <v>1</v>
      </c>
      <c r="N110" s="168">
        <f t="shared" si="27"/>
        <v>1</v>
      </c>
      <c r="O110" s="168">
        <f t="shared" si="27"/>
        <v>1</v>
      </c>
      <c r="P110" s="168">
        <f t="shared" si="27"/>
        <v>0</v>
      </c>
      <c r="Q110" s="168">
        <f t="shared" si="27"/>
        <v>1</v>
      </c>
      <c r="R110" s="168">
        <f t="shared" si="27"/>
        <v>0</v>
      </c>
      <c r="S110" s="168">
        <f t="shared" si="27"/>
        <v>0</v>
      </c>
      <c r="T110" s="119"/>
      <c r="U110" s="119"/>
    </row>
    <row r="111" spans="5:23" x14ac:dyDescent="0.25">
      <c r="F111" t="s">
        <v>795</v>
      </c>
      <c r="G111" s="118" t="s">
        <v>176</v>
      </c>
      <c r="J111" s="168">
        <f t="shared" ref="J111:S111" si="28">IF(J$38 = "", J91, J91 * J$38)</f>
        <v>1</v>
      </c>
      <c r="K111" s="168">
        <f t="shared" si="28"/>
        <v>1</v>
      </c>
      <c r="L111" s="168">
        <f t="shared" si="28"/>
        <v>1</v>
      </c>
      <c r="M111" s="168">
        <f t="shared" si="28"/>
        <v>1</v>
      </c>
      <c r="N111" s="168">
        <f t="shared" si="28"/>
        <v>1</v>
      </c>
      <c r="O111" s="168">
        <f t="shared" si="28"/>
        <v>1</v>
      </c>
      <c r="P111" s="168">
        <f t="shared" si="28"/>
        <v>0</v>
      </c>
      <c r="Q111" s="168">
        <f t="shared" si="28"/>
        <v>1</v>
      </c>
      <c r="R111" s="168">
        <f t="shared" si="28"/>
        <v>1</v>
      </c>
      <c r="S111" s="168">
        <f t="shared" si="28"/>
        <v>1</v>
      </c>
      <c r="T111" s="119"/>
      <c r="U111" s="119"/>
    </row>
    <row r="112" spans="5:23" x14ac:dyDescent="0.25">
      <c r="F112" t="s">
        <v>787</v>
      </c>
      <c r="G112" s="118" t="s">
        <v>176</v>
      </c>
      <c r="J112" s="168">
        <f t="shared" ref="J112:S112" si="29">IF(J$38 = "", J92, J92 * J$38)</f>
        <v>-1</v>
      </c>
      <c r="K112" s="168">
        <f t="shared" si="29"/>
        <v>-1</v>
      </c>
      <c r="L112" s="168">
        <f t="shared" si="29"/>
        <v>-1</v>
      </c>
      <c r="M112" s="168">
        <f t="shared" si="29"/>
        <v>-1</v>
      </c>
      <c r="N112" s="168">
        <f t="shared" si="29"/>
        <v>-1</v>
      </c>
      <c r="O112" s="168">
        <f t="shared" si="29"/>
        <v>-1</v>
      </c>
      <c r="P112" s="168">
        <f t="shared" si="29"/>
        <v>0</v>
      </c>
      <c r="Q112" s="168">
        <f t="shared" si="29"/>
        <v>-1</v>
      </c>
      <c r="R112" s="168">
        <f t="shared" si="29"/>
        <v>-1</v>
      </c>
      <c r="S112" s="168">
        <f t="shared" si="29"/>
        <v>0</v>
      </c>
      <c r="T112" s="119"/>
      <c r="U112" s="119"/>
    </row>
    <row r="113" spans="3:23" x14ac:dyDescent="0.25">
      <c r="F113" t="s">
        <v>788</v>
      </c>
      <c r="G113" s="118" t="s">
        <v>176</v>
      </c>
      <c r="J113" s="168">
        <f t="shared" ref="J113:S113" si="30">IF(J$38 = "", J93, J93 * J$38)</f>
        <v>-1</v>
      </c>
      <c r="K113" s="168">
        <f t="shared" si="30"/>
        <v>-1</v>
      </c>
      <c r="L113" s="168">
        <f t="shared" si="30"/>
        <v>-1</v>
      </c>
      <c r="M113" s="168">
        <f t="shared" si="30"/>
        <v>-1</v>
      </c>
      <c r="N113" s="168">
        <f t="shared" si="30"/>
        <v>-1</v>
      </c>
      <c r="O113" s="168">
        <f t="shared" si="30"/>
        <v>-1</v>
      </c>
      <c r="P113" s="168">
        <f t="shared" si="30"/>
        <v>0</v>
      </c>
      <c r="Q113" s="168">
        <f t="shared" si="30"/>
        <v>-1</v>
      </c>
      <c r="R113" s="168">
        <f t="shared" si="30"/>
        <v>0</v>
      </c>
      <c r="S113" s="168">
        <f t="shared" si="30"/>
        <v>0</v>
      </c>
      <c r="T113" s="119"/>
      <c r="U113" s="119"/>
    </row>
    <row r="114" spans="3:23" x14ac:dyDescent="0.25">
      <c r="F114" t="s">
        <v>789</v>
      </c>
      <c r="G114" s="118" t="s">
        <v>176</v>
      </c>
      <c r="J114" s="168">
        <f t="shared" ref="J114:S114" si="31">IF(J$38 = "", J94, J94 * J$38)</f>
        <v>-1</v>
      </c>
      <c r="K114" s="168">
        <f t="shared" si="31"/>
        <v>-1</v>
      </c>
      <c r="L114" s="168">
        <f t="shared" si="31"/>
        <v>-1</v>
      </c>
      <c r="M114" s="168">
        <f t="shared" si="31"/>
        <v>-1</v>
      </c>
      <c r="N114" s="168">
        <f t="shared" si="31"/>
        <v>-1</v>
      </c>
      <c r="O114" s="168">
        <f t="shared" si="31"/>
        <v>-1</v>
      </c>
      <c r="P114" s="168">
        <f t="shared" si="31"/>
        <v>0</v>
      </c>
      <c r="Q114" s="168">
        <f t="shared" si="31"/>
        <v>-1</v>
      </c>
      <c r="R114" s="168">
        <f t="shared" si="31"/>
        <v>-1</v>
      </c>
      <c r="S114" s="168">
        <f t="shared" si="31"/>
        <v>0</v>
      </c>
      <c r="T114" s="119"/>
      <c r="U114" s="119"/>
    </row>
    <row r="115" spans="3:23" x14ac:dyDescent="0.25">
      <c r="F115" t="s">
        <v>798</v>
      </c>
      <c r="G115" s="118" t="s">
        <v>176</v>
      </c>
      <c r="J115" s="168">
        <f t="shared" ref="J115:S115" si="32">IF(J$38 = "", J95, J95 * J$38)</f>
        <v>-1</v>
      </c>
      <c r="K115" s="168">
        <f t="shared" si="32"/>
        <v>-1</v>
      </c>
      <c r="L115" s="168">
        <f t="shared" si="32"/>
        <v>-1</v>
      </c>
      <c r="M115" s="168">
        <f t="shared" si="32"/>
        <v>-1</v>
      </c>
      <c r="N115" s="168">
        <f t="shared" si="32"/>
        <v>-1</v>
      </c>
      <c r="O115" s="168">
        <f t="shared" si="32"/>
        <v>-1</v>
      </c>
      <c r="P115" s="168">
        <f t="shared" si="32"/>
        <v>0</v>
      </c>
      <c r="Q115" s="168">
        <f t="shared" si="32"/>
        <v>-1</v>
      </c>
      <c r="R115" s="168">
        <f t="shared" si="32"/>
        <v>-1</v>
      </c>
      <c r="S115" s="168">
        <f t="shared" si="32"/>
        <v>0</v>
      </c>
      <c r="T115" s="119"/>
      <c r="U115" s="119"/>
    </row>
    <row r="116" spans="3:23" x14ac:dyDescent="0.25">
      <c r="F116" t="s">
        <v>790</v>
      </c>
      <c r="G116" s="118" t="s">
        <v>176</v>
      </c>
      <c r="J116" s="168">
        <f t="shared" ref="J116:S116" si="33">IF(J$38 = "", J96, J96 * J$38)</f>
        <v>-1</v>
      </c>
      <c r="K116" s="168">
        <f t="shared" si="33"/>
        <v>-1</v>
      </c>
      <c r="L116" s="168">
        <f t="shared" si="33"/>
        <v>-1</v>
      </c>
      <c r="M116" s="168">
        <f t="shared" si="33"/>
        <v>-1</v>
      </c>
      <c r="N116" s="168">
        <f t="shared" si="33"/>
        <v>-1</v>
      </c>
      <c r="O116" s="168">
        <f t="shared" si="33"/>
        <v>-1</v>
      </c>
      <c r="P116" s="168">
        <f t="shared" si="33"/>
        <v>0</v>
      </c>
      <c r="Q116" s="168">
        <f t="shared" si="33"/>
        <v>-1</v>
      </c>
      <c r="R116" s="168">
        <f t="shared" si="33"/>
        <v>0</v>
      </c>
      <c r="S116" s="168">
        <f t="shared" si="33"/>
        <v>0</v>
      </c>
      <c r="T116" s="119"/>
      <c r="U116" s="119"/>
    </row>
    <row r="117" spans="3:23" x14ac:dyDescent="0.25">
      <c r="F117" t="s">
        <v>797</v>
      </c>
      <c r="G117" s="118" t="s">
        <v>176</v>
      </c>
      <c r="J117" s="168">
        <f t="shared" ref="J117:S117" si="34">IF(J$38 = "", J97, J97 * J$38)</f>
        <v>-1</v>
      </c>
      <c r="K117" s="168">
        <f t="shared" si="34"/>
        <v>-1</v>
      </c>
      <c r="L117" s="168">
        <f t="shared" si="34"/>
        <v>-1</v>
      </c>
      <c r="M117" s="168">
        <f t="shared" si="34"/>
        <v>-1</v>
      </c>
      <c r="N117" s="168">
        <f t="shared" si="34"/>
        <v>-1</v>
      </c>
      <c r="O117" s="168">
        <f t="shared" si="34"/>
        <v>-1</v>
      </c>
      <c r="P117" s="168">
        <f t="shared" si="34"/>
        <v>0</v>
      </c>
      <c r="Q117" s="168">
        <f t="shared" si="34"/>
        <v>-1</v>
      </c>
      <c r="R117" s="168">
        <f t="shared" si="34"/>
        <v>0</v>
      </c>
      <c r="S117" s="168">
        <f t="shared" si="34"/>
        <v>0</v>
      </c>
      <c r="T117" s="119"/>
      <c r="U117" s="119"/>
    </row>
    <row r="118" spans="3:23" x14ac:dyDescent="0.25">
      <c r="F118" t="s">
        <v>791</v>
      </c>
      <c r="G118" s="118" t="s">
        <v>176</v>
      </c>
      <c r="J118" s="168">
        <f t="shared" ref="J118:S118" si="35">IF(J$38 = "", J98, J98 * J$38)</f>
        <v>-1</v>
      </c>
      <c r="K118" s="168">
        <f t="shared" si="35"/>
        <v>-1</v>
      </c>
      <c r="L118" s="168">
        <f t="shared" si="35"/>
        <v>-1</v>
      </c>
      <c r="M118" s="168">
        <f t="shared" si="35"/>
        <v>-1</v>
      </c>
      <c r="N118" s="168">
        <f t="shared" si="35"/>
        <v>-1</v>
      </c>
      <c r="O118" s="168">
        <f t="shared" si="35"/>
        <v>-1</v>
      </c>
      <c r="P118" s="168">
        <f t="shared" si="35"/>
        <v>0</v>
      </c>
      <c r="Q118" s="168">
        <f t="shared" si="35"/>
        <v>0</v>
      </c>
      <c r="R118" s="168">
        <f t="shared" si="35"/>
        <v>0</v>
      </c>
      <c r="S118" s="168">
        <f t="shared" si="35"/>
        <v>0</v>
      </c>
      <c r="T118" s="119"/>
      <c r="U118" s="119"/>
    </row>
    <row r="119" spans="3:23" x14ac:dyDescent="0.25">
      <c r="F119" s="96" t="s">
        <v>796</v>
      </c>
      <c r="G119" s="120" t="s">
        <v>176</v>
      </c>
      <c r="H119" s="96"/>
      <c r="I119" s="96"/>
      <c r="J119" s="173">
        <f t="shared" ref="J119:S119" si="36">IF(J$38 = "", J99, J99 * J$38)</f>
        <v>-1</v>
      </c>
      <c r="K119" s="173">
        <f t="shared" si="36"/>
        <v>-1</v>
      </c>
      <c r="L119" s="173">
        <f t="shared" si="36"/>
        <v>-1</v>
      </c>
      <c r="M119" s="173">
        <f t="shared" si="36"/>
        <v>-1</v>
      </c>
      <c r="N119" s="173">
        <f t="shared" si="36"/>
        <v>-1</v>
      </c>
      <c r="O119" s="173">
        <f t="shared" si="36"/>
        <v>-1</v>
      </c>
      <c r="P119" s="173">
        <f t="shared" si="36"/>
        <v>0</v>
      </c>
      <c r="Q119" s="173">
        <f t="shared" si="36"/>
        <v>0</v>
      </c>
      <c r="R119" s="173">
        <f t="shared" si="36"/>
        <v>0</v>
      </c>
      <c r="S119" s="173">
        <f t="shared" si="36"/>
        <v>0</v>
      </c>
      <c r="T119" s="121"/>
      <c r="U119" s="121"/>
    </row>
    <row r="120" spans="3:23" x14ac:dyDescent="0.25">
      <c r="G120" s="61"/>
      <c r="J120" s="106"/>
      <c r="K120" s="106"/>
      <c r="L120" s="106"/>
      <c r="M120" s="106"/>
      <c r="N120" s="106"/>
      <c r="O120" s="106"/>
      <c r="P120" s="106"/>
      <c r="Q120" s="106"/>
      <c r="R120" s="106"/>
      <c r="S120" s="106"/>
      <c r="T120" s="106"/>
      <c r="U120" s="106"/>
    </row>
    <row r="121" spans="3:23" x14ac:dyDescent="0.25">
      <c r="C121" s="93" t="str">
        <f ca="1">INDEX('Version control'!$H$41:$H$64,MATCH($A$1,'Version control'!$F$41:$F$64,0),1)&amp;"-E: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25">
      <c r="H122" s="3"/>
      <c r="I122" s="3"/>
      <c r="J122" s="174"/>
      <c r="K122" s="174"/>
      <c r="L122" s="174"/>
      <c r="M122" s="174"/>
      <c r="N122" s="174"/>
      <c r="O122" s="174"/>
      <c r="P122" s="174"/>
      <c r="Q122" s="174"/>
      <c r="R122" s="174"/>
      <c r="S122" s="174"/>
      <c r="T122" s="174"/>
      <c r="U122" s="174"/>
      <c r="W122" s="3"/>
    </row>
    <row r="123" spans="3:23" x14ac:dyDescent="0.25">
      <c r="E123" s="75" t="s">
        <v>362</v>
      </c>
      <c r="G123" s="61"/>
      <c r="J123" s="106"/>
      <c r="K123" s="106"/>
      <c r="L123" s="106"/>
      <c r="M123" s="106"/>
      <c r="N123" s="106"/>
      <c r="O123" s="106"/>
      <c r="P123" s="106"/>
      <c r="Q123" s="106"/>
      <c r="R123" s="106"/>
      <c r="S123" s="106"/>
      <c r="T123" s="106"/>
      <c r="U123" s="106"/>
      <c r="W123" s="3"/>
    </row>
    <row r="124" spans="3:23" x14ac:dyDescent="0.25">
      <c r="E124" s="86" t="s">
        <v>363</v>
      </c>
      <c r="G124" s="61"/>
      <c r="J124" s="106"/>
      <c r="K124" s="106"/>
      <c r="L124" s="106"/>
      <c r="M124" s="106"/>
      <c r="N124" s="106"/>
      <c r="O124" s="106"/>
      <c r="P124" s="106"/>
      <c r="Q124" s="106"/>
      <c r="R124" s="106"/>
      <c r="S124" s="106"/>
      <c r="T124" s="106"/>
      <c r="U124" s="106"/>
    </row>
    <row r="125" spans="3:23" x14ac:dyDescent="0.25">
      <c r="E125" s="86" t="s">
        <v>364</v>
      </c>
      <c r="G125" s="61"/>
      <c r="H125" s="175" t="s">
        <v>365</v>
      </c>
      <c r="J125" s="106"/>
      <c r="K125" s="106"/>
      <c r="L125" s="106"/>
      <c r="M125" s="106"/>
      <c r="N125" s="106"/>
      <c r="O125" s="106"/>
      <c r="P125" s="106"/>
      <c r="Q125" s="106"/>
      <c r="R125" s="106"/>
      <c r="S125" s="106"/>
      <c r="T125" s="106"/>
      <c r="U125" s="106"/>
    </row>
    <row r="126" spans="3:23" x14ac:dyDescent="0.25">
      <c r="F126" s="95" t="s">
        <v>1114</v>
      </c>
      <c r="G126" s="116" t="s">
        <v>283</v>
      </c>
      <c r="H126" s="147">
        <f t="shared" ref="H126:H141" si="37">MAX(J126:S126)</f>
        <v>1.0620000000000001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1.0620000000000001</v>
      </c>
      <c r="T126" s="117"/>
      <c r="U126" s="117"/>
      <c r="W126" s="3"/>
    </row>
    <row r="127" spans="3:23" x14ac:dyDescent="0.25">
      <c r="F127" t="s">
        <v>785</v>
      </c>
      <c r="G127" s="118" t="s">
        <v>283</v>
      </c>
      <c r="H127" s="168">
        <f t="shared" si="37"/>
        <v>1.0620000000000001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1.0620000000000001</v>
      </c>
      <c r="T127" s="119"/>
      <c r="U127" s="119"/>
      <c r="W127" s="3"/>
    </row>
    <row r="128" spans="3:23" x14ac:dyDescent="0.25">
      <c r="F128" t="s">
        <v>1115</v>
      </c>
      <c r="G128" s="118" t="s">
        <v>283</v>
      </c>
      <c r="H128" s="168">
        <f t="shared" si="37"/>
        <v>1.0620000000000001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1.0620000000000001</v>
      </c>
      <c r="T128" s="119"/>
      <c r="U128" s="119"/>
      <c r="W128" s="3"/>
    </row>
    <row r="129" spans="5:23" x14ac:dyDescent="0.25">
      <c r="F129" t="s">
        <v>786</v>
      </c>
      <c r="G129" s="118" t="s">
        <v>283</v>
      </c>
      <c r="H129" s="168">
        <f t="shared" si="37"/>
        <v>1.0620000000000001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1.0620000000000001</v>
      </c>
      <c r="T129" s="119"/>
      <c r="U129" s="119"/>
    </row>
    <row r="130" spans="5:23" x14ac:dyDescent="0.25">
      <c r="F130" t="s">
        <v>792</v>
      </c>
      <c r="G130" s="118" t="s">
        <v>283</v>
      </c>
      <c r="H130" s="168">
        <f t="shared" si="37"/>
        <v>1.0620000000000001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1.0620000000000001</v>
      </c>
      <c r="T130" s="119"/>
      <c r="U130" s="119"/>
    </row>
    <row r="131" spans="5:23" x14ac:dyDescent="0.25">
      <c r="F131" t="s">
        <v>793</v>
      </c>
      <c r="G131" s="118" t="s">
        <v>283</v>
      </c>
      <c r="H131" s="168">
        <f t="shared" si="37"/>
        <v>1.048</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1.048</v>
      </c>
      <c r="S131" s="168">
        <f>OR(SUM(S70:$S70) = 1, SUM(S70:$S70) = -1) * S$29</f>
        <v>0</v>
      </c>
      <c r="T131" s="119"/>
      <c r="U131" s="119"/>
    </row>
    <row r="132" spans="5:23" x14ac:dyDescent="0.25">
      <c r="F132" t="s">
        <v>794</v>
      </c>
      <c r="G132" s="118" t="s">
        <v>283</v>
      </c>
      <c r="H132" s="168">
        <f t="shared" si="37"/>
        <v>1.034</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1.018</v>
      </c>
      <c r="Q132" s="168">
        <f>OR(SUM(Q71:$S71) = 1, SUM(Q71:$S71) = -1) * Q$29</f>
        <v>1.034</v>
      </c>
      <c r="R132" s="168">
        <f>OR(SUM(R71:$S71) = 1, SUM(R71:$S71) = -1) * R$29</f>
        <v>0</v>
      </c>
      <c r="S132" s="168">
        <f>OR(SUM(S71:$S71) = 1, SUM(S71:$S71) = -1) * S$29</f>
        <v>0</v>
      </c>
      <c r="T132" s="119"/>
      <c r="U132" s="119"/>
    </row>
    <row r="133" spans="5:23" x14ac:dyDescent="0.25">
      <c r="F133" t="s">
        <v>795</v>
      </c>
      <c r="G133" s="118" t="s">
        <v>283</v>
      </c>
      <c r="H133" s="168">
        <f t="shared" si="37"/>
        <v>1.0620000000000001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1.0620000000000001</v>
      </c>
      <c r="T133" s="119"/>
      <c r="U133" s="119"/>
    </row>
    <row r="134" spans="5:23" x14ac:dyDescent="0.25">
      <c r="F134" t="s">
        <v>787</v>
      </c>
      <c r="G134" s="118" t="s">
        <v>283</v>
      </c>
      <c r="H134" s="168">
        <f t="shared" si="37"/>
        <v>1.0620000000000001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1.0620000000000001</v>
      </c>
      <c r="T134" s="119"/>
      <c r="U134" s="119"/>
    </row>
    <row r="135" spans="5:23" x14ac:dyDescent="0.25">
      <c r="F135" t="s">
        <v>788</v>
      </c>
      <c r="G135" s="118" t="s">
        <v>283</v>
      </c>
      <c r="H135" s="168">
        <f t="shared" si="37"/>
        <v>1.048</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1.048</v>
      </c>
      <c r="S135" s="168">
        <f>OR(SUM(S74:$S74) = 1, SUM(S74:$S74) = -1) * S$29</f>
        <v>0</v>
      </c>
      <c r="T135" s="119"/>
      <c r="U135" s="119"/>
    </row>
    <row r="136" spans="5:23" x14ac:dyDescent="0.25">
      <c r="F136" t="s">
        <v>789</v>
      </c>
      <c r="G136" s="118" t="s">
        <v>283</v>
      </c>
      <c r="H136" s="168">
        <f t="shared" si="37"/>
        <v>1.0620000000000001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1.0620000000000001</v>
      </c>
      <c r="T136" s="119"/>
      <c r="U136" s="119"/>
    </row>
    <row r="137" spans="5:23" x14ac:dyDescent="0.25">
      <c r="F137" t="s">
        <v>798</v>
      </c>
      <c r="G137" s="118" t="s">
        <v>283</v>
      </c>
      <c r="H137" s="168">
        <f t="shared" si="37"/>
        <v>1.0620000000000001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1.0620000000000001</v>
      </c>
      <c r="T137" s="119"/>
      <c r="U137" s="119"/>
    </row>
    <row r="138" spans="5:23" x14ac:dyDescent="0.25">
      <c r="F138" t="s">
        <v>790</v>
      </c>
      <c r="G138" s="118" t="s">
        <v>283</v>
      </c>
      <c r="H138" s="168">
        <f t="shared" si="37"/>
        <v>1.048</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1.048</v>
      </c>
      <c r="S138" s="168">
        <f>OR(SUM(S77:$S77) = 1, SUM(S77:$S77) = -1) * S$29</f>
        <v>0</v>
      </c>
      <c r="T138" s="119"/>
      <c r="U138" s="119"/>
    </row>
    <row r="139" spans="5:23" x14ac:dyDescent="0.25">
      <c r="F139" t="s">
        <v>797</v>
      </c>
      <c r="G139" s="118" t="s">
        <v>283</v>
      </c>
      <c r="H139" s="168">
        <f t="shared" si="37"/>
        <v>1.048</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1.048</v>
      </c>
      <c r="S139" s="168">
        <f>OR(SUM(S78:$S78) = 1, SUM(S78:$S78) = -1) * S$29</f>
        <v>0</v>
      </c>
      <c r="T139" s="119"/>
      <c r="U139" s="119"/>
    </row>
    <row r="140" spans="5:23" x14ac:dyDescent="0.25">
      <c r="F140" t="s">
        <v>791</v>
      </c>
      <c r="G140" s="118" t="s">
        <v>283</v>
      </c>
      <c r="H140" s="168">
        <f t="shared" si="37"/>
        <v>1.034</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1.018</v>
      </c>
      <c r="Q140" s="168">
        <f>OR(SUM(Q79:$S79) = 1, SUM(Q79:$S79) = -1) * Q$29</f>
        <v>1.034</v>
      </c>
      <c r="R140" s="168">
        <f>OR(SUM(R79:$S79) = 1, SUM(R79:$S79) = -1) * R$29</f>
        <v>0</v>
      </c>
      <c r="S140" s="168">
        <f>OR(SUM(S79:$S79) = 1, SUM(S79:$S79) = -1) * S$29</f>
        <v>0</v>
      </c>
      <c r="T140" s="119"/>
      <c r="U140" s="119"/>
    </row>
    <row r="141" spans="5:23" x14ac:dyDescent="0.25">
      <c r="F141" s="96" t="s">
        <v>796</v>
      </c>
      <c r="G141" s="120" t="s">
        <v>283</v>
      </c>
      <c r="H141" s="173">
        <f t="shared" si="37"/>
        <v>1.034</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1.018</v>
      </c>
      <c r="Q141" s="173">
        <f>OR(SUM(Q80:$S80) = 1, SUM(Q80:$S80) = -1) * Q$29</f>
        <v>1.034</v>
      </c>
      <c r="R141" s="173">
        <f>OR(SUM(R80:$S80) = 1, SUM(R80:$S80) = -1) * R$29</f>
        <v>0</v>
      </c>
      <c r="S141" s="173">
        <f>OR(SUM(S80:$S80) = 1, SUM(S80:$S80) = -1) * S$29</f>
        <v>0</v>
      </c>
      <c r="T141" s="121"/>
      <c r="U141" s="121"/>
    </row>
    <row r="142" spans="5:23" x14ac:dyDescent="0.25">
      <c r="G142" s="61"/>
    </row>
    <row r="143" spans="5:23" x14ac:dyDescent="0.25">
      <c r="E143" s="75" t="s">
        <v>366</v>
      </c>
      <c r="G143" s="61"/>
      <c r="I143" t="s">
        <v>154</v>
      </c>
      <c r="W143" s="3" t="s">
        <v>367</v>
      </c>
    </row>
    <row r="144" spans="5:23" x14ac:dyDescent="0.25">
      <c r="E144" s="86" t="s">
        <v>359</v>
      </c>
      <c r="G144" s="61"/>
    </row>
    <row r="145" spans="6:23" x14ac:dyDescent="0.25">
      <c r="F145" s="95" t="s">
        <v>1114</v>
      </c>
      <c r="G145" s="116" t="s">
        <v>283</v>
      </c>
      <c r="H145" s="176"/>
      <c r="I145" s="95"/>
      <c r="J145" s="149">
        <f t="shared" ref="J145:S145" si="38">$H126 * J104</f>
        <v>1.0620000000000001</v>
      </c>
      <c r="K145" s="149">
        <f t="shared" si="38"/>
        <v>1.0620000000000001</v>
      </c>
      <c r="L145" s="149">
        <f t="shared" si="38"/>
        <v>1.0620000000000001</v>
      </c>
      <c r="M145" s="149">
        <f t="shared" si="38"/>
        <v>1.0620000000000001</v>
      </c>
      <c r="N145" s="149">
        <f t="shared" si="38"/>
        <v>1.0620000000000001</v>
      </c>
      <c r="O145" s="149">
        <f t="shared" si="38"/>
        <v>1.0620000000000001</v>
      </c>
      <c r="P145" s="149">
        <f t="shared" si="38"/>
        <v>0</v>
      </c>
      <c r="Q145" s="149">
        <f t="shared" si="38"/>
        <v>1.0620000000000001</v>
      </c>
      <c r="R145" s="149">
        <f t="shared" si="38"/>
        <v>1.0620000000000001</v>
      </c>
      <c r="S145" s="149">
        <f t="shared" si="38"/>
        <v>1.0620000000000001</v>
      </c>
      <c r="T145" s="117"/>
      <c r="U145" s="117"/>
    </row>
    <row r="146" spans="6:23" x14ac:dyDescent="0.25">
      <c r="F146" t="s">
        <v>785</v>
      </c>
      <c r="G146" s="118" t="s">
        <v>283</v>
      </c>
      <c r="H146" s="97"/>
      <c r="J146" s="151">
        <f t="shared" ref="J146:S146" si="39">$H127 * J105</f>
        <v>1.0620000000000001</v>
      </c>
      <c r="K146" s="151">
        <f t="shared" si="39"/>
        <v>1.0620000000000001</v>
      </c>
      <c r="L146" s="151">
        <f t="shared" si="39"/>
        <v>1.0620000000000001</v>
      </c>
      <c r="M146" s="151">
        <f t="shared" si="39"/>
        <v>1.0620000000000001</v>
      </c>
      <c r="N146" s="151">
        <f t="shared" si="39"/>
        <v>1.0620000000000001</v>
      </c>
      <c r="O146" s="151">
        <f t="shared" si="39"/>
        <v>1.0620000000000001</v>
      </c>
      <c r="P146" s="151">
        <f t="shared" si="39"/>
        <v>0</v>
      </c>
      <c r="Q146" s="151">
        <f t="shared" si="39"/>
        <v>1.0620000000000001</v>
      </c>
      <c r="R146" s="151">
        <f t="shared" si="39"/>
        <v>1.0620000000000001</v>
      </c>
      <c r="S146" s="151">
        <f t="shared" si="39"/>
        <v>1.0620000000000001</v>
      </c>
      <c r="T146" s="119"/>
      <c r="U146" s="119"/>
      <c r="W146" s="3"/>
    </row>
    <row r="147" spans="6:23" x14ac:dyDescent="0.25">
      <c r="F147" t="s">
        <v>1115</v>
      </c>
      <c r="G147" s="118" t="s">
        <v>283</v>
      </c>
      <c r="H147" s="97"/>
      <c r="J147" s="151">
        <f t="shared" ref="J147:S147" si="40">$H128 * J106</f>
        <v>1.0620000000000001</v>
      </c>
      <c r="K147" s="151">
        <f t="shared" si="40"/>
        <v>1.0620000000000001</v>
      </c>
      <c r="L147" s="151">
        <f t="shared" si="40"/>
        <v>1.0620000000000001</v>
      </c>
      <c r="M147" s="151">
        <f t="shared" si="40"/>
        <v>1.0620000000000001</v>
      </c>
      <c r="N147" s="151">
        <f t="shared" si="40"/>
        <v>1.0620000000000001</v>
      </c>
      <c r="O147" s="151">
        <f t="shared" si="40"/>
        <v>1.0620000000000001</v>
      </c>
      <c r="P147" s="151">
        <f t="shared" si="40"/>
        <v>0</v>
      </c>
      <c r="Q147" s="151">
        <f t="shared" si="40"/>
        <v>1.0620000000000001</v>
      </c>
      <c r="R147" s="151">
        <f t="shared" si="40"/>
        <v>1.0620000000000001</v>
      </c>
      <c r="S147" s="151">
        <f t="shared" si="40"/>
        <v>1.0620000000000001</v>
      </c>
      <c r="T147" s="119"/>
      <c r="U147" s="119"/>
      <c r="W147" s="3"/>
    </row>
    <row r="148" spans="6:23" x14ac:dyDescent="0.25">
      <c r="F148" t="s">
        <v>786</v>
      </c>
      <c r="G148" s="118" t="s">
        <v>283</v>
      </c>
      <c r="H148" s="97"/>
      <c r="J148" s="151">
        <f t="shared" ref="J148:S148" si="41">$H129 * J107</f>
        <v>1.0620000000000001</v>
      </c>
      <c r="K148" s="151">
        <f t="shared" si="41"/>
        <v>1.0620000000000001</v>
      </c>
      <c r="L148" s="151">
        <f t="shared" si="41"/>
        <v>1.0620000000000001</v>
      </c>
      <c r="M148" s="151">
        <f t="shared" si="41"/>
        <v>1.0620000000000001</v>
      </c>
      <c r="N148" s="151">
        <f t="shared" si="41"/>
        <v>1.0620000000000001</v>
      </c>
      <c r="O148" s="151">
        <f t="shared" si="41"/>
        <v>1.0620000000000001</v>
      </c>
      <c r="P148" s="151">
        <f t="shared" si="41"/>
        <v>0</v>
      </c>
      <c r="Q148" s="151">
        <f t="shared" si="41"/>
        <v>1.0620000000000001</v>
      </c>
      <c r="R148" s="151">
        <f t="shared" si="41"/>
        <v>1.0620000000000001</v>
      </c>
      <c r="S148" s="151">
        <f t="shared" si="41"/>
        <v>1.0620000000000001</v>
      </c>
      <c r="T148" s="119"/>
      <c r="U148" s="119"/>
    </row>
    <row r="149" spans="6:23" x14ac:dyDescent="0.25">
      <c r="F149" t="s">
        <v>792</v>
      </c>
      <c r="G149" s="118" t="s">
        <v>283</v>
      </c>
      <c r="H149" s="97"/>
      <c r="J149" s="151">
        <f t="shared" ref="J149:S149" si="42">$H130 * J108</f>
        <v>1.0620000000000001</v>
      </c>
      <c r="K149" s="151">
        <f t="shared" si="42"/>
        <v>1.0620000000000001</v>
      </c>
      <c r="L149" s="151">
        <f t="shared" si="42"/>
        <v>1.0620000000000001</v>
      </c>
      <c r="M149" s="151">
        <f t="shared" si="42"/>
        <v>1.0620000000000001</v>
      </c>
      <c r="N149" s="151">
        <f t="shared" si="42"/>
        <v>1.0620000000000001</v>
      </c>
      <c r="O149" s="151">
        <f t="shared" si="42"/>
        <v>1.0620000000000001</v>
      </c>
      <c r="P149" s="151">
        <f t="shared" si="42"/>
        <v>0</v>
      </c>
      <c r="Q149" s="151">
        <f t="shared" si="42"/>
        <v>1.0620000000000001</v>
      </c>
      <c r="R149" s="151">
        <f t="shared" si="42"/>
        <v>1.0620000000000001</v>
      </c>
      <c r="S149" s="151">
        <f t="shared" si="42"/>
        <v>1.0620000000000001</v>
      </c>
      <c r="T149" s="119"/>
      <c r="U149" s="119"/>
    </row>
    <row r="150" spans="6:23" x14ac:dyDescent="0.25">
      <c r="F150" t="s">
        <v>793</v>
      </c>
      <c r="G150" s="118" t="s">
        <v>283</v>
      </c>
      <c r="H150" s="97"/>
      <c r="J150" s="151">
        <f t="shared" ref="J150:S150" si="43">$H131 * J109</f>
        <v>1.048</v>
      </c>
      <c r="K150" s="151">
        <f t="shared" si="43"/>
        <v>1.048</v>
      </c>
      <c r="L150" s="151">
        <f t="shared" si="43"/>
        <v>1.048</v>
      </c>
      <c r="M150" s="151">
        <f t="shared" si="43"/>
        <v>1.048</v>
      </c>
      <c r="N150" s="151">
        <f t="shared" si="43"/>
        <v>1.048</v>
      </c>
      <c r="O150" s="151">
        <f t="shared" si="43"/>
        <v>1.048</v>
      </c>
      <c r="P150" s="151">
        <f t="shared" si="43"/>
        <v>0</v>
      </c>
      <c r="Q150" s="151">
        <f t="shared" si="43"/>
        <v>1.048</v>
      </c>
      <c r="R150" s="151">
        <f t="shared" si="43"/>
        <v>1.048</v>
      </c>
      <c r="S150" s="151">
        <f t="shared" si="43"/>
        <v>0</v>
      </c>
      <c r="T150" s="119"/>
      <c r="U150" s="119"/>
    </row>
    <row r="151" spans="6:23" x14ac:dyDescent="0.25">
      <c r="F151" t="s">
        <v>794</v>
      </c>
      <c r="G151" s="118" t="s">
        <v>283</v>
      </c>
      <c r="H151" s="97"/>
      <c r="J151" s="151">
        <f t="shared" ref="J151:S151" si="44">$H132 * J110</f>
        <v>1.034</v>
      </c>
      <c r="K151" s="151">
        <f t="shared" si="44"/>
        <v>1.034</v>
      </c>
      <c r="L151" s="151">
        <f t="shared" si="44"/>
        <v>1.034</v>
      </c>
      <c r="M151" s="151">
        <f t="shared" si="44"/>
        <v>1.034</v>
      </c>
      <c r="N151" s="151">
        <f t="shared" si="44"/>
        <v>1.034</v>
      </c>
      <c r="O151" s="151">
        <f t="shared" si="44"/>
        <v>1.034</v>
      </c>
      <c r="P151" s="151">
        <f t="shared" si="44"/>
        <v>0</v>
      </c>
      <c r="Q151" s="151">
        <f t="shared" si="44"/>
        <v>1.034</v>
      </c>
      <c r="R151" s="151">
        <f t="shared" si="44"/>
        <v>0</v>
      </c>
      <c r="S151" s="151">
        <f t="shared" si="44"/>
        <v>0</v>
      </c>
      <c r="T151" s="119"/>
      <c r="U151" s="119"/>
    </row>
    <row r="152" spans="6:23" x14ac:dyDescent="0.25">
      <c r="F152" t="s">
        <v>795</v>
      </c>
      <c r="G152" s="118" t="s">
        <v>283</v>
      </c>
      <c r="H152" s="97"/>
      <c r="J152" s="151">
        <f t="shared" ref="J152:S152" si="45">$H133 * J111</f>
        <v>1.0620000000000001</v>
      </c>
      <c r="K152" s="151">
        <f t="shared" si="45"/>
        <v>1.0620000000000001</v>
      </c>
      <c r="L152" s="151">
        <f t="shared" si="45"/>
        <v>1.0620000000000001</v>
      </c>
      <c r="M152" s="151">
        <f t="shared" si="45"/>
        <v>1.0620000000000001</v>
      </c>
      <c r="N152" s="151">
        <f t="shared" si="45"/>
        <v>1.0620000000000001</v>
      </c>
      <c r="O152" s="151">
        <f t="shared" si="45"/>
        <v>1.0620000000000001</v>
      </c>
      <c r="P152" s="151">
        <f t="shared" si="45"/>
        <v>0</v>
      </c>
      <c r="Q152" s="151">
        <f t="shared" si="45"/>
        <v>1.0620000000000001</v>
      </c>
      <c r="R152" s="151">
        <f t="shared" si="45"/>
        <v>1.0620000000000001</v>
      </c>
      <c r="S152" s="151">
        <f t="shared" si="45"/>
        <v>1.0620000000000001</v>
      </c>
      <c r="T152" s="119"/>
      <c r="U152" s="119"/>
    </row>
    <row r="153" spans="6:23" x14ac:dyDescent="0.25">
      <c r="F153" t="s">
        <v>787</v>
      </c>
      <c r="G153" s="118" t="s">
        <v>283</v>
      </c>
      <c r="H153" s="97"/>
      <c r="J153" s="151">
        <f t="shared" ref="J153:S153" si="46">$H134 * J112</f>
        <v>-1.0620000000000001</v>
      </c>
      <c r="K153" s="151">
        <f t="shared" si="46"/>
        <v>-1.0620000000000001</v>
      </c>
      <c r="L153" s="151">
        <f t="shared" si="46"/>
        <v>-1.0620000000000001</v>
      </c>
      <c r="M153" s="151">
        <f t="shared" si="46"/>
        <v>-1.0620000000000001</v>
      </c>
      <c r="N153" s="151">
        <f t="shared" si="46"/>
        <v>-1.0620000000000001</v>
      </c>
      <c r="O153" s="151">
        <f t="shared" si="46"/>
        <v>-1.0620000000000001</v>
      </c>
      <c r="P153" s="151">
        <f t="shared" si="46"/>
        <v>0</v>
      </c>
      <c r="Q153" s="151">
        <f t="shared" si="46"/>
        <v>-1.0620000000000001</v>
      </c>
      <c r="R153" s="151">
        <f t="shared" si="46"/>
        <v>-1.0620000000000001</v>
      </c>
      <c r="S153" s="151">
        <f t="shared" si="46"/>
        <v>0</v>
      </c>
      <c r="T153" s="119"/>
      <c r="U153" s="119"/>
    </row>
    <row r="154" spans="6:23" x14ac:dyDescent="0.25">
      <c r="F154" t="s">
        <v>788</v>
      </c>
      <c r="G154" s="118" t="s">
        <v>283</v>
      </c>
      <c r="H154" s="97"/>
      <c r="J154" s="151">
        <f t="shared" ref="J154:S154" si="47">$H135 * J113</f>
        <v>-1.048</v>
      </c>
      <c r="K154" s="151">
        <f t="shared" si="47"/>
        <v>-1.048</v>
      </c>
      <c r="L154" s="151">
        <f t="shared" si="47"/>
        <v>-1.048</v>
      </c>
      <c r="M154" s="151">
        <f t="shared" si="47"/>
        <v>-1.048</v>
      </c>
      <c r="N154" s="151">
        <f t="shared" si="47"/>
        <v>-1.048</v>
      </c>
      <c r="O154" s="151">
        <f t="shared" si="47"/>
        <v>-1.048</v>
      </c>
      <c r="P154" s="151">
        <f t="shared" si="47"/>
        <v>0</v>
      </c>
      <c r="Q154" s="151">
        <f t="shared" si="47"/>
        <v>-1.048</v>
      </c>
      <c r="R154" s="151">
        <f t="shared" si="47"/>
        <v>0</v>
      </c>
      <c r="S154" s="151">
        <f t="shared" si="47"/>
        <v>0</v>
      </c>
      <c r="T154" s="119"/>
      <c r="U154" s="119"/>
    </row>
    <row r="155" spans="6:23" x14ac:dyDescent="0.25">
      <c r="F155" t="s">
        <v>789</v>
      </c>
      <c r="G155" s="118" t="s">
        <v>283</v>
      </c>
      <c r="H155" s="97"/>
      <c r="J155" s="151">
        <f t="shared" ref="J155:S155" si="48">$H136 * J114</f>
        <v>-1.0620000000000001</v>
      </c>
      <c r="K155" s="151">
        <f t="shared" si="48"/>
        <v>-1.0620000000000001</v>
      </c>
      <c r="L155" s="151">
        <f t="shared" si="48"/>
        <v>-1.0620000000000001</v>
      </c>
      <c r="M155" s="151">
        <f t="shared" si="48"/>
        <v>-1.0620000000000001</v>
      </c>
      <c r="N155" s="151">
        <f t="shared" si="48"/>
        <v>-1.0620000000000001</v>
      </c>
      <c r="O155" s="151">
        <f t="shared" si="48"/>
        <v>-1.0620000000000001</v>
      </c>
      <c r="P155" s="151">
        <f t="shared" si="48"/>
        <v>0</v>
      </c>
      <c r="Q155" s="151">
        <f t="shared" si="48"/>
        <v>-1.0620000000000001</v>
      </c>
      <c r="R155" s="151">
        <f t="shared" si="48"/>
        <v>-1.0620000000000001</v>
      </c>
      <c r="S155" s="151">
        <f t="shared" si="48"/>
        <v>0</v>
      </c>
      <c r="T155" s="119"/>
      <c r="U155" s="119"/>
    </row>
    <row r="156" spans="6:23" x14ac:dyDescent="0.25">
      <c r="F156" t="s">
        <v>798</v>
      </c>
      <c r="G156" s="118" t="s">
        <v>283</v>
      </c>
      <c r="H156" s="97"/>
      <c r="J156" s="151">
        <f t="shared" ref="J156:S156" si="49">$H137 * J115</f>
        <v>-1.0620000000000001</v>
      </c>
      <c r="K156" s="151">
        <f t="shared" si="49"/>
        <v>-1.0620000000000001</v>
      </c>
      <c r="L156" s="151">
        <f t="shared" si="49"/>
        <v>-1.0620000000000001</v>
      </c>
      <c r="M156" s="151">
        <f t="shared" si="49"/>
        <v>-1.0620000000000001</v>
      </c>
      <c r="N156" s="151">
        <f t="shared" si="49"/>
        <v>-1.0620000000000001</v>
      </c>
      <c r="O156" s="151">
        <f t="shared" si="49"/>
        <v>-1.0620000000000001</v>
      </c>
      <c r="P156" s="151">
        <f t="shared" si="49"/>
        <v>0</v>
      </c>
      <c r="Q156" s="151">
        <f t="shared" si="49"/>
        <v>-1.0620000000000001</v>
      </c>
      <c r="R156" s="151">
        <f t="shared" si="49"/>
        <v>-1.0620000000000001</v>
      </c>
      <c r="S156" s="151">
        <f t="shared" si="49"/>
        <v>0</v>
      </c>
      <c r="T156" s="119"/>
      <c r="U156" s="119"/>
    </row>
    <row r="157" spans="6:23" x14ac:dyDescent="0.25">
      <c r="F157" t="s">
        <v>790</v>
      </c>
      <c r="G157" s="118" t="s">
        <v>283</v>
      </c>
      <c r="H157" s="97"/>
      <c r="J157" s="151">
        <f t="shared" ref="J157:S157" si="50">$H138 * J116</f>
        <v>-1.048</v>
      </c>
      <c r="K157" s="151">
        <f t="shared" si="50"/>
        <v>-1.048</v>
      </c>
      <c r="L157" s="151">
        <f t="shared" si="50"/>
        <v>-1.048</v>
      </c>
      <c r="M157" s="151">
        <f t="shared" si="50"/>
        <v>-1.048</v>
      </c>
      <c r="N157" s="151">
        <f t="shared" si="50"/>
        <v>-1.048</v>
      </c>
      <c r="O157" s="151">
        <f t="shared" si="50"/>
        <v>-1.048</v>
      </c>
      <c r="P157" s="151">
        <f t="shared" si="50"/>
        <v>0</v>
      </c>
      <c r="Q157" s="151">
        <f t="shared" si="50"/>
        <v>-1.048</v>
      </c>
      <c r="R157" s="151">
        <f t="shared" si="50"/>
        <v>0</v>
      </c>
      <c r="S157" s="151">
        <f t="shared" si="50"/>
        <v>0</v>
      </c>
      <c r="T157" s="119"/>
      <c r="U157" s="119"/>
    </row>
    <row r="158" spans="6:23" x14ac:dyDescent="0.25">
      <c r="F158" t="s">
        <v>797</v>
      </c>
      <c r="G158" s="118" t="s">
        <v>283</v>
      </c>
      <c r="H158" s="97"/>
      <c r="J158" s="151">
        <f t="shared" ref="J158:S158" si="51">$H139 * J117</f>
        <v>-1.048</v>
      </c>
      <c r="K158" s="151">
        <f t="shared" si="51"/>
        <v>-1.048</v>
      </c>
      <c r="L158" s="151">
        <f t="shared" si="51"/>
        <v>-1.048</v>
      </c>
      <c r="M158" s="151">
        <f t="shared" si="51"/>
        <v>-1.048</v>
      </c>
      <c r="N158" s="151">
        <f t="shared" si="51"/>
        <v>-1.048</v>
      </c>
      <c r="O158" s="151">
        <f t="shared" si="51"/>
        <v>-1.048</v>
      </c>
      <c r="P158" s="151">
        <f t="shared" si="51"/>
        <v>0</v>
      </c>
      <c r="Q158" s="151">
        <f t="shared" si="51"/>
        <v>-1.048</v>
      </c>
      <c r="R158" s="151">
        <f t="shared" si="51"/>
        <v>0</v>
      </c>
      <c r="S158" s="151">
        <f t="shared" si="51"/>
        <v>0</v>
      </c>
      <c r="T158" s="119"/>
      <c r="U158" s="119"/>
    </row>
    <row r="159" spans="6:23" x14ac:dyDescent="0.25">
      <c r="F159" t="s">
        <v>791</v>
      </c>
      <c r="G159" s="118" t="s">
        <v>283</v>
      </c>
      <c r="H159" s="97"/>
      <c r="J159" s="151">
        <f t="shared" ref="J159:S159" si="52">$H140 * J118</f>
        <v>-1.034</v>
      </c>
      <c r="K159" s="151">
        <f t="shared" si="52"/>
        <v>-1.034</v>
      </c>
      <c r="L159" s="151">
        <f t="shared" si="52"/>
        <v>-1.034</v>
      </c>
      <c r="M159" s="151">
        <f t="shared" si="52"/>
        <v>-1.034</v>
      </c>
      <c r="N159" s="151">
        <f t="shared" si="52"/>
        <v>-1.034</v>
      </c>
      <c r="O159" s="151">
        <f t="shared" si="52"/>
        <v>-1.034</v>
      </c>
      <c r="P159" s="151">
        <f t="shared" si="52"/>
        <v>0</v>
      </c>
      <c r="Q159" s="151">
        <f t="shared" si="52"/>
        <v>0</v>
      </c>
      <c r="R159" s="151">
        <f t="shared" si="52"/>
        <v>0</v>
      </c>
      <c r="S159" s="151">
        <f t="shared" si="52"/>
        <v>0</v>
      </c>
      <c r="T159" s="119"/>
      <c r="U159" s="119"/>
    </row>
    <row r="160" spans="6:23" x14ac:dyDescent="0.25">
      <c r="F160" s="96" t="s">
        <v>796</v>
      </c>
      <c r="G160" s="120" t="s">
        <v>283</v>
      </c>
      <c r="H160" s="177"/>
      <c r="I160" s="96"/>
      <c r="J160" s="150">
        <f t="shared" ref="J160:S160" si="53">$H141 * J119</f>
        <v>-1.034</v>
      </c>
      <c r="K160" s="150">
        <f t="shared" si="53"/>
        <v>-1.034</v>
      </c>
      <c r="L160" s="150">
        <f t="shared" si="53"/>
        <v>-1.034</v>
      </c>
      <c r="M160" s="150">
        <f t="shared" si="53"/>
        <v>-1.034</v>
      </c>
      <c r="N160" s="150">
        <f t="shared" si="53"/>
        <v>-1.034</v>
      </c>
      <c r="O160" s="150">
        <f t="shared" si="53"/>
        <v>-1.034</v>
      </c>
      <c r="P160" s="150">
        <f t="shared" si="53"/>
        <v>0</v>
      </c>
      <c r="Q160" s="150">
        <f t="shared" si="53"/>
        <v>0</v>
      </c>
      <c r="R160" s="150">
        <f t="shared" si="53"/>
        <v>0</v>
      </c>
      <c r="S160" s="150">
        <f t="shared" si="53"/>
        <v>0</v>
      </c>
      <c r="T160" s="121"/>
      <c r="U160" s="121"/>
    </row>
    <row r="161" spans="5:23" x14ac:dyDescent="0.25">
      <c r="G161" s="61"/>
      <c r="J161" s="106"/>
      <c r="K161" s="106"/>
      <c r="L161" s="106"/>
      <c r="M161" s="106"/>
      <c r="N161" s="106"/>
      <c r="O161" s="106"/>
      <c r="P161" s="106"/>
      <c r="Q161" s="106"/>
      <c r="R161" s="106"/>
      <c r="S161" s="106"/>
      <c r="T161" s="106"/>
      <c r="U161" s="106"/>
    </row>
    <row r="162" spans="5:23" x14ac:dyDescent="0.25">
      <c r="E162" s="75" t="s">
        <v>362</v>
      </c>
      <c r="G162" s="61"/>
      <c r="I162" t="s">
        <v>154</v>
      </c>
      <c r="J162" s="106"/>
      <c r="K162" s="106"/>
      <c r="L162" s="106"/>
      <c r="M162" s="106"/>
      <c r="N162" s="106"/>
      <c r="O162" s="106"/>
      <c r="P162" s="106"/>
      <c r="Q162" s="106"/>
      <c r="R162" s="106"/>
      <c r="S162" s="106"/>
      <c r="T162" s="106"/>
      <c r="U162" s="106"/>
      <c r="W162" s="3" t="s">
        <v>367</v>
      </c>
    </row>
    <row r="163" spans="5:23" x14ac:dyDescent="0.25">
      <c r="E163" s="86" t="s">
        <v>359</v>
      </c>
      <c r="G163" s="61"/>
      <c r="J163" s="106"/>
      <c r="K163" s="106"/>
      <c r="L163" s="106"/>
      <c r="M163" s="106"/>
      <c r="N163" s="106"/>
      <c r="O163" s="106"/>
      <c r="P163" s="106"/>
      <c r="Q163" s="106"/>
      <c r="R163" s="106"/>
      <c r="S163" s="106"/>
      <c r="T163" s="106"/>
      <c r="U163" s="106"/>
    </row>
    <row r="164" spans="5:23" x14ac:dyDescent="0.25">
      <c r="F164" s="95" t="s">
        <v>1114</v>
      </c>
      <c r="G164" s="116" t="s">
        <v>283</v>
      </c>
      <c r="H164" s="176"/>
      <c r="I164" s="95"/>
      <c r="J164" s="117"/>
      <c r="K164" s="117"/>
      <c r="L164" s="117"/>
      <c r="M164" s="117"/>
      <c r="N164" s="117"/>
      <c r="O164" s="117"/>
      <c r="P164" s="117"/>
      <c r="Q164" s="117"/>
      <c r="R164" s="117"/>
      <c r="S164" s="117"/>
      <c r="T164" s="117"/>
      <c r="U164" s="117"/>
    </row>
    <row r="165" spans="5:23" x14ac:dyDescent="0.25">
      <c r="F165" t="s">
        <v>785</v>
      </c>
      <c r="G165" s="118" t="s">
        <v>283</v>
      </c>
      <c r="H165" s="97"/>
      <c r="J165" s="119"/>
      <c r="K165" s="119"/>
      <c r="L165" s="119"/>
      <c r="M165" s="119"/>
      <c r="N165" s="119"/>
      <c r="O165" s="119"/>
      <c r="P165" s="119"/>
      <c r="Q165" s="119"/>
      <c r="R165" s="119"/>
      <c r="S165" s="119"/>
      <c r="T165" s="119"/>
      <c r="U165" s="119"/>
      <c r="W165" s="3"/>
    </row>
    <row r="166" spans="5:23" x14ac:dyDescent="0.25">
      <c r="F166" t="s">
        <v>1115</v>
      </c>
      <c r="G166" s="118" t="s">
        <v>283</v>
      </c>
      <c r="H166" s="97"/>
      <c r="J166" s="119"/>
      <c r="K166" s="119"/>
      <c r="L166" s="119"/>
      <c r="M166" s="119"/>
      <c r="N166" s="119"/>
      <c r="O166" s="119"/>
      <c r="P166" s="119"/>
      <c r="Q166" s="119"/>
      <c r="R166" s="119"/>
      <c r="S166" s="119"/>
      <c r="T166" s="119"/>
      <c r="U166" s="119"/>
      <c r="W166" s="3"/>
    </row>
    <row r="167" spans="5:23" x14ac:dyDescent="0.25">
      <c r="F167" t="s">
        <v>786</v>
      </c>
      <c r="G167" s="118" t="s">
        <v>283</v>
      </c>
      <c r="H167" s="97"/>
      <c r="J167" s="119"/>
      <c r="K167" s="119"/>
      <c r="L167" s="119"/>
      <c r="M167" s="119"/>
      <c r="N167" s="119"/>
      <c r="O167" s="119"/>
      <c r="P167" s="119"/>
      <c r="Q167" s="119"/>
      <c r="R167" s="119"/>
      <c r="S167" s="119"/>
      <c r="T167" s="119"/>
      <c r="U167" s="119"/>
    </row>
    <row r="168" spans="5:23" x14ac:dyDescent="0.25">
      <c r="F168" t="s">
        <v>792</v>
      </c>
      <c r="G168" s="118" t="s">
        <v>283</v>
      </c>
      <c r="H168" s="97"/>
      <c r="J168" s="119"/>
      <c r="K168" s="119"/>
      <c r="L168" s="119"/>
      <c r="M168" s="119"/>
      <c r="N168" s="119"/>
      <c r="O168" s="119"/>
      <c r="P168" s="119"/>
      <c r="Q168" s="119"/>
      <c r="R168" s="119"/>
      <c r="S168" s="119"/>
      <c r="T168" s="119"/>
      <c r="U168" s="119"/>
    </row>
    <row r="169" spans="5:23" x14ac:dyDescent="0.25">
      <c r="F169" t="s">
        <v>793</v>
      </c>
      <c r="G169" s="118" t="s">
        <v>283</v>
      </c>
      <c r="H169" s="97"/>
      <c r="J169" s="119"/>
      <c r="K169" s="119"/>
      <c r="L169" s="119"/>
      <c r="M169" s="119"/>
      <c r="N169" s="119"/>
      <c r="O169" s="119"/>
      <c r="P169" s="119"/>
      <c r="Q169" s="119"/>
      <c r="R169" s="119"/>
      <c r="S169" s="119"/>
      <c r="T169" s="119"/>
      <c r="U169" s="119"/>
    </row>
    <row r="170" spans="5:23" x14ac:dyDescent="0.25">
      <c r="F170" t="s">
        <v>794</v>
      </c>
      <c r="G170" s="118" t="s">
        <v>283</v>
      </c>
      <c r="H170" s="97"/>
      <c r="J170" s="119"/>
      <c r="K170" s="119"/>
      <c r="L170" s="119"/>
      <c r="M170" s="119"/>
      <c r="N170" s="119"/>
      <c r="O170" s="119"/>
      <c r="P170" s="119"/>
      <c r="Q170" s="119"/>
      <c r="R170" s="119"/>
      <c r="S170" s="119"/>
      <c r="T170" s="119"/>
      <c r="U170" s="119"/>
    </row>
    <row r="171" spans="5:23" x14ac:dyDescent="0.25">
      <c r="F171" t="s">
        <v>795</v>
      </c>
      <c r="G171" s="118" t="s">
        <v>283</v>
      </c>
      <c r="H171" s="97"/>
      <c r="J171" s="119"/>
      <c r="K171" s="119"/>
      <c r="L171" s="119"/>
      <c r="M171" s="119"/>
      <c r="N171" s="119"/>
      <c r="O171" s="119"/>
      <c r="P171" s="119"/>
      <c r="Q171" s="119"/>
      <c r="R171" s="119"/>
      <c r="S171" s="119"/>
      <c r="T171" s="119"/>
      <c r="U171" s="119"/>
    </row>
    <row r="172" spans="5:23" x14ac:dyDescent="0.25">
      <c r="F172" t="s">
        <v>787</v>
      </c>
      <c r="G172" s="118" t="s">
        <v>283</v>
      </c>
      <c r="H172" s="97"/>
      <c r="J172" s="151">
        <f t="shared" ref="J172:S172" si="54">$H134 * J73</f>
        <v>-1.0620000000000001</v>
      </c>
      <c r="K172" s="151">
        <f t="shared" si="54"/>
        <v>-1.0620000000000001</v>
      </c>
      <c r="L172" s="151">
        <f t="shared" si="54"/>
        <v>-1.0620000000000001</v>
      </c>
      <c r="M172" s="151">
        <f t="shared" si="54"/>
        <v>-1.0620000000000001</v>
      </c>
      <c r="N172" s="151">
        <f t="shared" si="54"/>
        <v>-1.0620000000000001</v>
      </c>
      <c r="O172" s="151">
        <f t="shared" si="54"/>
        <v>-1.0620000000000001</v>
      </c>
      <c r="P172" s="151">
        <f t="shared" si="54"/>
        <v>0</v>
      </c>
      <c r="Q172" s="151">
        <f t="shared" si="54"/>
        <v>-1.0620000000000001</v>
      </c>
      <c r="R172" s="151">
        <f t="shared" si="54"/>
        <v>-1.0620000000000001</v>
      </c>
      <c r="S172" s="151">
        <f t="shared" si="54"/>
        <v>-1.0620000000000001</v>
      </c>
      <c r="T172" s="119"/>
      <c r="U172" s="119"/>
    </row>
    <row r="173" spans="5:23" x14ac:dyDescent="0.25">
      <c r="F173" t="s">
        <v>788</v>
      </c>
      <c r="G173" s="118" t="s">
        <v>283</v>
      </c>
      <c r="H173" s="97"/>
      <c r="J173" s="151">
        <f t="shared" ref="J173:S173" si="55">$H135 * J74</f>
        <v>-1.048</v>
      </c>
      <c r="K173" s="151">
        <f t="shared" si="55"/>
        <v>-1.048</v>
      </c>
      <c r="L173" s="151">
        <f t="shared" si="55"/>
        <v>-1.048</v>
      </c>
      <c r="M173" s="151">
        <f t="shared" si="55"/>
        <v>-1.048</v>
      </c>
      <c r="N173" s="151">
        <f t="shared" si="55"/>
        <v>-1.048</v>
      </c>
      <c r="O173" s="151">
        <f t="shared" si="55"/>
        <v>-1.048</v>
      </c>
      <c r="P173" s="151">
        <f t="shared" si="55"/>
        <v>0</v>
      </c>
      <c r="Q173" s="151">
        <f t="shared" si="55"/>
        <v>-1.048</v>
      </c>
      <c r="R173" s="151">
        <f t="shared" si="55"/>
        <v>-1.048</v>
      </c>
      <c r="S173" s="151">
        <f t="shared" si="55"/>
        <v>0</v>
      </c>
      <c r="T173" s="119"/>
      <c r="U173" s="119"/>
    </row>
    <row r="174" spans="5:23" x14ac:dyDescent="0.25">
      <c r="F174" t="s">
        <v>789</v>
      </c>
      <c r="G174" s="118" t="s">
        <v>283</v>
      </c>
      <c r="H174" s="97"/>
      <c r="J174" s="151">
        <f t="shared" ref="J174:S174" si="56">$H136 * J75</f>
        <v>-1.0620000000000001</v>
      </c>
      <c r="K174" s="151">
        <f t="shared" si="56"/>
        <v>-1.0620000000000001</v>
      </c>
      <c r="L174" s="151">
        <f t="shared" si="56"/>
        <v>-1.0620000000000001</v>
      </c>
      <c r="M174" s="151">
        <f t="shared" si="56"/>
        <v>-1.0620000000000001</v>
      </c>
      <c r="N174" s="151">
        <f t="shared" si="56"/>
        <v>-1.0620000000000001</v>
      </c>
      <c r="O174" s="151">
        <f t="shared" si="56"/>
        <v>-1.0620000000000001</v>
      </c>
      <c r="P174" s="151">
        <f t="shared" si="56"/>
        <v>0</v>
      </c>
      <c r="Q174" s="151">
        <f t="shared" si="56"/>
        <v>-1.0620000000000001</v>
      </c>
      <c r="R174" s="151">
        <f t="shared" si="56"/>
        <v>-1.0620000000000001</v>
      </c>
      <c r="S174" s="151">
        <f t="shared" si="56"/>
        <v>-1.0620000000000001</v>
      </c>
      <c r="T174" s="119"/>
      <c r="U174" s="119"/>
    </row>
    <row r="175" spans="5:23" x14ac:dyDescent="0.25">
      <c r="F175" t="s">
        <v>798</v>
      </c>
      <c r="G175" s="118" t="s">
        <v>283</v>
      </c>
      <c r="H175" s="97"/>
      <c r="J175" s="151">
        <f t="shared" ref="J175:S175" si="57">$H137 * J76</f>
        <v>-1.0620000000000001</v>
      </c>
      <c r="K175" s="151">
        <f t="shared" si="57"/>
        <v>-1.0620000000000001</v>
      </c>
      <c r="L175" s="151">
        <f t="shared" si="57"/>
        <v>-1.0620000000000001</v>
      </c>
      <c r="M175" s="151">
        <f t="shared" si="57"/>
        <v>-1.0620000000000001</v>
      </c>
      <c r="N175" s="151">
        <f t="shared" si="57"/>
        <v>-1.0620000000000001</v>
      </c>
      <c r="O175" s="151">
        <f t="shared" si="57"/>
        <v>-1.0620000000000001</v>
      </c>
      <c r="P175" s="151">
        <f t="shared" si="57"/>
        <v>0</v>
      </c>
      <c r="Q175" s="151">
        <f t="shared" si="57"/>
        <v>-1.0620000000000001</v>
      </c>
      <c r="R175" s="151">
        <f t="shared" si="57"/>
        <v>-1.0620000000000001</v>
      </c>
      <c r="S175" s="151">
        <f t="shared" si="57"/>
        <v>-1.0620000000000001</v>
      </c>
      <c r="T175" s="119"/>
      <c r="U175" s="119"/>
    </row>
    <row r="176" spans="5:23" x14ac:dyDescent="0.25">
      <c r="F176" t="s">
        <v>790</v>
      </c>
      <c r="G176" s="118" t="s">
        <v>283</v>
      </c>
      <c r="H176" s="97"/>
      <c r="J176" s="151">
        <f t="shared" ref="J176:S176" si="58">$H138 * J77</f>
        <v>-1.048</v>
      </c>
      <c r="K176" s="151">
        <f t="shared" si="58"/>
        <v>-1.048</v>
      </c>
      <c r="L176" s="151">
        <f t="shared" si="58"/>
        <v>-1.048</v>
      </c>
      <c r="M176" s="151">
        <f t="shared" si="58"/>
        <v>-1.048</v>
      </c>
      <c r="N176" s="151">
        <f t="shared" si="58"/>
        <v>-1.048</v>
      </c>
      <c r="O176" s="151">
        <f t="shared" si="58"/>
        <v>-1.048</v>
      </c>
      <c r="P176" s="151">
        <f t="shared" si="58"/>
        <v>0</v>
      </c>
      <c r="Q176" s="151">
        <f t="shared" si="58"/>
        <v>-1.048</v>
      </c>
      <c r="R176" s="151">
        <f t="shared" si="58"/>
        <v>-1.048</v>
      </c>
      <c r="S176" s="151">
        <f t="shared" si="58"/>
        <v>0</v>
      </c>
      <c r="T176" s="119"/>
      <c r="U176" s="119"/>
    </row>
    <row r="177" spans="2:23" x14ac:dyDescent="0.25">
      <c r="F177" t="s">
        <v>797</v>
      </c>
      <c r="G177" s="118" t="s">
        <v>283</v>
      </c>
      <c r="H177" s="97"/>
      <c r="J177" s="151">
        <f t="shared" ref="J177:S177" si="59">$H139 * J78</f>
        <v>-1.048</v>
      </c>
      <c r="K177" s="151">
        <f t="shared" si="59"/>
        <v>-1.048</v>
      </c>
      <c r="L177" s="151">
        <f t="shared" si="59"/>
        <v>-1.048</v>
      </c>
      <c r="M177" s="151">
        <f t="shared" si="59"/>
        <v>-1.048</v>
      </c>
      <c r="N177" s="151">
        <f t="shared" si="59"/>
        <v>-1.048</v>
      </c>
      <c r="O177" s="151">
        <f t="shared" si="59"/>
        <v>-1.048</v>
      </c>
      <c r="P177" s="151">
        <f t="shared" si="59"/>
        <v>0</v>
      </c>
      <c r="Q177" s="151">
        <f t="shared" si="59"/>
        <v>-1.048</v>
      </c>
      <c r="R177" s="151">
        <f t="shared" si="59"/>
        <v>-1.048</v>
      </c>
      <c r="S177" s="151">
        <f t="shared" si="59"/>
        <v>0</v>
      </c>
      <c r="T177" s="119"/>
      <c r="U177" s="119"/>
    </row>
    <row r="178" spans="2:23" x14ac:dyDescent="0.25">
      <c r="F178" t="s">
        <v>791</v>
      </c>
      <c r="G178" s="118" t="s">
        <v>283</v>
      </c>
      <c r="H178" s="97"/>
      <c r="J178" s="151">
        <f t="shared" ref="J178:S178" si="60">$H140 * J79</f>
        <v>-1.034</v>
      </c>
      <c r="K178" s="151">
        <f t="shared" si="60"/>
        <v>-1.034</v>
      </c>
      <c r="L178" s="151">
        <f t="shared" si="60"/>
        <v>-1.034</v>
      </c>
      <c r="M178" s="151">
        <f t="shared" si="60"/>
        <v>-1.034</v>
      </c>
      <c r="N178" s="151">
        <f t="shared" si="60"/>
        <v>-1.034</v>
      </c>
      <c r="O178" s="151">
        <f t="shared" si="60"/>
        <v>-1.034</v>
      </c>
      <c r="P178" s="151">
        <f t="shared" si="60"/>
        <v>0</v>
      </c>
      <c r="Q178" s="151">
        <f t="shared" si="60"/>
        <v>-1.034</v>
      </c>
      <c r="R178" s="151">
        <f t="shared" si="60"/>
        <v>0</v>
      </c>
      <c r="S178" s="151">
        <f t="shared" si="60"/>
        <v>0</v>
      </c>
      <c r="T178" s="119"/>
      <c r="U178" s="119"/>
    </row>
    <row r="179" spans="2:23" x14ac:dyDescent="0.25">
      <c r="F179" s="96" t="s">
        <v>796</v>
      </c>
      <c r="G179" s="120" t="s">
        <v>283</v>
      </c>
      <c r="H179" s="177"/>
      <c r="I179" s="96"/>
      <c r="J179" s="150">
        <f t="shared" ref="J179:S179" si="61">$H141 * J80</f>
        <v>-1.034</v>
      </c>
      <c r="K179" s="150">
        <f t="shared" si="61"/>
        <v>-1.034</v>
      </c>
      <c r="L179" s="150">
        <f t="shared" si="61"/>
        <v>-1.034</v>
      </c>
      <c r="M179" s="150">
        <f t="shared" si="61"/>
        <v>-1.034</v>
      </c>
      <c r="N179" s="150">
        <f t="shared" si="61"/>
        <v>-1.034</v>
      </c>
      <c r="O179" s="150">
        <f t="shared" si="61"/>
        <v>-1.034</v>
      </c>
      <c r="P179" s="150">
        <f t="shared" si="61"/>
        <v>0</v>
      </c>
      <c r="Q179" s="150">
        <f t="shared" si="61"/>
        <v>-1.034</v>
      </c>
      <c r="R179" s="150">
        <f t="shared" si="61"/>
        <v>0</v>
      </c>
      <c r="S179" s="150">
        <f t="shared" si="61"/>
        <v>0</v>
      </c>
      <c r="T179" s="121"/>
      <c r="U179" s="121"/>
    </row>
    <row r="180" spans="2:23" x14ac:dyDescent="0.25">
      <c r="G180" s="61"/>
    </row>
    <row r="181" spans="2:23" x14ac:dyDescent="0.25">
      <c r="B181" s="85" t="s">
        <v>231</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25">
      <c r="G182" s="61"/>
    </row>
    <row r="183" spans="2:23" x14ac:dyDescent="0.25">
      <c r="E183" t="s">
        <v>232</v>
      </c>
      <c r="G183" s="6" t="s">
        <v>56</v>
      </c>
      <c r="H183" s="113">
        <f t="array" ref="H183">SUM(IF(ISERROR(H19:W181), 1))</f>
        <v>0</v>
      </c>
    </row>
    <row r="185" spans="2:23" x14ac:dyDescent="0.25">
      <c r="B185" s="85" t="s">
        <v>107</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NGED South West - [enter data version name]</v>
      </c>
    </row>
    <row r="3" spans="1:23" s="5" customFormat="1" x14ac:dyDescent="0.25">
      <c r="A3" s="5" t="str">
        <f>Cover!D2&amp;" - "&amp;Cover!D8&amp;" v"&amp;Cover!D10&amp;" - "&amp;Cover!D19</f>
        <v>CDCM charging model - Release for charge setting v11 - 2026/27</v>
      </c>
    </row>
    <row r="4" spans="1:23" x14ac:dyDescent="0.25">
      <c r="A4" s="60" t="str">
        <f>H70 &amp; IF(H70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W5" s="91" t="s">
        <v>145</v>
      </c>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368</v>
      </c>
    </row>
    <row r="10" spans="1:23" x14ac:dyDescent="0.25">
      <c r="C10" s="86" t="s">
        <v>1113</v>
      </c>
    </row>
    <row r="12" spans="1:23" x14ac:dyDescent="0.25">
      <c r="B12" s="85" t="s">
        <v>67</v>
      </c>
      <c r="C12" s="85"/>
      <c r="D12" s="85"/>
      <c r="E12" s="85"/>
      <c r="F12" s="85"/>
      <c r="G12" s="85"/>
      <c r="H12" s="85"/>
      <c r="I12" s="85"/>
      <c r="J12" s="85"/>
      <c r="K12" s="85"/>
      <c r="L12" s="85"/>
      <c r="M12" s="85"/>
      <c r="N12" s="85"/>
      <c r="O12" s="85"/>
      <c r="P12" s="85"/>
      <c r="Q12" s="85"/>
      <c r="R12" s="85"/>
      <c r="S12" s="85"/>
      <c r="T12" s="85"/>
      <c r="U12" s="85"/>
      <c r="V12" s="85"/>
      <c r="W12" s="85"/>
    </row>
    <row r="14" spans="1:23" x14ac:dyDescent="0.25">
      <c r="C14" s="86" t="s">
        <v>369</v>
      </c>
    </row>
    <row r="16" spans="1:23" x14ac:dyDescent="0.25">
      <c r="C16" s="93" t="str">
        <f ca="1">INDEX('Version control'!$H$41:$H$64,MATCH($A$1,'Version control'!$F$41:$F$64,0),1)&amp;"-A: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25">
      <c r="E18" s="75" t="s">
        <v>180</v>
      </c>
      <c r="H18" s="3"/>
      <c r="I18" s="3" t="s">
        <v>154</v>
      </c>
      <c r="J18" s="3"/>
      <c r="K18" s="3"/>
      <c r="L18" s="3"/>
      <c r="M18" s="3"/>
      <c r="N18" s="3"/>
      <c r="O18" s="3"/>
      <c r="P18" s="3"/>
      <c r="Q18" s="3"/>
      <c r="R18" s="3"/>
      <c r="S18" s="3"/>
      <c r="T18" s="3"/>
      <c r="U18" s="3"/>
      <c r="W18" s="3" t="s">
        <v>181</v>
      </c>
    </row>
    <row r="19" spans="5:23" x14ac:dyDescent="0.25">
      <c r="E19" s="86" t="s">
        <v>182</v>
      </c>
      <c r="H19" s="3"/>
      <c r="I19" s="3"/>
      <c r="J19" s="3"/>
      <c r="K19" s="3"/>
      <c r="L19" s="3"/>
      <c r="M19" s="3"/>
      <c r="N19" s="3"/>
      <c r="O19" s="3"/>
      <c r="P19" s="3"/>
      <c r="Q19" s="3"/>
      <c r="R19" s="3"/>
      <c r="S19" s="3"/>
      <c r="T19" s="3"/>
      <c r="U19" s="3"/>
      <c r="W19" s="3"/>
    </row>
    <row r="20" spans="5:23" x14ac:dyDescent="0.25">
      <c r="F20" s="180"/>
      <c r="G20" s="180"/>
      <c r="H20" s="181"/>
      <c r="I20" s="181"/>
      <c r="J20" s="182" t="s">
        <v>183</v>
      </c>
      <c r="K20" s="182" t="s">
        <v>184</v>
      </c>
      <c r="L20" s="182" t="s">
        <v>185</v>
      </c>
      <c r="M20" s="182" t="s">
        <v>186</v>
      </c>
      <c r="O20" s="3"/>
      <c r="P20" s="3"/>
      <c r="Q20" s="3"/>
      <c r="R20" s="3"/>
      <c r="S20" s="3"/>
      <c r="T20" s="3"/>
      <c r="U20" s="3"/>
    </row>
    <row r="21" spans="5:23" x14ac:dyDescent="0.25">
      <c r="F21" s="94" t="s">
        <v>1114</v>
      </c>
      <c r="G21" s="61" t="s">
        <v>176</v>
      </c>
      <c r="H21" s="3"/>
      <c r="I21" s="3"/>
      <c r="J21" s="183">
        <f t="array" ref="J21:M36">TRANSPOSE('Fixed inputs'!J54:Y57)</f>
        <v>0</v>
      </c>
      <c r="K21" s="183">
        <v>0</v>
      </c>
      <c r="L21" s="183">
        <v>0</v>
      </c>
      <c r="M21" s="183">
        <v>1</v>
      </c>
      <c r="S21" s="3"/>
      <c r="T21" s="3"/>
      <c r="U21" s="3"/>
      <c r="W21" s="3"/>
    </row>
    <row r="22" spans="5:23" x14ac:dyDescent="0.25">
      <c r="F22" s="94" t="s">
        <v>785</v>
      </c>
      <c r="G22" s="61" t="s">
        <v>176</v>
      </c>
      <c r="H22" s="3"/>
      <c r="I22" s="3"/>
      <c r="J22" s="183">
        <v>0</v>
      </c>
      <c r="K22" s="183">
        <v>0</v>
      </c>
      <c r="L22" s="183">
        <v>0</v>
      </c>
      <c r="M22" s="183">
        <v>1</v>
      </c>
      <c r="S22" s="3"/>
      <c r="T22" s="3"/>
      <c r="U22" s="3"/>
      <c r="W22" s="3"/>
    </row>
    <row r="23" spans="5:23" x14ac:dyDescent="0.25">
      <c r="F23" s="94" t="s">
        <v>1115</v>
      </c>
      <c r="G23" s="61" t="s">
        <v>176</v>
      </c>
      <c r="H23" s="3"/>
      <c r="I23" s="3"/>
      <c r="J23" s="183">
        <v>0</v>
      </c>
      <c r="K23" s="183">
        <v>0</v>
      </c>
      <c r="L23" s="183">
        <v>0</v>
      </c>
      <c r="M23" s="183">
        <v>1</v>
      </c>
      <c r="S23" s="3"/>
      <c r="T23" s="3"/>
      <c r="U23" s="3"/>
      <c r="W23" s="3"/>
    </row>
    <row r="24" spans="5:23" x14ac:dyDescent="0.25">
      <c r="F24" s="94" t="s">
        <v>786</v>
      </c>
      <c r="G24" s="61" t="s">
        <v>176</v>
      </c>
      <c r="H24" s="3"/>
      <c r="I24" s="3"/>
      <c r="J24" s="183">
        <v>0</v>
      </c>
      <c r="K24" s="183">
        <v>0</v>
      </c>
      <c r="L24" s="183">
        <v>0</v>
      </c>
      <c r="M24" s="183">
        <v>1</v>
      </c>
      <c r="S24" s="3"/>
      <c r="T24" s="3"/>
      <c r="U24" s="3"/>
      <c r="W24" s="3"/>
    </row>
    <row r="25" spans="5:23" x14ac:dyDescent="0.25">
      <c r="F25" s="94" t="s">
        <v>792</v>
      </c>
      <c r="G25" s="61" t="s">
        <v>176</v>
      </c>
      <c r="H25" s="3"/>
      <c r="I25" s="3"/>
      <c r="J25" s="183">
        <v>0</v>
      </c>
      <c r="K25" s="183">
        <v>0</v>
      </c>
      <c r="L25" s="183">
        <v>0</v>
      </c>
      <c r="M25" s="183">
        <v>1</v>
      </c>
      <c r="S25" s="3"/>
      <c r="T25" s="3"/>
      <c r="U25" s="3"/>
      <c r="W25" s="3"/>
    </row>
    <row r="26" spans="5:23" x14ac:dyDescent="0.25">
      <c r="F26" s="94" t="s">
        <v>793</v>
      </c>
      <c r="G26" s="61" t="s">
        <v>176</v>
      </c>
      <c r="H26" s="3"/>
      <c r="I26" s="3"/>
      <c r="J26" s="183">
        <v>0</v>
      </c>
      <c r="K26" s="183">
        <v>0</v>
      </c>
      <c r="L26" s="183">
        <v>1</v>
      </c>
      <c r="M26" s="183">
        <v>0</v>
      </c>
      <c r="S26" s="3"/>
      <c r="T26" s="3"/>
      <c r="U26" s="3"/>
      <c r="W26" s="3"/>
    </row>
    <row r="27" spans="5:23" x14ac:dyDescent="0.25">
      <c r="F27" s="94" t="s">
        <v>794</v>
      </c>
      <c r="G27" s="61" t="s">
        <v>176</v>
      </c>
      <c r="H27" s="3"/>
      <c r="I27" s="3"/>
      <c r="J27" s="183">
        <v>0</v>
      </c>
      <c r="K27" s="183">
        <v>1</v>
      </c>
      <c r="L27" s="183">
        <v>0</v>
      </c>
      <c r="M27" s="183">
        <v>0</v>
      </c>
      <c r="S27" s="3"/>
      <c r="T27" s="3"/>
      <c r="U27" s="3"/>
      <c r="W27" s="3"/>
    </row>
    <row r="28" spans="5:23" x14ac:dyDescent="0.25">
      <c r="F28" s="94" t="s">
        <v>795</v>
      </c>
      <c r="G28" s="61" t="s">
        <v>176</v>
      </c>
      <c r="H28" s="3"/>
      <c r="I28" s="3"/>
      <c r="J28" s="183">
        <v>0</v>
      </c>
      <c r="K28" s="183">
        <v>0</v>
      </c>
      <c r="L28" s="183">
        <v>0</v>
      </c>
      <c r="M28" s="183">
        <v>1</v>
      </c>
      <c r="S28" s="3"/>
      <c r="T28" s="3"/>
      <c r="U28" s="3"/>
      <c r="W28" s="3"/>
    </row>
    <row r="29" spans="5:23" x14ac:dyDescent="0.25">
      <c r="F29" s="94" t="s">
        <v>787</v>
      </c>
      <c r="G29" s="61" t="s">
        <v>176</v>
      </c>
      <c r="H29" s="3"/>
      <c r="I29" s="3"/>
      <c r="J29" s="183">
        <v>0</v>
      </c>
      <c r="K29" s="183">
        <v>0</v>
      </c>
      <c r="L29" s="183">
        <v>0</v>
      </c>
      <c r="M29" s="183">
        <v>1</v>
      </c>
      <c r="S29" s="3"/>
      <c r="T29" s="3"/>
      <c r="U29" s="3"/>
      <c r="W29" s="3"/>
    </row>
    <row r="30" spans="5:23" x14ac:dyDescent="0.25">
      <c r="F30" s="94" t="s">
        <v>788</v>
      </c>
      <c r="G30" s="61" t="s">
        <v>176</v>
      </c>
      <c r="H30" s="3"/>
      <c r="I30" s="3"/>
      <c r="J30" s="183">
        <v>0</v>
      </c>
      <c r="K30" s="183">
        <v>0</v>
      </c>
      <c r="L30" s="183">
        <v>1</v>
      </c>
      <c r="M30" s="183">
        <v>0</v>
      </c>
      <c r="S30" s="3"/>
      <c r="T30" s="3"/>
      <c r="U30" s="3"/>
      <c r="W30" s="3"/>
    </row>
    <row r="31" spans="5:23" x14ac:dyDescent="0.25">
      <c r="F31" s="94" t="s">
        <v>789</v>
      </c>
      <c r="G31" s="61" t="s">
        <v>176</v>
      </c>
      <c r="H31" s="3"/>
      <c r="I31" s="3"/>
      <c r="J31" s="183">
        <v>0</v>
      </c>
      <c r="K31" s="183">
        <v>0</v>
      </c>
      <c r="L31" s="183">
        <v>0</v>
      </c>
      <c r="M31" s="183">
        <v>1</v>
      </c>
      <c r="S31" s="3"/>
      <c r="T31" s="3"/>
      <c r="U31" s="3"/>
      <c r="W31" s="3"/>
    </row>
    <row r="32" spans="5:23" x14ac:dyDescent="0.25">
      <c r="F32" s="94" t="s">
        <v>798</v>
      </c>
      <c r="G32" s="61" t="s">
        <v>176</v>
      </c>
      <c r="H32" s="3"/>
      <c r="I32" s="3"/>
      <c r="J32" s="183">
        <v>0</v>
      </c>
      <c r="K32" s="183">
        <v>0</v>
      </c>
      <c r="L32" s="183">
        <v>0</v>
      </c>
      <c r="M32" s="183">
        <v>1</v>
      </c>
      <c r="S32" s="3"/>
      <c r="T32" s="3"/>
      <c r="U32" s="3"/>
      <c r="W32" s="3"/>
    </row>
    <row r="33" spans="3:23" x14ac:dyDescent="0.25">
      <c r="F33" s="94" t="s">
        <v>790</v>
      </c>
      <c r="G33" s="61" t="s">
        <v>176</v>
      </c>
      <c r="H33" s="3"/>
      <c r="I33" s="3"/>
      <c r="J33" s="183">
        <v>0</v>
      </c>
      <c r="K33" s="183">
        <v>0</v>
      </c>
      <c r="L33" s="183">
        <v>1</v>
      </c>
      <c r="M33" s="183">
        <v>0</v>
      </c>
      <c r="S33" s="3"/>
      <c r="T33" s="3"/>
      <c r="U33" s="3"/>
      <c r="W33" s="3"/>
    </row>
    <row r="34" spans="3:23" x14ac:dyDescent="0.25">
      <c r="F34" s="94" t="s">
        <v>797</v>
      </c>
      <c r="G34" s="61" t="s">
        <v>176</v>
      </c>
      <c r="H34" s="3"/>
      <c r="I34" s="3"/>
      <c r="J34" s="183">
        <v>0</v>
      </c>
      <c r="K34" s="183">
        <v>0</v>
      </c>
      <c r="L34" s="183">
        <v>1</v>
      </c>
      <c r="M34" s="183">
        <v>0</v>
      </c>
      <c r="S34" s="3"/>
      <c r="T34" s="3"/>
      <c r="U34" s="3"/>
      <c r="W34" s="3"/>
    </row>
    <row r="35" spans="3:23" x14ac:dyDescent="0.25">
      <c r="F35" s="94" t="s">
        <v>791</v>
      </c>
      <c r="G35" s="61" t="s">
        <v>176</v>
      </c>
      <c r="H35" s="3"/>
      <c r="I35" s="3"/>
      <c r="J35" s="183">
        <v>0</v>
      </c>
      <c r="K35" s="183">
        <v>1</v>
      </c>
      <c r="L35" s="183">
        <v>0</v>
      </c>
      <c r="M35" s="183">
        <v>0</v>
      </c>
      <c r="S35" s="3"/>
      <c r="T35" s="3"/>
      <c r="U35" s="3"/>
      <c r="W35" s="3"/>
    </row>
    <row r="36" spans="3:23" x14ac:dyDescent="0.25">
      <c r="F36" s="101" t="s">
        <v>796</v>
      </c>
      <c r="G36" s="144" t="s">
        <v>176</v>
      </c>
      <c r="H36" s="58"/>
      <c r="I36" s="58"/>
      <c r="J36" s="184">
        <v>0</v>
      </c>
      <c r="K36" s="184">
        <v>1</v>
      </c>
      <c r="L36" s="184">
        <v>0</v>
      </c>
      <c r="M36" s="184">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93" t="str">
        <f ca="1">INDEX('Version control'!$H$41:$H$64,MATCH($A$1,'Version control'!$F$41:$F$64,0),1)&amp;"-B: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25">
      <c r="E40" s="75" t="s">
        <v>370</v>
      </c>
      <c r="H40" s="3"/>
      <c r="I40" s="3" t="s">
        <v>154</v>
      </c>
      <c r="J40" s="3"/>
      <c r="K40" s="3"/>
      <c r="L40" s="3"/>
      <c r="M40" s="3"/>
      <c r="N40" s="3"/>
      <c r="O40" s="3"/>
      <c r="P40" s="3"/>
      <c r="Q40" s="3"/>
      <c r="R40" s="3"/>
      <c r="S40" s="3"/>
      <c r="T40" s="3"/>
      <c r="U40" s="3"/>
      <c r="W40" s="3" t="s">
        <v>371</v>
      </c>
    </row>
    <row r="41" spans="3:23" x14ac:dyDescent="0.25">
      <c r="E41" s="86" t="s">
        <v>372</v>
      </c>
      <c r="H41" s="3"/>
      <c r="I41" s="3"/>
      <c r="J41" s="3"/>
      <c r="K41" s="3"/>
      <c r="L41" s="3"/>
      <c r="M41" s="3"/>
      <c r="N41" s="3"/>
      <c r="O41" s="3"/>
      <c r="P41" s="3"/>
      <c r="Q41" s="3"/>
      <c r="R41" s="3"/>
      <c r="S41" s="3"/>
      <c r="T41" s="3"/>
      <c r="U41" s="3"/>
      <c r="W41" s="3"/>
    </row>
    <row r="42" spans="3:23" x14ac:dyDescent="0.25">
      <c r="E42" s="75"/>
      <c r="F42" s="185"/>
      <c r="G42" s="185"/>
      <c r="H42" s="185"/>
      <c r="I42" s="185"/>
      <c r="J42" s="185" t="s">
        <v>189</v>
      </c>
      <c r="K42" s="186" t="s">
        <v>191</v>
      </c>
      <c r="L42" s="186" t="s">
        <v>192</v>
      </c>
      <c r="M42" s="186" t="s">
        <v>193</v>
      </c>
      <c r="N42" s="186" t="s">
        <v>194</v>
      </c>
      <c r="O42" s="186" t="s">
        <v>195</v>
      </c>
      <c r="P42" s="186" t="s">
        <v>196</v>
      </c>
      <c r="Q42" s="186" t="s">
        <v>197</v>
      </c>
      <c r="R42" s="186" t="s">
        <v>198</v>
      </c>
      <c r="S42" s="186" t="s">
        <v>199</v>
      </c>
      <c r="T42" s="186" t="s">
        <v>334</v>
      </c>
      <c r="U42" s="186" t="s">
        <v>335</v>
      </c>
    </row>
    <row r="43" spans="3:23" x14ac:dyDescent="0.25">
      <c r="F43" s="94" t="s">
        <v>186</v>
      </c>
      <c r="G43" s="118" t="s">
        <v>167</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25">
      <c r="F44" s="94" t="s">
        <v>185</v>
      </c>
      <c r="G44" s="118" t="s">
        <v>167</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25">
      <c r="F45" s="94" t="s">
        <v>184</v>
      </c>
      <c r="G45" s="118" t="s">
        <v>167</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25">
      <c r="F46" s="101" t="s">
        <v>183</v>
      </c>
      <c r="G46" s="120" t="s">
        <v>167</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25">
      <c r="G47" s="61"/>
      <c r="H47" s="3"/>
      <c r="I47" s="3"/>
      <c r="J47" s="3"/>
      <c r="K47" s="3"/>
      <c r="L47" s="3"/>
      <c r="M47" s="3"/>
      <c r="N47" s="3"/>
      <c r="O47" s="3"/>
      <c r="P47" s="3"/>
      <c r="Q47" s="3"/>
      <c r="R47" s="3"/>
      <c r="S47" s="3"/>
      <c r="T47" s="3"/>
      <c r="U47" s="3"/>
      <c r="W47" s="3"/>
    </row>
    <row r="48" spans="3:23" x14ac:dyDescent="0.25">
      <c r="E48" s="75" t="s">
        <v>373</v>
      </c>
      <c r="H48" s="61"/>
      <c r="I48" s="3"/>
      <c r="J48" s="3"/>
      <c r="K48" s="3"/>
      <c r="L48" s="3"/>
      <c r="M48" s="3"/>
      <c r="N48" s="3"/>
      <c r="O48" s="3"/>
      <c r="P48" s="3"/>
      <c r="Q48" s="3"/>
      <c r="R48" s="3"/>
      <c r="S48" s="3"/>
      <c r="T48" s="3"/>
      <c r="U48" s="3"/>
      <c r="W48" s="3"/>
    </row>
    <row r="49" spans="5:23" x14ac:dyDescent="0.25">
      <c r="E49" s="86" t="s">
        <v>374</v>
      </c>
      <c r="H49" s="61"/>
      <c r="I49" s="3"/>
      <c r="J49" s="3"/>
      <c r="K49" s="3"/>
      <c r="L49" s="3"/>
      <c r="M49" s="3"/>
      <c r="N49" s="3"/>
      <c r="O49" s="3"/>
      <c r="P49" s="3"/>
      <c r="Q49" s="3"/>
      <c r="R49" s="3"/>
      <c r="S49" s="3"/>
      <c r="T49" s="3"/>
      <c r="U49" s="3"/>
      <c r="W49" s="3"/>
    </row>
    <row r="50" spans="5:23" x14ac:dyDescent="0.25">
      <c r="F50" s="185"/>
      <c r="G50" s="185"/>
      <c r="H50" s="188"/>
      <c r="I50" s="185"/>
      <c r="J50" s="185" t="s">
        <v>189</v>
      </c>
      <c r="K50" s="186" t="s">
        <v>191</v>
      </c>
      <c r="L50" s="186" t="s">
        <v>192</v>
      </c>
      <c r="M50" s="186" t="s">
        <v>193</v>
      </c>
      <c r="N50" s="186" t="s">
        <v>194</v>
      </c>
      <c r="O50" s="186" t="s">
        <v>195</v>
      </c>
      <c r="P50" s="186" t="s">
        <v>196</v>
      </c>
      <c r="Q50" s="186" t="s">
        <v>197</v>
      </c>
      <c r="R50" s="186" t="s">
        <v>198</v>
      </c>
      <c r="S50" s="186" t="s">
        <v>199</v>
      </c>
      <c r="T50" s="186" t="s">
        <v>334</v>
      </c>
      <c r="U50" s="186" t="s">
        <v>335</v>
      </c>
      <c r="W50" s="3"/>
    </row>
    <row r="51" spans="5:23" x14ac:dyDescent="0.25">
      <c r="F51" s="94" t="s">
        <v>1114</v>
      </c>
      <c r="G51" s="94"/>
      <c r="H51" s="118" t="s">
        <v>167</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25">
      <c r="F52" s="94" t="s">
        <v>785</v>
      </c>
      <c r="G52" s="94"/>
      <c r="H52" s="118" t="s">
        <v>167</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25">
      <c r="F53" s="94" t="s">
        <v>1115</v>
      </c>
      <c r="G53" s="94"/>
      <c r="H53" s="118" t="s">
        <v>167</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25">
      <c r="F54" s="94" t="s">
        <v>786</v>
      </c>
      <c r="G54" s="94"/>
      <c r="H54" s="118" t="s">
        <v>167</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25">
      <c r="F55" s="94" t="s">
        <v>792</v>
      </c>
      <c r="G55" s="94"/>
      <c r="H55" s="118" t="s">
        <v>167</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25">
      <c r="F56" s="94" t="s">
        <v>793</v>
      </c>
      <c r="G56" s="94"/>
      <c r="H56" s="118" t="s">
        <v>167</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25">
      <c r="F57" s="94" t="s">
        <v>794</v>
      </c>
      <c r="G57" s="94"/>
      <c r="H57" s="118" t="s">
        <v>167</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25">
      <c r="F58" s="94" t="s">
        <v>795</v>
      </c>
      <c r="G58" s="94"/>
      <c r="H58" s="118" t="s">
        <v>167</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25">
      <c r="F59" s="94" t="s">
        <v>787</v>
      </c>
      <c r="G59" s="94"/>
      <c r="H59" s="118" t="s">
        <v>167</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25">
      <c r="F60" s="94" t="s">
        <v>788</v>
      </c>
      <c r="G60" s="94"/>
      <c r="H60" s="118" t="s">
        <v>167</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25">
      <c r="F61" s="94" t="s">
        <v>789</v>
      </c>
      <c r="G61" s="94"/>
      <c r="H61" s="118" t="s">
        <v>167</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25">
      <c r="F62" s="94" t="s">
        <v>798</v>
      </c>
      <c r="G62" s="94"/>
      <c r="H62" s="118" t="s">
        <v>167</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25">
      <c r="F63" s="94" t="s">
        <v>790</v>
      </c>
      <c r="G63" s="94"/>
      <c r="H63" s="118" t="s">
        <v>167</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25">
      <c r="F64" s="94" t="s">
        <v>797</v>
      </c>
      <c r="G64" s="94"/>
      <c r="H64" s="118" t="s">
        <v>167</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25">
      <c r="F65" s="94" t="s">
        <v>791</v>
      </c>
      <c r="G65" s="94"/>
      <c r="H65" s="118" t="s">
        <v>167</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25">
      <c r="F66" s="101" t="s">
        <v>796</v>
      </c>
      <c r="G66" s="101"/>
      <c r="H66" s="120" t="s">
        <v>167</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25">
      <c r="B68" s="85" t="s">
        <v>231</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25">
      <c r="E70" t="s">
        <v>232</v>
      </c>
      <c r="G70" s="6" t="s">
        <v>56</v>
      </c>
      <c r="H70" s="113">
        <f t="array" ref="H70">SUM(IF(ISERROR(H21:U66), 1))</f>
        <v>0</v>
      </c>
    </row>
    <row r="72" spans="2:23" x14ac:dyDescent="0.25">
      <c r="B72" s="85" t="s">
        <v>107</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H693 &amp; IF(H693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375</v>
      </c>
    </row>
    <row r="10" spans="1:43" x14ac:dyDescent="0.25">
      <c r="C10" s="86" t="s">
        <v>376</v>
      </c>
    </row>
    <row r="11" spans="1:43" x14ac:dyDescent="0.25">
      <c r="C11" s="86" t="s">
        <v>377</v>
      </c>
    </row>
    <row r="13" spans="1:43" x14ac:dyDescent="0.25">
      <c r="B13" s="85" t="s">
        <v>378</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25">
      <c r="C14" s="86"/>
    </row>
    <row r="15" spans="1:43" x14ac:dyDescent="0.25">
      <c r="C15" s="93" t="str">
        <f ca="1">INDEX('Version control'!$H$41:$H$64,MATCH($A$1,'Version control'!$F$41:$F$64,0),1)&amp;"-A: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25">
      <c r="C16" s="86"/>
    </row>
    <row r="17" spans="4:43" x14ac:dyDescent="0.25">
      <c r="D17" s="86" t="s">
        <v>379</v>
      </c>
    </row>
    <row r="18" spans="4:43" x14ac:dyDescent="0.25">
      <c r="D18" s="86" t="s">
        <v>380</v>
      </c>
    </row>
    <row r="19" spans="4:43" x14ac:dyDescent="0.25">
      <c r="D19" s="86"/>
    </row>
    <row r="20" spans="4:43" x14ac:dyDescent="0.25">
      <c r="E20" s="105" t="s">
        <v>381</v>
      </c>
      <c r="I20" t="s">
        <v>154</v>
      </c>
      <c r="J20" s="97"/>
      <c r="K20" s="97"/>
      <c r="L20" s="97"/>
      <c r="M20" s="97"/>
      <c r="N20" s="97"/>
      <c r="O20" s="97"/>
      <c r="P20" s="97"/>
      <c r="Q20" s="97"/>
      <c r="R20" s="97"/>
      <c r="S20" s="97"/>
      <c r="T20" s="97"/>
      <c r="U20" s="97"/>
      <c r="V20" s="97"/>
      <c r="W20" s="97"/>
      <c r="X20" s="97"/>
      <c r="Y20" s="97"/>
    </row>
    <row r="21" spans="4:43" x14ac:dyDescent="0.25">
      <c r="E21" s="86" t="s">
        <v>382</v>
      </c>
      <c r="AA21" t="s">
        <v>383</v>
      </c>
    </row>
    <row r="22" spans="4:43" x14ac:dyDescent="0.25">
      <c r="F22" s="95" t="s">
        <v>175</v>
      </c>
      <c r="G22" s="95" t="s">
        <v>167</v>
      </c>
      <c r="H22" s="154">
        <f>'General inputs'!H30</f>
        <v>0.38335161514577376</v>
      </c>
      <c r="AQ22" s="3"/>
    </row>
    <row r="23" spans="4:43" x14ac:dyDescent="0.25">
      <c r="F23" t="s">
        <v>177</v>
      </c>
      <c r="G23" t="s">
        <v>167</v>
      </c>
      <c r="H23" s="155">
        <f>'General inputs'!H31</f>
        <v>0.58826186187526186</v>
      </c>
      <c r="AQ23" s="3"/>
    </row>
    <row r="24" spans="4:43" x14ac:dyDescent="0.25">
      <c r="F24" t="s">
        <v>178</v>
      </c>
      <c r="G24" t="s">
        <v>167</v>
      </c>
      <c r="H24" s="155">
        <f>'General inputs'!H32</f>
        <v>0.31100226640485212</v>
      </c>
      <c r="AQ24" s="3"/>
    </row>
    <row r="25" spans="4:43" x14ac:dyDescent="0.25">
      <c r="F25" s="96" t="s">
        <v>179</v>
      </c>
      <c r="G25" s="96" t="s">
        <v>167</v>
      </c>
      <c r="H25" s="187">
        <f>'General inputs'!H33</f>
        <v>0.17999797646529783</v>
      </c>
      <c r="AQ25" s="3"/>
    </row>
    <row r="27" spans="4:43" x14ac:dyDescent="0.25">
      <c r="E27" s="75" t="s">
        <v>384</v>
      </c>
      <c r="I27" t="s">
        <v>154</v>
      </c>
      <c r="AA27" t="s">
        <v>385</v>
      </c>
      <c r="AQ27" s="3"/>
    </row>
    <row r="28" spans="4:43" x14ac:dyDescent="0.25">
      <c r="E28" s="86" t="s">
        <v>386</v>
      </c>
    </row>
    <row r="29" spans="4:43" x14ac:dyDescent="0.25">
      <c r="E29" s="86" t="s">
        <v>387</v>
      </c>
    </row>
    <row r="30" spans="4:43" x14ac:dyDescent="0.25">
      <c r="F30" s="95" t="s">
        <v>175</v>
      </c>
      <c r="G30" s="95" t="s">
        <v>176</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25">
      <c r="F31" t="s">
        <v>177</v>
      </c>
      <c r="G31" t="s">
        <v>176</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25">
      <c r="F32" t="s">
        <v>178</v>
      </c>
      <c r="G32" t="s">
        <v>176</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25">
      <c r="F33" s="96" t="s">
        <v>179</v>
      </c>
      <c r="G33" s="96" t="s">
        <v>176</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25">
      <c r="F34" s="94" t="s">
        <v>388</v>
      </c>
      <c r="G34" s="94" t="s">
        <v>167</v>
      </c>
      <c r="J34" s="191">
        <f t="shared" ref="J34:Y34" si="0">J30 * $H$22</f>
        <v>0.38335161514577376</v>
      </c>
      <c r="K34" s="191">
        <f t="shared" si="0"/>
        <v>0.38335161514577376</v>
      </c>
      <c r="L34" s="191">
        <f t="shared" si="0"/>
        <v>0.38335161514577376</v>
      </c>
      <c r="M34" s="191">
        <f t="shared" si="0"/>
        <v>0.38335161514577376</v>
      </c>
      <c r="N34" s="191">
        <f t="shared" si="0"/>
        <v>0.38335161514577376</v>
      </c>
      <c r="O34" s="191">
        <f t="shared" si="0"/>
        <v>0</v>
      </c>
      <c r="P34" s="191">
        <f t="shared" si="0"/>
        <v>0</v>
      </c>
      <c r="Q34" s="191">
        <f t="shared" si="0"/>
        <v>0.38335161514577376</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25">
      <c r="F35" s="94" t="s">
        <v>389</v>
      </c>
      <c r="G35" s="94" t="s">
        <v>167</v>
      </c>
      <c r="J35" s="191">
        <f t="shared" ref="J35:Y35" si="1">SUMPRODUCT(J31:J33,$H$23:$H$25)</f>
        <v>0.58826186187526186</v>
      </c>
      <c r="K35" s="191">
        <f t="shared" si="1"/>
        <v>0.58826186187526186</v>
      </c>
      <c r="L35" s="191">
        <f t="shared" si="1"/>
        <v>0.58826186187526186</v>
      </c>
      <c r="M35" s="191">
        <f t="shared" si="1"/>
        <v>0.58826186187526186</v>
      </c>
      <c r="N35" s="191">
        <f t="shared" si="1"/>
        <v>0.58826186187526186</v>
      </c>
      <c r="O35" s="191">
        <f t="shared" si="1"/>
        <v>0.31100226640485212</v>
      </c>
      <c r="P35" s="191">
        <f t="shared" si="1"/>
        <v>0.17999797646529783</v>
      </c>
      <c r="Q35" s="191">
        <f t="shared" si="1"/>
        <v>0.58826186187526186</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25">
      <c r="D36" s="75"/>
      <c r="AQ36" s="3"/>
    </row>
    <row r="37" spans="4:43" x14ac:dyDescent="0.25">
      <c r="E37" s="75" t="s">
        <v>390</v>
      </c>
      <c r="I37" t="s">
        <v>154</v>
      </c>
      <c r="AA37" t="s">
        <v>385</v>
      </c>
      <c r="AQ37" s="3"/>
    </row>
    <row r="38" spans="4:43" x14ac:dyDescent="0.25">
      <c r="E38" s="86" t="s">
        <v>391</v>
      </c>
    </row>
    <row r="39" spans="4:43" x14ac:dyDescent="0.25">
      <c r="F39" s="94" t="s">
        <v>392</v>
      </c>
      <c r="G39" s="94" t="s">
        <v>209</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25">
      <c r="F40" s="94" t="s">
        <v>393</v>
      </c>
      <c r="G40" s="94" t="s">
        <v>209</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25">
      <c r="F41" s="94" t="s">
        <v>394</v>
      </c>
      <c r="G41" s="94" t="s">
        <v>209</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25">
      <c r="F42" s="94" t="s">
        <v>395</v>
      </c>
      <c r="G42" s="94" t="s">
        <v>209</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25">
      <c r="F43" s="94" t="s">
        <v>396</v>
      </c>
      <c r="G43" s="94" t="s">
        <v>209</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25">
      <c r="D44" s="75"/>
      <c r="AQ44" s="3"/>
    </row>
    <row r="45" spans="4:43" x14ac:dyDescent="0.25">
      <c r="F45" s="94" t="s">
        <v>397</v>
      </c>
      <c r="G45" s="94" t="s">
        <v>167</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25">
      <c r="F46" s="94" t="s">
        <v>398</v>
      </c>
      <c r="G46" s="94" t="s">
        <v>167</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25">
      <c r="F47" s="94" t="s">
        <v>399</v>
      </c>
      <c r="G47" s="94" t="s">
        <v>167</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25">
      <c r="F48" s="94" t="s">
        <v>400</v>
      </c>
      <c r="G48" s="94" t="s">
        <v>167</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25">
      <c r="F49" s="94" t="s">
        <v>401</v>
      </c>
      <c r="G49" s="94" t="s">
        <v>167</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25">
      <c r="C50" s="75"/>
      <c r="AQ50" s="3"/>
    </row>
    <row r="51" spans="2:43" x14ac:dyDescent="0.25">
      <c r="B51" s="85" t="s">
        <v>402</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25">
      <c r="C52" s="75"/>
      <c r="AQ52" s="3"/>
    </row>
    <row r="53" spans="2:43" x14ac:dyDescent="0.25">
      <c r="C53" s="93" t="str">
        <f ca="1">INDEX('Version control'!$H$41:$H$64,MATCH($A$1,'Version control'!$F$41:$F$64,0),1)&amp;"-B: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25">
      <c r="C54" s="86"/>
      <c r="AQ54" s="3"/>
    </row>
    <row r="55" spans="2:43" x14ac:dyDescent="0.25">
      <c r="C55" s="86"/>
      <c r="D55" s="86" t="s">
        <v>907</v>
      </c>
      <c r="AQ55" s="3"/>
    </row>
    <row r="56" spans="2:43" x14ac:dyDescent="0.25">
      <c r="C56" s="86"/>
      <c r="AQ56" s="3"/>
    </row>
    <row r="57" spans="2:43" x14ac:dyDescent="0.25">
      <c r="C57" s="86"/>
      <c r="E57" s="75" t="s">
        <v>858</v>
      </c>
      <c r="G57" s="61"/>
      <c r="I57" t="s">
        <v>154</v>
      </c>
      <c r="AQ57" s="3"/>
    </row>
    <row r="58" spans="2:43" x14ac:dyDescent="0.25">
      <c r="C58" s="86"/>
      <c r="E58" s="75"/>
      <c r="F58" s="116" t="s">
        <v>247</v>
      </c>
      <c r="G58" s="116" t="s">
        <v>207</v>
      </c>
      <c r="H58" s="95"/>
      <c r="I58" s="95"/>
      <c r="J58" s="117"/>
      <c r="K58" s="171">
        <f>'Inputs by customer type'!K23</f>
        <v>42.949716657044405</v>
      </c>
      <c r="L58" s="171">
        <f>'Inputs by customer type'!L23</f>
        <v>51.394728769453245</v>
      </c>
      <c r="M58" s="171">
        <f>'Inputs by customer type'!M23</f>
        <v>25.765928672816155</v>
      </c>
      <c r="N58" s="171">
        <f>'Inputs by customer type'!N23</f>
        <v>124.03234502112436</v>
      </c>
      <c r="O58" s="171">
        <f>'Inputs by customer type'!O23</f>
        <v>32.524509406872198</v>
      </c>
      <c r="P58" s="171">
        <f>'Inputs by customer type'!P23</f>
        <v>442.05271467460517</v>
      </c>
      <c r="Q58" s="117"/>
      <c r="R58" s="171">
        <f>'Inputs by customer type'!R23</f>
        <v>8383.1643992456902</v>
      </c>
      <c r="S58" s="171">
        <f>'Inputs by customer type'!S23</f>
        <v>1036.7343209799037</v>
      </c>
      <c r="T58" s="171">
        <f>'Inputs by customer type'!T23</f>
        <v>4622.4246135079247</v>
      </c>
      <c r="U58" s="171">
        <f>'Inputs by customer type'!U23</f>
        <v>0</v>
      </c>
      <c r="V58" s="171">
        <f>'Inputs by customer type'!V23</f>
        <v>0</v>
      </c>
      <c r="W58" s="171">
        <f>'Inputs by customer type'!W23</f>
        <v>0</v>
      </c>
      <c r="X58" s="171">
        <f>'Inputs by customer type'!X23</f>
        <v>53814.546731455142</v>
      </c>
      <c r="Y58" s="171">
        <f>'Inputs by customer type'!Y23</f>
        <v>0</v>
      </c>
      <c r="AQ58" s="3"/>
    </row>
    <row r="59" spans="2:43" x14ac:dyDescent="0.25">
      <c r="E59" s="75"/>
      <c r="F59" s="118" t="s">
        <v>248</v>
      </c>
      <c r="G59" s="118" t="s">
        <v>207</v>
      </c>
      <c r="J59" s="126"/>
      <c r="K59" s="193">
        <f>'Inputs by customer type'!K24</f>
        <v>3119.337000290659</v>
      </c>
      <c r="L59" s="193">
        <f>'Inputs by customer type'!L24</f>
        <v>429.90214636273004</v>
      </c>
      <c r="M59" s="193">
        <f>'Inputs by customer type'!M24</f>
        <v>1609.0521821484306</v>
      </c>
      <c r="N59" s="193">
        <f>'Inputs by customer type'!N24</f>
        <v>849.34780499680642</v>
      </c>
      <c r="O59" s="193">
        <f>'Inputs by customer type'!O24</f>
        <v>340.94829159017985</v>
      </c>
      <c r="P59" s="193">
        <f>'Inputs by customer type'!P24</f>
        <v>5891.1463199191348</v>
      </c>
      <c r="Q59" s="126"/>
      <c r="R59" s="193">
        <f>'Inputs by customer type'!R24</f>
        <v>76699.786920797414</v>
      </c>
      <c r="S59" s="193">
        <f>'Inputs by customer type'!S24</f>
        <v>8528.2795750860623</v>
      </c>
      <c r="T59" s="193">
        <f>'Inputs by customer type'!T24</f>
        <v>38095.306630822713</v>
      </c>
      <c r="U59" s="193">
        <f>'Inputs by customer type'!U24</f>
        <v>0</v>
      </c>
      <c r="V59" s="193">
        <f>'Inputs by customer type'!V24</f>
        <v>0</v>
      </c>
      <c r="W59" s="193">
        <f>'Inputs by customer type'!W24</f>
        <v>0</v>
      </c>
      <c r="X59" s="193">
        <f>'Inputs by customer type'!X24</f>
        <v>302507.33246507391</v>
      </c>
      <c r="Y59" s="193">
        <f>'Inputs by customer type'!Y24</f>
        <v>0</v>
      </c>
      <c r="AQ59" s="3"/>
    </row>
    <row r="60" spans="2:43" x14ac:dyDescent="0.25">
      <c r="E60" s="75"/>
      <c r="F60" s="118" t="s">
        <v>249</v>
      </c>
      <c r="G60" s="118" t="s">
        <v>207</v>
      </c>
      <c r="J60" s="126"/>
      <c r="K60" s="193">
        <f>'Inputs by customer type'!K25</f>
        <v>24081.62170271924</v>
      </c>
      <c r="L60" s="193">
        <f>'Inputs by customer type'!L25</f>
        <v>443.07069877940268</v>
      </c>
      <c r="M60" s="193">
        <f>'Inputs by customer type'!M25</f>
        <v>11325.873677164167</v>
      </c>
      <c r="N60" s="193">
        <f>'Inputs by customer type'!N25</f>
        <v>933.78525142692774</v>
      </c>
      <c r="O60" s="193">
        <f>'Inputs by customer type'!O25</f>
        <v>235.83839931765723</v>
      </c>
      <c r="P60" s="193">
        <f>'Inputs by customer type'!P25</f>
        <v>7972.5156271940859</v>
      </c>
      <c r="Q60" s="126"/>
      <c r="R60" s="193">
        <f>'Inputs by customer type'!R25</f>
        <v>33364.652963362067</v>
      </c>
      <c r="S60" s="193">
        <f>'Inputs by customer type'!S25</f>
        <v>8832.4293538785987</v>
      </c>
      <c r="T60" s="193">
        <f>'Inputs by customer type'!T25</f>
        <v>44866.446029929481</v>
      </c>
      <c r="U60" s="193">
        <f>'Inputs by customer type'!U25</f>
        <v>0</v>
      </c>
      <c r="V60" s="193">
        <f>'Inputs by customer type'!V25</f>
        <v>0</v>
      </c>
      <c r="W60" s="193">
        <f>'Inputs by customer type'!W25</f>
        <v>0</v>
      </c>
      <c r="X60" s="193">
        <f>'Inputs by customer type'!X25</f>
        <v>259913.71528039253</v>
      </c>
      <c r="Y60" s="193">
        <f>'Inputs by customer type'!Y25</f>
        <v>0</v>
      </c>
      <c r="AQ60" s="3"/>
    </row>
    <row r="61" spans="2:43" x14ac:dyDescent="0.25">
      <c r="E61" s="75"/>
      <c r="F61" s="118" t="s">
        <v>212</v>
      </c>
      <c r="G61" s="118" t="s">
        <v>212</v>
      </c>
      <c r="J61" s="126"/>
      <c r="K61" s="193">
        <f>'Inputs by customer type'!K26</f>
        <v>0</v>
      </c>
      <c r="L61" s="193">
        <f>'Inputs by customer type'!L26</f>
        <v>59.530590717299575</v>
      </c>
      <c r="M61" s="193">
        <f>'Inputs by customer type'!M26</f>
        <v>0</v>
      </c>
      <c r="N61" s="193">
        <f>'Inputs by customer type'!N26</f>
        <v>65.03566608829766</v>
      </c>
      <c r="O61" s="193">
        <f>'Inputs by customer type'!O26</f>
        <v>9.0043923865300144</v>
      </c>
      <c r="P61" s="193">
        <f>'Inputs by customer type'!P26</f>
        <v>154.99570053535271</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304.24933518428963</v>
      </c>
      <c r="Y61" s="193">
        <f>'Inputs by customer type'!Y26</f>
        <v>0</v>
      </c>
      <c r="AQ61" s="3"/>
    </row>
    <row r="62" spans="2:43" x14ac:dyDescent="0.25">
      <c r="E62" s="75"/>
      <c r="F62" s="118" t="s">
        <v>250</v>
      </c>
      <c r="G62" s="118" t="s">
        <v>251</v>
      </c>
      <c r="J62" s="126"/>
      <c r="K62" s="193">
        <f>'Inputs by customer type'!K27</f>
        <v>0</v>
      </c>
      <c r="L62" s="193">
        <f>'Inputs by customer type'!L27</f>
        <v>0</v>
      </c>
      <c r="M62" s="193">
        <f>'Inputs by customer type'!M27</f>
        <v>0</v>
      </c>
      <c r="N62" s="193">
        <f>'Inputs by customer type'!N27</f>
        <v>2128.9961389961395</v>
      </c>
      <c r="O62" s="193">
        <f>'Inputs by customer type'!O27</f>
        <v>704.99999999999989</v>
      </c>
      <c r="P62" s="193">
        <f>'Inputs by customer type'!P27</f>
        <v>25636.18581907091</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25">
      <c r="E63" s="75"/>
      <c r="F63" s="118" t="s">
        <v>252</v>
      </c>
      <c r="G63" s="118" t="s">
        <v>251</v>
      </c>
      <c r="J63" s="126"/>
      <c r="K63" s="193">
        <f>'Inputs by customer type'!K28</f>
        <v>0</v>
      </c>
      <c r="L63" s="193">
        <f>'Inputs by customer type'!L28</f>
        <v>0</v>
      </c>
      <c r="M63" s="193">
        <f>'Inputs by customer type'!M28</f>
        <v>0</v>
      </c>
      <c r="N63" s="193">
        <f>'Inputs by customer type'!N28</f>
        <v>190.2821917808219</v>
      </c>
      <c r="O63" s="193">
        <f>'Inputs by customer type'!O28</f>
        <v>22.958904109589042</v>
      </c>
      <c r="P63" s="193">
        <f>'Inputs by customer type'!P28</f>
        <v>5912.7863013698634</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25">
      <c r="E64" s="75"/>
      <c r="F64" s="120" t="s">
        <v>253</v>
      </c>
      <c r="G64" s="120" t="s">
        <v>254</v>
      </c>
      <c r="H64" s="96"/>
      <c r="I64" s="96"/>
      <c r="J64" s="121"/>
      <c r="K64" s="172">
        <f>'Inputs by customer type'!K29</f>
        <v>0</v>
      </c>
      <c r="L64" s="172">
        <f>'Inputs by customer type'!L29</f>
        <v>0</v>
      </c>
      <c r="M64" s="172">
        <f>'Inputs by customer type'!M29</f>
        <v>0</v>
      </c>
      <c r="N64" s="172">
        <f>'Inputs by customer type'!N29</f>
        <v>381.02899999999994</v>
      </c>
      <c r="O64" s="172">
        <f>'Inputs by customer type'!O29</f>
        <v>146.43099999999998</v>
      </c>
      <c r="P64" s="172">
        <f>'Inputs by customer type'!P29</f>
        <v>4654.5249999999996</v>
      </c>
      <c r="Q64" s="121"/>
      <c r="R64" s="172">
        <f>'Inputs by customer type'!R29</f>
        <v>0</v>
      </c>
      <c r="S64" s="172">
        <f>'Inputs by customer type'!S29</f>
        <v>0</v>
      </c>
      <c r="T64" s="172">
        <f>'Inputs by customer type'!T29</f>
        <v>6042.679000000001</v>
      </c>
      <c r="U64" s="172">
        <f>'Inputs by customer type'!U29</f>
        <v>0</v>
      </c>
      <c r="V64" s="172">
        <f>'Inputs by customer type'!V29</f>
        <v>0</v>
      </c>
      <c r="W64" s="172">
        <f>'Inputs by customer type'!W29</f>
        <v>0</v>
      </c>
      <c r="X64" s="172">
        <f>'Inputs by customer type'!X29</f>
        <v>8398.768</v>
      </c>
      <c r="Y64" s="172">
        <f>'Inputs by customer type'!Y29</f>
        <v>0</v>
      </c>
      <c r="AQ64" s="3"/>
    </row>
    <row r="65" spans="3:43" x14ac:dyDescent="0.25">
      <c r="C65" s="86"/>
      <c r="AQ65" s="3"/>
    </row>
    <row r="66" spans="3:43" x14ac:dyDescent="0.25">
      <c r="C66" s="86"/>
      <c r="E66" s="75" t="s">
        <v>892</v>
      </c>
      <c r="G66" s="61"/>
      <c r="I66" t="s">
        <v>154</v>
      </c>
      <c r="AQ66" s="3"/>
    </row>
    <row r="67" spans="3:43" x14ac:dyDescent="0.25">
      <c r="C67" s="86"/>
      <c r="E67" s="75"/>
      <c r="F67" s="116" t="s">
        <v>247</v>
      </c>
      <c r="G67" s="116" t="s">
        <v>207</v>
      </c>
      <c r="H67" s="95"/>
      <c r="I67" s="95"/>
      <c r="J67" s="171">
        <f>'Inputs by customer type'!J32</f>
        <v>414037.19304487581</v>
      </c>
      <c r="K67" s="117"/>
      <c r="L67" s="171">
        <f>'Inputs by customer type'!L32</f>
        <v>8842.1747639928744</v>
      </c>
      <c r="M67" s="117"/>
      <c r="N67" s="171">
        <f>'Inputs by customer type'!N32</f>
        <v>28368.276777796113</v>
      </c>
      <c r="O67" s="171">
        <f>'Inputs by customer type'!O32</f>
        <v>3068.499121163622</v>
      </c>
      <c r="P67" s="171">
        <f>'Inputs by customer type'!P32</f>
        <v>16832.080446901444</v>
      </c>
      <c r="Q67" s="171">
        <f>'Inputs by customer type'!Q32</f>
        <v>3120.7676206896554</v>
      </c>
      <c r="R67" s="117"/>
      <c r="S67" s="117"/>
      <c r="T67" s="117"/>
      <c r="U67" s="117"/>
      <c r="V67" s="117"/>
      <c r="W67" s="117"/>
      <c r="X67" s="117"/>
      <c r="Y67" s="117"/>
      <c r="AQ67" s="3"/>
    </row>
    <row r="68" spans="3:43" x14ac:dyDescent="0.25">
      <c r="E68" s="75"/>
      <c r="F68" s="118" t="s">
        <v>248</v>
      </c>
      <c r="G68" s="118" t="s">
        <v>207</v>
      </c>
      <c r="J68" s="193">
        <f>'Inputs by customer type'!J33</f>
        <v>2220877.655844843</v>
      </c>
      <c r="K68" s="126"/>
      <c r="L68" s="193">
        <f>'Inputs by customer type'!L33</f>
        <v>74327.869750998958</v>
      </c>
      <c r="M68" s="126"/>
      <c r="N68" s="193">
        <f>'Inputs by customer type'!N33</f>
        <v>204974.47121884814</v>
      </c>
      <c r="O68" s="193">
        <f>'Inputs by customer type'!O33</f>
        <v>22166.959347146436</v>
      </c>
      <c r="P68" s="193">
        <f>'Inputs by customer type'!P33</f>
        <v>118085.4722621204</v>
      </c>
      <c r="Q68" s="193">
        <f>'Inputs by customer type'!Q33</f>
        <v>32439.529862068968</v>
      </c>
      <c r="R68" s="126"/>
      <c r="S68" s="126"/>
      <c r="T68" s="126"/>
      <c r="U68" s="126"/>
      <c r="V68" s="126"/>
      <c r="W68" s="126"/>
      <c r="X68" s="126"/>
      <c r="Y68" s="126"/>
      <c r="AQ68" s="3"/>
    </row>
    <row r="69" spans="3:43" x14ac:dyDescent="0.25">
      <c r="E69" s="75"/>
      <c r="F69" s="118" t="s">
        <v>249</v>
      </c>
      <c r="G69" s="118" t="s">
        <v>207</v>
      </c>
      <c r="J69" s="193">
        <f>'Inputs by customer type'!J34</f>
        <v>2541068.4625321021</v>
      </c>
      <c r="K69" s="126"/>
      <c r="L69" s="193">
        <f>'Inputs by customer type'!L34</f>
        <v>61486.265517629632</v>
      </c>
      <c r="M69" s="126"/>
      <c r="N69" s="193">
        <f>'Inputs by customer type'!N34</f>
        <v>182800.08330807119</v>
      </c>
      <c r="O69" s="193">
        <f>'Inputs by customer type'!O34</f>
        <v>22105.819031526087</v>
      </c>
      <c r="P69" s="193">
        <f>'Inputs by customer type'!P34</f>
        <v>134606.7008119339</v>
      </c>
      <c r="Q69" s="193">
        <f>'Inputs by customer type'!Q34</f>
        <v>72051.073000000004</v>
      </c>
      <c r="R69" s="126"/>
      <c r="S69" s="126"/>
      <c r="T69" s="126"/>
      <c r="U69" s="126"/>
      <c r="V69" s="126"/>
      <c r="W69" s="126"/>
      <c r="X69" s="126"/>
      <c r="Y69" s="126"/>
      <c r="AQ69" s="3"/>
    </row>
    <row r="70" spans="3:43" x14ac:dyDescent="0.25">
      <c r="E70" s="75"/>
      <c r="F70" s="118" t="s">
        <v>212</v>
      </c>
      <c r="G70" s="118" t="s">
        <v>212</v>
      </c>
      <c r="J70" s="193">
        <f>'Inputs by customer type'!J35</f>
        <v>1518684.7490630394</v>
      </c>
      <c r="K70" s="126"/>
      <c r="L70" s="193">
        <f>'Inputs by customer type'!L35</f>
        <v>61383.441806114555</v>
      </c>
      <c r="M70" s="126"/>
      <c r="N70" s="193">
        <f>'Inputs by customer type'!N35</f>
        <v>4555.404967032785</v>
      </c>
      <c r="O70" s="193">
        <f>'Inputs by customer type'!O35</f>
        <v>384.75674552999504</v>
      </c>
      <c r="P70" s="193">
        <f>'Inputs by customer type'!P35</f>
        <v>400.05973308576057</v>
      </c>
      <c r="Q70" s="193">
        <f>'Inputs by customer type'!Q35</f>
        <v>2437</v>
      </c>
      <c r="R70" s="126"/>
      <c r="S70" s="126"/>
      <c r="T70" s="126"/>
      <c r="U70" s="126"/>
      <c r="V70" s="126"/>
      <c r="W70" s="126"/>
      <c r="X70" s="126"/>
      <c r="Y70" s="126"/>
      <c r="AQ70" s="3"/>
    </row>
    <row r="71" spans="3:43" x14ac:dyDescent="0.25">
      <c r="E71" s="75"/>
      <c r="F71" s="118" t="s">
        <v>250</v>
      </c>
      <c r="G71" s="118" t="s">
        <v>251</v>
      </c>
      <c r="J71" s="193">
        <f>'Inputs by customer type'!J36</f>
        <v>0</v>
      </c>
      <c r="K71" s="126"/>
      <c r="L71" s="193">
        <f>'Inputs by customer type'!L36</f>
        <v>0</v>
      </c>
      <c r="M71" s="126"/>
      <c r="N71" s="193">
        <f>'Inputs by customer type'!N36</f>
        <v>209089.92052076876</v>
      </c>
      <c r="O71" s="193">
        <f>'Inputs by customer type'!O36</f>
        <v>20989.350003962496</v>
      </c>
      <c r="P71" s="193">
        <f>'Inputs by customer type'!P36</f>
        <v>109776.54037156513</v>
      </c>
      <c r="Q71" s="193">
        <f>'Inputs by customer type'!Q36</f>
        <v>0</v>
      </c>
      <c r="R71" s="126"/>
      <c r="S71" s="126"/>
      <c r="T71" s="126"/>
      <c r="U71" s="126"/>
      <c r="V71" s="126"/>
      <c r="W71" s="126"/>
      <c r="X71" s="126"/>
      <c r="Y71" s="126"/>
      <c r="AQ71" s="3"/>
    </row>
    <row r="72" spans="3:43" x14ac:dyDescent="0.25">
      <c r="E72" s="75"/>
      <c r="F72" s="118" t="s">
        <v>252</v>
      </c>
      <c r="G72" s="118" t="s">
        <v>251</v>
      </c>
      <c r="J72" s="193">
        <f>'Inputs by customer type'!J37</f>
        <v>0</v>
      </c>
      <c r="K72" s="126"/>
      <c r="L72" s="193">
        <f>'Inputs by customer type'!L37</f>
        <v>0</v>
      </c>
      <c r="M72" s="126"/>
      <c r="N72" s="193">
        <f>'Inputs by customer type'!N37</f>
        <v>6016.9356846772953</v>
      </c>
      <c r="O72" s="193">
        <f>'Inputs by customer type'!O37</f>
        <v>255.34567876429412</v>
      </c>
      <c r="P72" s="193">
        <f>'Inputs by customer type'!P37</f>
        <v>715.30805909984042</v>
      </c>
      <c r="Q72" s="193">
        <f>'Inputs by customer type'!Q37</f>
        <v>0</v>
      </c>
      <c r="R72" s="126"/>
      <c r="S72" s="126"/>
      <c r="T72" s="126"/>
      <c r="U72" s="126"/>
      <c r="V72" s="126"/>
      <c r="W72" s="126"/>
      <c r="X72" s="126"/>
      <c r="Y72" s="126"/>
      <c r="AQ72" s="3"/>
    </row>
    <row r="73" spans="3:43" x14ac:dyDescent="0.25">
      <c r="E73" s="75"/>
      <c r="F73" s="120" t="s">
        <v>253</v>
      </c>
      <c r="G73" s="120" t="s">
        <v>254</v>
      </c>
      <c r="H73" s="96"/>
      <c r="I73" s="96"/>
      <c r="J73" s="172">
        <f>'Inputs by customer type'!J38</f>
        <v>0</v>
      </c>
      <c r="K73" s="121"/>
      <c r="L73" s="172">
        <f>'Inputs by customer type'!L38</f>
        <v>0</v>
      </c>
      <c r="M73" s="121"/>
      <c r="N73" s="172">
        <f>'Inputs by customer type'!N38</f>
        <v>33282.248170907609</v>
      </c>
      <c r="O73" s="172">
        <f>'Inputs by customer type'!O38</f>
        <v>4331.7769063989854</v>
      </c>
      <c r="P73" s="172">
        <f>'Inputs by customer type'!P38</f>
        <v>19591.499015199184</v>
      </c>
      <c r="Q73" s="172">
        <f>'Inputs by customer type'!Q38</f>
        <v>0</v>
      </c>
      <c r="R73" s="121"/>
      <c r="S73" s="121"/>
      <c r="T73" s="121"/>
      <c r="U73" s="121"/>
      <c r="V73" s="121"/>
      <c r="W73" s="121"/>
      <c r="X73" s="121"/>
      <c r="Y73" s="121"/>
      <c r="AQ73" s="3"/>
    </row>
    <row r="74" spans="3:43" x14ac:dyDescent="0.25">
      <c r="AQ74" s="3"/>
    </row>
    <row r="75" spans="3:43" x14ac:dyDescent="0.25">
      <c r="C75" s="86"/>
      <c r="E75" s="75" t="s">
        <v>893</v>
      </c>
      <c r="G75" s="61"/>
      <c r="I75" t="s">
        <v>154</v>
      </c>
      <c r="AQ75" s="3"/>
    </row>
    <row r="76" spans="3:43" x14ac:dyDescent="0.25">
      <c r="C76" s="86"/>
      <c r="E76" s="75"/>
      <c r="F76" s="116" t="s">
        <v>247</v>
      </c>
      <c r="G76" s="116" t="s">
        <v>207</v>
      </c>
      <c r="H76" s="95"/>
      <c r="I76" s="95"/>
      <c r="J76" s="117"/>
      <c r="K76" s="117"/>
      <c r="L76" s="171">
        <f>'Inputs by customer type'!L41</f>
        <v>26083.400569970734</v>
      </c>
      <c r="M76" s="117"/>
      <c r="N76" s="171">
        <f>'Inputs by customer type'!N41</f>
        <v>24543.099162264127</v>
      </c>
      <c r="O76" s="171">
        <f>'Inputs by customer type'!O41</f>
        <v>5626.8294164921617</v>
      </c>
      <c r="P76" s="171">
        <f>'Inputs by customer type'!P41</f>
        <v>31044.745987401129</v>
      </c>
      <c r="Q76" s="117"/>
      <c r="R76" s="117"/>
      <c r="S76" s="117"/>
      <c r="T76" s="117"/>
      <c r="U76" s="117"/>
      <c r="V76" s="117"/>
      <c r="W76" s="117"/>
      <c r="X76" s="117"/>
      <c r="Y76" s="117"/>
      <c r="AQ76" s="3"/>
    </row>
    <row r="77" spans="3:43" x14ac:dyDescent="0.25">
      <c r="E77" s="75"/>
      <c r="F77" s="118" t="s">
        <v>248</v>
      </c>
      <c r="G77" s="118" t="s">
        <v>207</v>
      </c>
      <c r="J77" s="126"/>
      <c r="K77" s="126"/>
      <c r="L77" s="193">
        <f>'Inputs by customer type'!L42</f>
        <v>219258.68374857187</v>
      </c>
      <c r="M77" s="126"/>
      <c r="N77" s="193">
        <f>'Inputs by customer type'!N42</f>
        <v>177335.7194820655</v>
      </c>
      <c r="O77" s="193">
        <f>'Inputs by customer type'!O42</f>
        <v>40648.438863300071</v>
      </c>
      <c r="P77" s="193">
        <f>'Inputs by customer type'!P42</f>
        <v>217794.43739853788</v>
      </c>
      <c r="Q77" s="126"/>
      <c r="R77" s="126"/>
      <c r="S77" s="126"/>
      <c r="T77" s="126"/>
      <c r="U77" s="126"/>
      <c r="V77" s="126"/>
      <c r="W77" s="126"/>
      <c r="X77" s="126"/>
      <c r="Y77" s="126"/>
      <c r="AQ77" s="3"/>
    </row>
    <row r="78" spans="3:43" x14ac:dyDescent="0.25">
      <c r="E78" s="75"/>
      <c r="F78" s="118" t="s">
        <v>249</v>
      </c>
      <c r="G78" s="118" t="s">
        <v>207</v>
      </c>
      <c r="J78" s="126"/>
      <c r="K78" s="126"/>
      <c r="L78" s="193">
        <f>'Inputs by customer type'!L43</f>
        <v>181377.42533418277</v>
      </c>
      <c r="M78" s="126"/>
      <c r="N78" s="193">
        <f>'Inputs by customer type'!N43</f>
        <v>158151.32539216164</v>
      </c>
      <c r="O78" s="193">
        <f>'Inputs by customer type'!O43</f>
        <v>40536.323424161295</v>
      </c>
      <c r="P78" s="193">
        <f>'Inputs by customer type'!P43</f>
        <v>248265.8544849015</v>
      </c>
      <c r="Q78" s="126"/>
      <c r="R78" s="126"/>
      <c r="S78" s="126"/>
      <c r="T78" s="126"/>
      <c r="U78" s="126"/>
      <c r="V78" s="126"/>
      <c r="W78" s="126"/>
      <c r="X78" s="126"/>
      <c r="Y78" s="126"/>
      <c r="AQ78" s="3"/>
    </row>
    <row r="79" spans="3:43" x14ac:dyDescent="0.25">
      <c r="E79" s="75"/>
      <c r="F79" s="118" t="s">
        <v>212</v>
      </c>
      <c r="G79" s="118" t="s">
        <v>212</v>
      </c>
      <c r="J79" s="126"/>
      <c r="K79" s="126"/>
      <c r="L79" s="193">
        <f>'Inputs by customer type'!L44</f>
        <v>44141.630274513212</v>
      </c>
      <c r="M79" s="126"/>
      <c r="N79" s="193">
        <f>'Inputs by customer type'!N44</f>
        <v>2200.2778045610471</v>
      </c>
      <c r="O79" s="193">
        <f>'Inputs by customer type'!O44</f>
        <v>411.53105514161842</v>
      </c>
      <c r="P79" s="193">
        <f>'Inputs by customer type'!P44</f>
        <v>319.08378711177534</v>
      </c>
      <c r="Q79" s="126"/>
      <c r="R79" s="126"/>
      <c r="S79" s="126"/>
      <c r="T79" s="126"/>
      <c r="U79" s="126"/>
      <c r="V79" s="126"/>
      <c r="W79" s="126"/>
      <c r="X79" s="126"/>
      <c r="Y79" s="126"/>
      <c r="AQ79" s="3"/>
    </row>
    <row r="80" spans="3:43" x14ac:dyDescent="0.25">
      <c r="E80" s="75"/>
      <c r="F80" s="118" t="s">
        <v>250</v>
      </c>
      <c r="G80" s="118" t="s">
        <v>251</v>
      </c>
      <c r="J80" s="126"/>
      <c r="K80" s="126"/>
      <c r="L80" s="193">
        <f>'Inputs by customer type'!L45</f>
        <v>0</v>
      </c>
      <c r="M80" s="126"/>
      <c r="N80" s="193">
        <f>'Inputs by customer type'!N45</f>
        <v>263936.77954765828</v>
      </c>
      <c r="O80" s="193">
        <f>'Inputs by customer type'!O45</f>
        <v>51384.079521085798</v>
      </c>
      <c r="P80" s="193">
        <f>'Inputs by customer type'!P45</f>
        <v>229387.05456338989</v>
      </c>
      <c r="Q80" s="126"/>
      <c r="R80" s="126"/>
      <c r="S80" s="126"/>
      <c r="T80" s="126"/>
      <c r="U80" s="126"/>
      <c r="V80" s="126"/>
      <c r="W80" s="126"/>
      <c r="X80" s="126"/>
      <c r="Y80" s="126"/>
      <c r="AQ80" s="3"/>
    </row>
    <row r="81" spans="3:43" x14ac:dyDescent="0.25">
      <c r="E81" s="75"/>
      <c r="F81" s="118" t="s">
        <v>252</v>
      </c>
      <c r="G81" s="118" t="s">
        <v>251</v>
      </c>
      <c r="J81" s="126"/>
      <c r="K81" s="126"/>
      <c r="L81" s="193">
        <f>'Inputs by customer type'!L46</f>
        <v>0</v>
      </c>
      <c r="M81" s="126"/>
      <c r="N81" s="193">
        <f>'Inputs by customer type'!N46</f>
        <v>7595.2519538184324</v>
      </c>
      <c r="O81" s="193">
        <f>'Inputs by customer type'!O46</f>
        <v>625.11238606784434</v>
      </c>
      <c r="P81" s="193">
        <f>'Inputs by customer type'!P46</f>
        <v>1494.6946608719054</v>
      </c>
      <c r="Q81" s="126"/>
      <c r="R81" s="126"/>
      <c r="S81" s="126"/>
      <c r="T81" s="126"/>
      <c r="U81" s="126"/>
      <c r="V81" s="126"/>
      <c r="W81" s="126"/>
      <c r="X81" s="126"/>
      <c r="Y81" s="126"/>
      <c r="AQ81" s="3"/>
    </row>
    <row r="82" spans="3:43" x14ac:dyDescent="0.25">
      <c r="E82" s="75"/>
      <c r="F82" s="120" t="s">
        <v>253</v>
      </c>
      <c r="G82" s="120" t="s">
        <v>254</v>
      </c>
      <c r="H82" s="96"/>
      <c r="I82" s="96"/>
      <c r="J82" s="121"/>
      <c r="K82" s="121"/>
      <c r="L82" s="172">
        <f>'Inputs by customer type'!L47</f>
        <v>0</v>
      </c>
      <c r="M82" s="121"/>
      <c r="N82" s="172">
        <f>'Inputs by customer type'!N47</f>
        <v>28794.470795667741</v>
      </c>
      <c r="O82" s="172">
        <f>'Inputs by customer type'!O47</f>
        <v>7943.3523557159006</v>
      </c>
      <c r="P82" s="172">
        <f>'Inputs by customer type'!P47</f>
        <v>36134.16133305386</v>
      </c>
      <c r="Q82" s="121"/>
      <c r="R82" s="121"/>
      <c r="S82" s="121"/>
      <c r="T82" s="121"/>
      <c r="U82" s="121"/>
      <c r="V82" s="121"/>
      <c r="W82" s="121"/>
      <c r="X82" s="121"/>
      <c r="Y82" s="121"/>
      <c r="AQ82" s="3"/>
    </row>
    <row r="83" spans="3:43" x14ac:dyDescent="0.25">
      <c r="AQ83" s="3"/>
    </row>
    <row r="84" spans="3:43" x14ac:dyDescent="0.25">
      <c r="C84" s="86"/>
      <c r="E84" s="75" t="s">
        <v>894</v>
      </c>
      <c r="G84" s="61"/>
      <c r="I84" t="s">
        <v>154</v>
      </c>
      <c r="AQ84" s="3"/>
    </row>
    <row r="85" spans="3:43" x14ac:dyDescent="0.25">
      <c r="C85" s="86"/>
      <c r="E85" s="75"/>
      <c r="F85" s="116" t="s">
        <v>247</v>
      </c>
      <c r="G85" s="116" t="s">
        <v>207</v>
      </c>
      <c r="H85" s="95"/>
      <c r="I85" s="95"/>
      <c r="J85" s="117"/>
      <c r="K85" s="117"/>
      <c r="L85" s="171">
        <f>'Inputs by customer type'!L50</f>
        <v>21294.252059385202</v>
      </c>
      <c r="M85" s="117"/>
      <c r="N85" s="171">
        <f>'Inputs by customer type'!N50</f>
        <v>17628.221372373271</v>
      </c>
      <c r="O85" s="171">
        <f>'Inputs by customer type'!O50</f>
        <v>8552.0900117834626</v>
      </c>
      <c r="P85" s="171">
        <f>'Inputs by customer type'!P50</f>
        <v>28627.87739438835</v>
      </c>
      <c r="Q85" s="117"/>
      <c r="R85" s="117"/>
      <c r="S85" s="117"/>
      <c r="T85" s="117"/>
      <c r="U85" s="117"/>
      <c r="V85" s="117"/>
      <c r="W85" s="117"/>
      <c r="X85" s="117"/>
      <c r="Y85" s="117"/>
      <c r="AQ85" s="3"/>
    </row>
    <row r="86" spans="3:43" x14ac:dyDescent="0.25">
      <c r="E86" s="75"/>
      <c r="F86" s="118" t="s">
        <v>248</v>
      </c>
      <c r="G86" s="118" t="s">
        <v>207</v>
      </c>
      <c r="J86" s="126"/>
      <c r="K86" s="126"/>
      <c r="L86" s="193">
        <f>'Inputs by customer type'!L51</f>
        <v>179000.8041867968</v>
      </c>
      <c r="M86" s="126"/>
      <c r="N86" s="193">
        <f>'Inputs by customer type'!N51</f>
        <v>127372.39496898772</v>
      </c>
      <c r="O86" s="193">
        <f>'Inputs by customer type'!O51</f>
        <v>61780.637418742961</v>
      </c>
      <c r="P86" s="193">
        <f>'Inputs by customer type'!P51</f>
        <v>200838.89407745432</v>
      </c>
      <c r="Q86" s="126"/>
      <c r="R86" s="126"/>
      <c r="S86" s="126"/>
      <c r="T86" s="126"/>
      <c r="U86" s="126"/>
      <c r="V86" s="126"/>
      <c r="W86" s="126"/>
      <c r="X86" s="126"/>
      <c r="Y86" s="126"/>
      <c r="AQ86" s="3"/>
    </row>
    <row r="87" spans="3:43" x14ac:dyDescent="0.25">
      <c r="E87" s="75"/>
      <c r="F87" s="118" t="s">
        <v>249</v>
      </c>
      <c r="G87" s="118" t="s">
        <v>207</v>
      </c>
      <c r="J87" s="126"/>
      <c r="K87" s="126"/>
      <c r="L87" s="193">
        <f>'Inputs by customer type'!L52</f>
        <v>148074.88780412273</v>
      </c>
      <c r="M87" s="126"/>
      <c r="N87" s="193">
        <f>'Inputs by customer type'!N52</f>
        <v>113593.09416937035</v>
      </c>
      <c r="O87" s="193">
        <f>'Inputs by customer type'!O52</f>
        <v>61610.235713581053</v>
      </c>
      <c r="P87" s="193">
        <f>'Inputs by customer type'!P52</f>
        <v>228938.076874302</v>
      </c>
      <c r="Q87" s="126"/>
      <c r="R87" s="126"/>
      <c r="S87" s="126"/>
      <c r="T87" s="126"/>
      <c r="U87" s="126"/>
      <c r="V87" s="126"/>
      <c r="W87" s="126"/>
      <c r="X87" s="126"/>
      <c r="Y87" s="126"/>
      <c r="AQ87" s="3"/>
    </row>
    <row r="88" spans="3:43" x14ac:dyDescent="0.25">
      <c r="E88" s="75"/>
      <c r="F88" s="118" t="s">
        <v>212</v>
      </c>
      <c r="G88" s="118" t="s">
        <v>212</v>
      </c>
      <c r="J88" s="126"/>
      <c r="K88" s="126"/>
      <c r="L88" s="193">
        <f>'Inputs by customer type'!L53</f>
        <v>17853.539337351296</v>
      </c>
      <c r="M88" s="126"/>
      <c r="N88" s="193">
        <f>'Inputs by customer type'!N53</f>
        <v>1028.2807035115104</v>
      </c>
      <c r="O88" s="193">
        <f>'Inputs by customer type'!O53</f>
        <v>385.74838662672181</v>
      </c>
      <c r="P88" s="193">
        <f>'Inputs by customer type'!P53</f>
        <v>130.13991317247633</v>
      </c>
      <c r="Q88" s="126"/>
      <c r="R88" s="126"/>
      <c r="S88" s="126"/>
      <c r="T88" s="126"/>
      <c r="U88" s="126"/>
      <c r="V88" s="126"/>
      <c r="W88" s="126"/>
      <c r="X88" s="126"/>
      <c r="Y88" s="126"/>
      <c r="AQ88" s="3"/>
    </row>
    <row r="89" spans="3:43" x14ac:dyDescent="0.25">
      <c r="E89" s="75"/>
      <c r="F89" s="118" t="s">
        <v>250</v>
      </c>
      <c r="G89" s="118" t="s">
        <v>251</v>
      </c>
      <c r="J89" s="126"/>
      <c r="K89" s="126"/>
      <c r="L89" s="193">
        <f>'Inputs by customer type'!L54</f>
        <v>0</v>
      </c>
      <c r="M89" s="126"/>
      <c r="N89" s="193">
        <f>'Inputs by customer type'!N54</f>
        <v>200020.16249079138</v>
      </c>
      <c r="O89" s="193">
        <f>'Inputs by customer type'!O54</f>
        <v>79194.96827633612</v>
      </c>
      <c r="P89" s="193">
        <f>'Inputs by customer type'!P54</f>
        <v>185918.38503155162</v>
      </c>
      <c r="Q89" s="126"/>
      <c r="R89" s="126"/>
      <c r="S89" s="126"/>
      <c r="T89" s="126"/>
      <c r="U89" s="126"/>
      <c r="V89" s="126"/>
      <c r="W89" s="126"/>
      <c r="X89" s="126"/>
      <c r="Y89" s="126"/>
      <c r="AQ89" s="3"/>
    </row>
    <row r="90" spans="3:43" x14ac:dyDescent="0.25">
      <c r="E90" s="75"/>
      <c r="F90" s="118" t="s">
        <v>252</v>
      </c>
      <c r="G90" s="118" t="s">
        <v>251</v>
      </c>
      <c r="J90" s="126"/>
      <c r="K90" s="126"/>
      <c r="L90" s="193">
        <f>'Inputs by customer type'!L55</f>
        <v>0</v>
      </c>
      <c r="M90" s="126"/>
      <c r="N90" s="193">
        <f>'Inputs by customer type'!N55</f>
        <v>5755.9372080121384</v>
      </c>
      <c r="O90" s="193">
        <f>'Inputs by customer type'!O55</f>
        <v>963.44541043053403</v>
      </c>
      <c r="P90" s="193">
        <f>'Inputs by customer type'!P55</f>
        <v>1211.4511779817706</v>
      </c>
      <c r="Q90" s="126"/>
      <c r="R90" s="126"/>
      <c r="S90" s="126"/>
      <c r="T90" s="126"/>
      <c r="U90" s="126"/>
      <c r="V90" s="126"/>
      <c r="W90" s="126"/>
      <c r="X90" s="126"/>
      <c r="Y90" s="126"/>
      <c r="AQ90" s="3"/>
    </row>
    <row r="91" spans="3:43" x14ac:dyDescent="0.25">
      <c r="E91" s="75"/>
      <c r="F91" s="120" t="s">
        <v>253</v>
      </c>
      <c r="G91" s="120" t="s">
        <v>254</v>
      </c>
      <c r="H91" s="96"/>
      <c r="I91" s="96"/>
      <c r="J91" s="121"/>
      <c r="K91" s="121"/>
      <c r="L91" s="172">
        <f>'Inputs by customer type'!L56</f>
        <v>0</v>
      </c>
      <c r="M91" s="121"/>
      <c r="N91" s="172">
        <f>'Inputs by customer type'!N56</f>
        <v>20681.793368085051</v>
      </c>
      <c r="O91" s="172">
        <f>'Inputs by customer type'!O56</f>
        <v>12072.920522930024</v>
      </c>
      <c r="P91" s="172">
        <f>'Inputs by customer type'!P56</f>
        <v>33321.075998222761</v>
      </c>
      <c r="Q91" s="121"/>
      <c r="R91" s="121"/>
      <c r="S91" s="121"/>
      <c r="T91" s="121"/>
      <c r="U91" s="121"/>
      <c r="V91" s="121"/>
      <c r="W91" s="121"/>
      <c r="X91" s="121"/>
      <c r="Y91" s="121"/>
      <c r="AQ91" s="3"/>
    </row>
    <row r="92" spans="3:43" x14ac:dyDescent="0.25">
      <c r="AQ92" s="3"/>
    </row>
    <row r="93" spans="3:43" x14ac:dyDescent="0.25">
      <c r="C93" s="86"/>
      <c r="E93" s="75" t="s">
        <v>895</v>
      </c>
      <c r="G93" s="61"/>
      <c r="I93" t="s">
        <v>154</v>
      </c>
      <c r="AQ93" s="3"/>
    </row>
    <row r="94" spans="3:43" x14ac:dyDescent="0.25">
      <c r="C94" s="86"/>
      <c r="E94" s="75"/>
      <c r="F94" s="116" t="s">
        <v>247</v>
      </c>
      <c r="G94" s="116" t="s">
        <v>207</v>
      </c>
      <c r="H94" s="95"/>
      <c r="I94" s="95"/>
      <c r="J94" s="117"/>
      <c r="K94" s="117"/>
      <c r="L94" s="171">
        <f>'Inputs by customer type'!L59</f>
        <v>53816.784649668458</v>
      </c>
      <c r="M94" s="117"/>
      <c r="N94" s="171">
        <f>'Inputs by customer type'!N59</f>
        <v>14538.641677991591</v>
      </c>
      <c r="O94" s="171">
        <f>'Inputs by customer type'!O59</f>
        <v>24482.974530545041</v>
      </c>
      <c r="P94" s="171">
        <f>'Inputs by customer type'!P59</f>
        <v>50215.462316398218</v>
      </c>
      <c r="Q94" s="117"/>
      <c r="R94" s="117"/>
      <c r="S94" s="117"/>
      <c r="T94" s="117"/>
      <c r="U94" s="117"/>
      <c r="V94" s="117"/>
      <c r="W94" s="117"/>
      <c r="X94" s="117"/>
      <c r="Y94" s="117"/>
      <c r="AQ94" s="3"/>
    </row>
    <row r="95" spans="3:43" x14ac:dyDescent="0.25">
      <c r="E95" s="75"/>
      <c r="F95" s="118" t="s">
        <v>248</v>
      </c>
      <c r="G95" s="118" t="s">
        <v>207</v>
      </c>
      <c r="J95" s="126"/>
      <c r="K95" s="126"/>
      <c r="L95" s="193">
        <f>'Inputs by customer type'!L60</f>
        <v>452387.23126659752</v>
      </c>
      <c r="M95" s="126"/>
      <c r="N95" s="193">
        <f>'Inputs by customer type'!N60</f>
        <v>105048.69271859061</v>
      </c>
      <c r="O95" s="193">
        <f>'Inputs by customer type'!O60</f>
        <v>176865.97899692686</v>
      </c>
      <c r="P95" s="193">
        <f>'Inputs by customer type'!P60</f>
        <v>352286.61134305428</v>
      </c>
      <c r="Q95" s="126"/>
      <c r="R95" s="126"/>
      <c r="S95" s="126"/>
      <c r="T95" s="126"/>
      <c r="U95" s="126"/>
      <c r="V95" s="126"/>
      <c r="W95" s="126"/>
      <c r="X95" s="126"/>
      <c r="Y95" s="126"/>
      <c r="AQ95" s="3"/>
    </row>
    <row r="96" spans="3:43" x14ac:dyDescent="0.25">
      <c r="E96" s="75"/>
      <c r="F96" s="118" t="s">
        <v>249</v>
      </c>
      <c r="G96" s="118" t="s">
        <v>207</v>
      </c>
      <c r="J96" s="126"/>
      <c r="K96" s="126"/>
      <c r="L96" s="193">
        <f>'Inputs by customer type'!L61</f>
        <v>374228.4221467211</v>
      </c>
      <c r="M96" s="126"/>
      <c r="N96" s="193">
        <f>'Inputs by customer type'!N61</f>
        <v>93684.397213834891</v>
      </c>
      <c r="O96" s="193">
        <f>'Inputs by customer type'!O61</f>
        <v>176378.15197432862</v>
      </c>
      <c r="P96" s="193">
        <f>'Inputs by customer type'!P61</f>
        <v>401574.70334575651</v>
      </c>
      <c r="Q96" s="126"/>
      <c r="R96" s="126"/>
      <c r="S96" s="126"/>
      <c r="T96" s="126"/>
      <c r="U96" s="126"/>
      <c r="V96" s="126"/>
      <c r="W96" s="126"/>
      <c r="X96" s="126"/>
      <c r="Y96" s="126"/>
      <c r="AQ96" s="3"/>
    </row>
    <row r="97" spans="3:43" x14ac:dyDescent="0.25">
      <c r="E97" s="75"/>
      <c r="F97" s="118" t="s">
        <v>212</v>
      </c>
      <c r="G97" s="118" t="s">
        <v>212</v>
      </c>
      <c r="J97" s="126"/>
      <c r="K97" s="126"/>
      <c r="L97" s="193">
        <f>'Inputs by customer type'!L62</f>
        <v>18593.892029409602</v>
      </c>
      <c r="M97" s="126"/>
      <c r="N97" s="193">
        <f>'Inputs by customer type'!N62</f>
        <v>461.51181181225269</v>
      </c>
      <c r="O97" s="193">
        <f>'Inputs by customer type'!O62</f>
        <v>514.66172920120471</v>
      </c>
      <c r="P97" s="193">
        <f>'Inputs by customer type'!P62</f>
        <v>114.7159234631458</v>
      </c>
      <c r="Q97" s="126"/>
      <c r="R97" s="126"/>
      <c r="S97" s="126"/>
      <c r="T97" s="126"/>
      <c r="U97" s="126"/>
      <c r="V97" s="126"/>
      <c r="W97" s="126"/>
      <c r="X97" s="126"/>
      <c r="Y97" s="126"/>
      <c r="AQ97" s="3"/>
    </row>
    <row r="98" spans="3:43" x14ac:dyDescent="0.25">
      <c r="E98" s="75"/>
      <c r="F98" s="118" t="s">
        <v>250</v>
      </c>
      <c r="G98" s="118" t="s">
        <v>251</v>
      </c>
      <c r="J98" s="126"/>
      <c r="K98" s="126"/>
      <c r="L98" s="193">
        <f>'Inputs by customer type'!L63</f>
        <v>0</v>
      </c>
      <c r="M98" s="126"/>
      <c r="N98" s="193">
        <f>'Inputs by customer type'!N63</f>
        <v>172872.07566471983</v>
      </c>
      <c r="O98" s="193">
        <f>'Inputs by customer type'!O63</f>
        <v>225197.40466775131</v>
      </c>
      <c r="P98" s="193">
        <f>'Inputs by customer type'!P63</f>
        <v>412552.31506201811</v>
      </c>
      <c r="Q98" s="126"/>
      <c r="R98" s="126"/>
      <c r="S98" s="126"/>
      <c r="T98" s="126"/>
      <c r="U98" s="126"/>
      <c r="V98" s="126"/>
      <c r="W98" s="126"/>
      <c r="X98" s="126"/>
      <c r="Y98" s="126"/>
      <c r="AQ98" s="3"/>
    </row>
    <row r="99" spans="3:43" x14ac:dyDescent="0.25">
      <c r="E99" s="75"/>
      <c r="F99" s="118" t="s">
        <v>252</v>
      </c>
      <c r="G99" s="118" t="s">
        <v>251</v>
      </c>
      <c r="J99" s="126"/>
      <c r="K99" s="126"/>
      <c r="L99" s="193">
        <f>'Inputs by customer type'!L64</f>
        <v>0</v>
      </c>
      <c r="M99" s="126"/>
      <c r="N99" s="193">
        <f>'Inputs by customer type'!N64</f>
        <v>4974.7025507524068</v>
      </c>
      <c r="O99" s="193">
        <f>'Inputs by customer type'!O64</f>
        <v>2739.6362507647245</v>
      </c>
      <c r="P99" s="193">
        <f>'Inputs by customer type'!P64</f>
        <v>2688.2063760190863</v>
      </c>
      <c r="Q99" s="126"/>
      <c r="R99" s="126"/>
      <c r="S99" s="126"/>
      <c r="T99" s="126"/>
      <c r="U99" s="126"/>
      <c r="V99" s="126"/>
      <c r="W99" s="126"/>
      <c r="X99" s="126"/>
      <c r="Y99" s="126"/>
      <c r="AQ99" s="3"/>
    </row>
    <row r="100" spans="3:43" x14ac:dyDescent="0.25">
      <c r="E100" s="75"/>
      <c r="F100" s="120" t="s">
        <v>253</v>
      </c>
      <c r="G100" s="120" t="s">
        <v>254</v>
      </c>
      <c r="H100" s="96"/>
      <c r="I100" s="96"/>
      <c r="J100" s="121"/>
      <c r="K100" s="121"/>
      <c r="L100" s="172">
        <f>'Inputs by customer type'!L65</f>
        <v>0</v>
      </c>
      <c r="M100" s="121"/>
      <c r="N100" s="172">
        <f>'Inputs by customer type'!N65</f>
        <v>17057.034665339608</v>
      </c>
      <c r="O100" s="172">
        <f>'Inputs by customer type'!O65</f>
        <v>34562.429214955082</v>
      </c>
      <c r="P100" s="172">
        <f>'Inputs by customer type'!P65</f>
        <v>58447.68765352419</v>
      </c>
      <c r="Q100" s="121"/>
      <c r="R100" s="121"/>
      <c r="S100" s="121"/>
      <c r="T100" s="121"/>
      <c r="U100" s="121"/>
      <c r="V100" s="121"/>
      <c r="W100" s="121"/>
      <c r="X100" s="121"/>
      <c r="Y100" s="121"/>
      <c r="AQ100" s="3"/>
    </row>
    <row r="101" spans="3:43" x14ac:dyDescent="0.25">
      <c r="AQ101" s="3"/>
    </row>
    <row r="102" spans="3:43" x14ac:dyDescent="0.25">
      <c r="C102" s="86"/>
      <c r="D102" s="86" t="s">
        <v>908</v>
      </c>
      <c r="AQ102" s="3"/>
    </row>
    <row r="103" spans="3:43" x14ac:dyDescent="0.25">
      <c r="AQ103" s="3"/>
    </row>
    <row r="104" spans="3:43" x14ac:dyDescent="0.25">
      <c r="E104" s="75" t="s">
        <v>859</v>
      </c>
      <c r="G104" s="61"/>
      <c r="I104" t="s">
        <v>154</v>
      </c>
      <c r="AQ104" s="3"/>
    </row>
    <row r="105" spans="3:43" x14ac:dyDescent="0.25">
      <c r="E105" s="75"/>
      <c r="F105" s="116" t="s">
        <v>247</v>
      </c>
      <c r="G105" s="116" t="s">
        <v>207</v>
      </c>
      <c r="H105" s="95"/>
      <c r="I105" s="95"/>
      <c r="J105" s="117"/>
      <c r="K105" s="171">
        <f>'Inputs by customer type'!K70</f>
        <v>0</v>
      </c>
      <c r="L105" s="171">
        <f>'Inputs by customer type'!L70</f>
        <v>51.692430869477775</v>
      </c>
      <c r="M105" s="171">
        <f>'Inputs by customer type'!M70</f>
        <v>0</v>
      </c>
      <c r="N105" s="171">
        <f>'Inputs by customer type'!N70</f>
        <v>0</v>
      </c>
      <c r="O105" s="171">
        <f>'Inputs by customer type'!O70</f>
        <v>0</v>
      </c>
      <c r="P105" s="171">
        <f>'Inputs by customer type'!P70</f>
        <v>0</v>
      </c>
      <c r="Q105" s="117"/>
      <c r="R105" s="171">
        <f>'Inputs by customer type'!R70</f>
        <v>135.12309960616332</v>
      </c>
      <c r="S105" s="117"/>
      <c r="T105" s="171">
        <f>'Inputs by customer type'!T70</f>
        <v>0</v>
      </c>
      <c r="U105" s="117"/>
      <c r="V105" s="117"/>
      <c r="W105" s="117"/>
      <c r="X105" s="117"/>
      <c r="Y105" s="117"/>
      <c r="AQ105" s="3"/>
    </row>
    <row r="106" spans="3:43" x14ac:dyDescent="0.25">
      <c r="E106" s="75"/>
      <c r="F106" s="118" t="s">
        <v>248</v>
      </c>
      <c r="G106" s="118" t="s">
        <v>207</v>
      </c>
      <c r="J106" s="126"/>
      <c r="K106" s="193">
        <f>'Inputs by customer type'!K71</f>
        <v>0</v>
      </c>
      <c r="L106" s="193">
        <f>'Inputs by customer type'!L71</f>
        <v>442.11414250627473</v>
      </c>
      <c r="M106" s="193">
        <f>'Inputs by customer type'!M71</f>
        <v>0</v>
      </c>
      <c r="N106" s="193">
        <f>'Inputs by customer type'!N71</f>
        <v>0</v>
      </c>
      <c r="O106" s="193">
        <f>'Inputs by customer type'!O71</f>
        <v>0</v>
      </c>
      <c r="P106" s="193">
        <f>'Inputs by customer type'!P71</f>
        <v>0</v>
      </c>
      <c r="Q106" s="126"/>
      <c r="R106" s="193">
        <f>'Inputs by customer type'!R71</f>
        <v>1233.0122325268569</v>
      </c>
      <c r="S106" s="126"/>
      <c r="T106" s="193">
        <f>'Inputs by customer type'!T71</f>
        <v>0</v>
      </c>
      <c r="U106" s="126"/>
      <c r="V106" s="126"/>
      <c r="W106" s="126"/>
      <c r="X106" s="126"/>
      <c r="Y106" s="126"/>
      <c r="AQ106" s="3"/>
    </row>
    <row r="107" spans="3:43" x14ac:dyDescent="0.25">
      <c r="E107" s="75"/>
      <c r="F107" s="118" t="s">
        <v>249</v>
      </c>
      <c r="G107" s="118" t="s">
        <v>207</v>
      </c>
      <c r="J107" s="126"/>
      <c r="K107" s="193">
        <f>'Inputs by customer type'!K72</f>
        <v>0</v>
      </c>
      <c r="L107" s="193">
        <f>'Inputs by customer type'!L72</f>
        <v>329.96533050226304</v>
      </c>
      <c r="M107" s="193">
        <f>'Inputs by customer type'!M72</f>
        <v>0</v>
      </c>
      <c r="N107" s="193">
        <f>'Inputs by customer type'!N72</f>
        <v>0</v>
      </c>
      <c r="O107" s="193">
        <f>'Inputs by customer type'!O72</f>
        <v>0</v>
      </c>
      <c r="P107" s="193">
        <f>'Inputs by customer type'!P72</f>
        <v>0</v>
      </c>
      <c r="Q107" s="126"/>
      <c r="R107" s="193">
        <f>'Inputs by customer type'!R72</f>
        <v>536.82082476268477</v>
      </c>
      <c r="S107" s="126"/>
      <c r="T107" s="193">
        <f>'Inputs by customer type'!T72</f>
        <v>0</v>
      </c>
      <c r="U107" s="126"/>
      <c r="V107" s="126"/>
      <c r="W107" s="126"/>
      <c r="X107" s="126"/>
      <c r="Y107" s="126"/>
      <c r="AQ107" s="3"/>
    </row>
    <row r="108" spans="3:43" x14ac:dyDescent="0.25">
      <c r="E108" s="75"/>
      <c r="F108" s="118" t="s">
        <v>212</v>
      </c>
      <c r="G108" s="118" t="s">
        <v>212</v>
      </c>
      <c r="J108" s="126"/>
      <c r="K108" s="193">
        <f>'Inputs by customer type'!K73</f>
        <v>0</v>
      </c>
      <c r="L108" s="193">
        <f>'Inputs by customer type'!L73</f>
        <v>120.66191919222645</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0</v>
      </c>
      <c r="U108" s="126"/>
      <c r="V108" s="126"/>
      <c r="W108" s="126"/>
      <c r="X108" s="126"/>
      <c r="Y108" s="126"/>
      <c r="AQ108" s="3"/>
    </row>
    <row r="109" spans="3:43" x14ac:dyDescent="0.25">
      <c r="E109" s="75"/>
      <c r="F109" s="118" t="s">
        <v>250</v>
      </c>
      <c r="G109" s="118" t="s">
        <v>251</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25">
      <c r="E110" s="75"/>
      <c r="F110" s="118" t="s">
        <v>252</v>
      </c>
      <c r="G110" s="118" t="s">
        <v>251</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25">
      <c r="E111" s="75"/>
      <c r="F111" s="120" t="s">
        <v>253</v>
      </c>
      <c r="G111" s="120" t="s">
        <v>254</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0</v>
      </c>
      <c r="U111" s="121"/>
      <c r="V111" s="121"/>
      <c r="W111" s="121"/>
      <c r="X111" s="121"/>
      <c r="Y111" s="121"/>
      <c r="AQ111" s="3"/>
    </row>
    <row r="112" spans="3:43" x14ac:dyDescent="0.25">
      <c r="C112" s="86"/>
      <c r="AQ112" s="3"/>
    </row>
    <row r="113" spans="5:43" x14ac:dyDescent="0.25">
      <c r="E113" s="75" t="s">
        <v>896</v>
      </c>
      <c r="G113" s="61"/>
      <c r="I113" t="s">
        <v>154</v>
      </c>
      <c r="AQ113" s="3"/>
    </row>
    <row r="114" spans="5:43" x14ac:dyDescent="0.25">
      <c r="E114" s="75"/>
      <c r="F114" s="116" t="s">
        <v>247</v>
      </c>
      <c r="G114" s="116" t="s">
        <v>207</v>
      </c>
      <c r="H114" s="95"/>
      <c r="I114" s="95"/>
      <c r="J114" s="171">
        <f>'Inputs by customer type'!J79</f>
        <v>4412.0021358793929</v>
      </c>
      <c r="K114" s="117"/>
      <c r="L114" s="171">
        <f>'Inputs by customer type'!L79</f>
        <v>20.320998460550786</v>
      </c>
      <c r="M114" s="117"/>
      <c r="N114" s="171">
        <f>'Inputs by customer type'!N79</f>
        <v>44.33554237575418</v>
      </c>
      <c r="O114" s="171">
        <f>'Inputs by customer type'!O79</f>
        <v>0</v>
      </c>
      <c r="P114" s="171">
        <f>'Inputs by customer type'!P79</f>
        <v>0</v>
      </c>
      <c r="Q114" s="171">
        <f>'Inputs by customer type'!Q79</f>
        <v>3.5402788970786112</v>
      </c>
      <c r="R114" s="117"/>
      <c r="S114" s="117"/>
      <c r="T114" s="117"/>
      <c r="U114" s="117"/>
      <c r="V114" s="117"/>
      <c r="W114" s="117"/>
      <c r="X114" s="117"/>
      <c r="Y114" s="117"/>
      <c r="AQ114" s="3"/>
    </row>
    <row r="115" spans="5:43" x14ac:dyDescent="0.25">
      <c r="E115" s="75"/>
      <c r="F115" s="118" t="s">
        <v>248</v>
      </c>
      <c r="G115" s="118" t="s">
        <v>207</v>
      </c>
      <c r="J115" s="193">
        <f>'Inputs by customer type'!J80</f>
        <v>23560.34322446982</v>
      </c>
      <c r="K115" s="126"/>
      <c r="L115" s="193">
        <f>'Inputs by customer type'!L80</f>
        <v>157.93698075487379</v>
      </c>
      <c r="M115" s="126"/>
      <c r="N115" s="193">
        <f>'Inputs by customer type'!N80</f>
        <v>310.49047756649685</v>
      </c>
      <c r="O115" s="193">
        <f>'Inputs by customer type'!O80</f>
        <v>0</v>
      </c>
      <c r="P115" s="193">
        <f>'Inputs by customer type'!P80</f>
        <v>0</v>
      </c>
      <c r="Q115" s="193">
        <f>'Inputs by customer type'!Q80</f>
        <v>54.762000803164575</v>
      </c>
      <c r="R115" s="126"/>
      <c r="S115" s="126"/>
      <c r="T115" s="126"/>
      <c r="U115" s="126"/>
      <c r="V115" s="126"/>
      <c r="W115" s="126"/>
      <c r="X115" s="126"/>
      <c r="Y115" s="126"/>
      <c r="AQ115" s="3"/>
    </row>
    <row r="116" spans="5:43" x14ac:dyDescent="0.25">
      <c r="E116" s="75"/>
      <c r="F116" s="118" t="s">
        <v>249</v>
      </c>
      <c r="G116" s="118" t="s">
        <v>207</v>
      </c>
      <c r="J116" s="193">
        <f>'Inputs by customer type'!J81</f>
        <v>24322.859805914686</v>
      </c>
      <c r="K116" s="126"/>
      <c r="L116" s="193">
        <f>'Inputs by customer type'!L81</f>
        <v>131.34784029174614</v>
      </c>
      <c r="M116" s="126"/>
      <c r="N116" s="193">
        <f>'Inputs by customer type'!N81</f>
        <v>302.06266107949341</v>
      </c>
      <c r="O116" s="193">
        <f>'Inputs by customer type'!O81</f>
        <v>0</v>
      </c>
      <c r="P116" s="193">
        <f>'Inputs by customer type'!P81</f>
        <v>0</v>
      </c>
      <c r="Q116" s="193">
        <f>'Inputs by customer type'!Q81</f>
        <v>78.61836209396057</v>
      </c>
      <c r="R116" s="126"/>
      <c r="S116" s="126"/>
      <c r="T116" s="126"/>
      <c r="U116" s="126"/>
      <c r="V116" s="126"/>
      <c r="W116" s="126"/>
      <c r="X116" s="126"/>
      <c r="Y116" s="126"/>
      <c r="AQ116" s="3"/>
    </row>
    <row r="117" spans="5:43" x14ac:dyDescent="0.25">
      <c r="E117" s="75"/>
      <c r="F117" s="118" t="s">
        <v>212</v>
      </c>
      <c r="G117" s="118" t="s">
        <v>212</v>
      </c>
      <c r="J117" s="193">
        <f>'Inputs by customer type'!J82</f>
        <v>19353.401655970189</v>
      </c>
      <c r="K117" s="126"/>
      <c r="L117" s="193">
        <f>'Inputs by customer type'!L82</f>
        <v>79.585521169340822</v>
      </c>
      <c r="M117" s="126"/>
      <c r="N117" s="193">
        <f>'Inputs by customer type'!N82</f>
        <v>11.552736943936573</v>
      </c>
      <c r="O117" s="193">
        <f>'Inputs by customer type'!O82</f>
        <v>0</v>
      </c>
      <c r="P117" s="193">
        <f>'Inputs by customer type'!P82</f>
        <v>0</v>
      </c>
      <c r="Q117" s="193">
        <f>'Inputs by customer type'!Q82</f>
        <v>0</v>
      </c>
      <c r="R117" s="126"/>
      <c r="S117" s="126"/>
      <c r="T117" s="126"/>
      <c r="U117" s="126"/>
      <c r="V117" s="126"/>
      <c r="W117" s="126"/>
      <c r="X117" s="126"/>
      <c r="Y117" s="126"/>
      <c r="AQ117" s="3"/>
    </row>
    <row r="118" spans="5:43" x14ac:dyDescent="0.25">
      <c r="E118" s="75"/>
      <c r="F118" s="118" t="s">
        <v>250</v>
      </c>
      <c r="G118" s="118" t="s">
        <v>251</v>
      </c>
      <c r="J118" s="193">
        <f>'Inputs by customer type'!J83</f>
        <v>0</v>
      </c>
      <c r="K118" s="126"/>
      <c r="L118" s="193">
        <f>'Inputs by customer type'!L83</f>
        <v>0</v>
      </c>
      <c r="M118" s="126"/>
      <c r="N118" s="193">
        <f>'Inputs by customer type'!N83</f>
        <v>765.04791317624438</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25">
      <c r="E119" s="75"/>
      <c r="F119" s="118" t="s">
        <v>252</v>
      </c>
      <c r="G119" s="118" t="s">
        <v>251</v>
      </c>
      <c r="J119" s="193">
        <f>'Inputs by customer type'!J84</f>
        <v>0</v>
      </c>
      <c r="K119" s="126"/>
      <c r="L119" s="193">
        <f>'Inputs by customer type'!L84</f>
        <v>0</v>
      </c>
      <c r="M119" s="126"/>
      <c r="N119" s="193">
        <f>'Inputs by customer type'!N84</f>
        <v>32.831877260100747</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25">
      <c r="E120" s="75"/>
      <c r="F120" s="120" t="s">
        <v>253</v>
      </c>
      <c r="G120" s="120" t="s">
        <v>254</v>
      </c>
      <c r="H120" s="96"/>
      <c r="I120" s="96"/>
      <c r="J120" s="172">
        <f>'Inputs by customer type'!J85</f>
        <v>0</v>
      </c>
      <c r="K120" s="121"/>
      <c r="L120" s="172">
        <f>'Inputs by customer type'!L85</f>
        <v>0</v>
      </c>
      <c r="M120" s="121"/>
      <c r="N120" s="172">
        <f>'Inputs by customer type'!N85</f>
        <v>74.458303748948666</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25">
      <c r="AQ121" s="3"/>
    </row>
    <row r="122" spans="5:43" x14ac:dyDescent="0.25">
      <c r="E122" s="75" t="s">
        <v>897</v>
      </c>
      <c r="G122" s="61"/>
      <c r="I122" t="s">
        <v>154</v>
      </c>
      <c r="AQ122" s="3"/>
    </row>
    <row r="123" spans="5:43" x14ac:dyDescent="0.25">
      <c r="E123" s="75"/>
      <c r="F123" s="116" t="s">
        <v>247</v>
      </c>
      <c r="G123" s="116" t="s">
        <v>207</v>
      </c>
      <c r="H123" s="95"/>
      <c r="I123" s="95"/>
      <c r="J123" s="117"/>
      <c r="K123" s="117"/>
      <c r="L123" s="171">
        <f>'Inputs by customer type'!L88</f>
        <v>13.132501934538336</v>
      </c>
      <c r="M123" s="117"/>
      <c r="N123" s="171">
        <f>'Inputs by customer type'!N88</f>
        <v>207.52325554001433</v>
      </c>
      <c r="O123" s="171">
        <f>'Inputs by customer type'!O88</f>
        <v>0</v>
      </c>
      <c r="P123" s="171">
        <f>'Inputs by customer type'!P88</f>
        <v>0</v>
      </c>
      <c r="Q123" s="117"/>
      <c r="R123" s="117"/>
      <c r="S123" s="117"/>
      <c r="T123" s="117"/>
      <c r="U123" s="117"/>
      <c r="V123" s="117"/>
      <c r="W123" s="117"/>
      <c r="X123" s="117"/>
      <c r="Y123" s="117"/>
      <c r="AQ123" s="3"/>
    </row>
    <row r="124" spans="5:43" x14ac:dyDescent="0.25">
      <c r="E124" s="75"/>
      <c r="F124" s="118" t="s">
        <v>248</v>
      </c>
      <c r="G124" s="118" t="s">
        <v>207</v>
      </c>
      <c r="J124" s="126"/>
      <c r="K124" s="126"/>
      <c r="L124" s="193">
        <f>'Inputs by customer type'!L89</f>
        <v>111.83354950922403</v>
      </c>
      <c r="M124" s="126"/>
      <c r="N124" s="193">
        <f>'Inputs by customer type'!N89</f>
        <v>1478.0079161369983</v>
      </c>
      <c r="O124" s="193">
        <f>'Inputs by customer type'!O89</f>
        <v>0</v>
      </c>
      <c r="P124" s="193">
        <f>'Inputs by customer type'!P89</f>
        <v>0</v>
      </c>
      <c r="Q124" s="126"/>
      <c r="R124" s="126"/>
      <c r="S124" s="126"/>
      <c r="T124" s="126"/>
      <c r="U124" s="126"/>
      <c r="V124" s="126"/>
      <c r="W124" s="126"/>
      <c r="X124" s="126"/>
      <c r="Y124" s="126"/>
      <c r="AQ124" s="3"/>
    </row>
    <row r="125" spans="5:43" x14ac:dyDescent="0.25">
      <c r="E125" s="75"/>
      <c r="F125" s="118" t="s">
        <v>249</v>
      </c>
      <c r="G125" s="118" t="s">
        <v>207</v>
      </c>
      <c r="J125" s="126"/>
      <c r="K125" s="126"/>
      <c r="L125" s="193">
        <f>'Inputs by customer type'!L90</f>
        <v>82.843993643226185</v>
      </c>
      <c r="M125" s="126"/>
      <c r="N125" s="193">
        <f>'Inputs by customer type'!N90</f>
        <v>1194.9359803241844</v>
      </c>
      <c r="O125" s="193">
        <f>'Inputs by customer type'!O90</f>
        <v>0</v>
      </c>
      <c r="P125" s="193">
        <f>'Inputs by customer type'!P90</f>
        <v>0</v>
      </c>
      <c r="Q125" s="126"/>
      <c r="R125" s="126"/>
      <c r="S125" s="126"/>
      <c r="T125" s="126"/>
      <c r="U125" s="126"/>
      <c r="V125" s="126"/>
      <c r="W125" s="126"/>
      <c r="X125" s="126"/>
      <c r="Y125" s="126"/>
      <c r="AQ125" s="3"/>
    </row>
    <row r="126" spans="5:43" x14ac:dyDescent="0.25">
      <c r="E126" s="75"/>
      <c r="F126" s="118" t="s">
        <v>212</v>
      </c>
      <c r="G126" s="118" t="s">
        <v>212</v>
      </c>
      <c r="J126" s="126"/>
      <c r="K126" s="126"/>
      <c r="L126" s="193">
        <f>'Inputs by customer type'!L91</f>
        <v>52.629134966822164</v>
      </c>
      <c r="M126" s="126"/>
      <c r="N126" s="193">
        <f>'Inputs by customer type'!N91</f>
        <v>50.061860090391804</v>
      </c>
      <c r="O126" s="193">
        <f>'Inputs by customer type'!O91</f>
        <v>0</v>
      </c>
      <c r="P126" s="193">
        <f>'Inputs by customer type'!P91</f>
        <v>0</v>
      </c>
      <c r="Q126" s="126"/>
      <c r="R126" s="126"/>
      <c r="S126" s="126"/>
      <c r="T126" s="126"/>
      <c r="U126" s="126"/>
      <c r="V126" s="126"/>
      <c r="W126" s="126"/>
      <c r="X126" s="126"/>
      <c r="Y126" s="126"/>
      <c r="AQ126" s="3"/>
    </row>
    <row r="127" spans="5:43" x14ac:dyDescent="0.25">
      <c r="E127" s="75"/>
      <c r="F127" s="118" t="s">
        <v>250</v>
      </c>
      <c r="G127" s="118" t="s">
        <v>251</v>
      </c>
      <c r="J127" s="126"/>
      <c r="K127" s="126"/>
      <c r="L127" s="193">
        <f>'Inputs by customer type'!L92</f>
        <v>0</v>
      </c>
      <c r="M127" s="126"/>
      <c r="N127" s="193">
        <f>'Inputs by customer type'!N92</f>
        <v>5844.4012561936916</v>
      </c>
      <c r="O127" s="193">
        <f>'Inputs by customer type'!O92</f>
        <v>0</v>
      </c>
      <c r="P127" s="193">
        <f>'Inputs by customer type'!P92</f>
        <v>0</v>
      </c>
      <c r="Q127" s="126"/>
      <c r="R127" s="126"/>
      <c r="S127" s="126"/>
      <c r="T127" s="126"/>
      <c r="U127" s="126"/>
      <c r="V127" s="126"/>
      <c r="W127" s="126"/>
      <c r="X127" s="126"/>
      <c r="Y127" s="126"/>
      <c r="AQ127" s="3"/>
    </row>
    <row r="128" spans="5:43" x14ac:dyDescent="0.25">
      <c r="E128" s="75"/>
      <c r="F128" s="118" t="s">
        <v>252</v>
      </c>
      <c r="G128" s="118" t="s">
        <v>251</v>
      </c>
      <c r="J128" s="126"/>
      <c r="K128" s="126"/>
      <c r="L128" s="193">
        <f>'Inputs by customer type'!L93</f>
        <v>0</v>
      </c>
      <c r="M128" s="126"/>
      <c r="N128" s="193">
        <f>'Inputs by customer type'!N93</f>
        <v>0</v>
      </c>
      <c r="O128" s="193">
        <f>'Inputs by customer type'!O93</f>
        <v>0</v>
      </c>
      <c r="P128" s="193">
        <f>'Inputs by customer type'!P93</f>
        <v>0</v>
      </c>
      <c r="Q128" s="126"/>
      <c r="R128" s="126"/>
      <c r="S128" s="126"/>
      <c r="T128" s="126"/>
      <c r="U128" s="126"/>
      <c r="V128" s="126"/>
      <c r="W128" s="126"/>
      <c r="X128" s="126"/>
      <c r="Y128" s="126"/>
      <c r="AQ128" s="3"/>
    </row>
    <row r="129" spans="5:43" x14ac:dyDescent="0.25">
      <c r="E129" s="75"/>
      <c r="F129" s="120" t="s">
        <v>253</v>
      </c>
      <c r="G129" s="120" t="s">
        <v>254</v>
      </c>
      <c r="H129" s="96"/>
      <c r="I129" s="96"/>
      <c r="J129" s="121"/>
      <c r="K129" s="121"/>
      <c r="L129" s="172">
        <f>'Inputs by customer type'!L94</f>
        <v>0</v>
      </c>
      <c r="M129" s="121"/>
      <c r="N129" s="172">
        <f>'Inputs by customer type'!N94</f>
        <v>372.87674036583576</v>
      </c>
      <c r="O129" s="172">
        <f>'Inputs by customer type'!O94</f>
        <v>0</v>
      </c>
      <c r="P129" s="172">
        <f>'Inputs by customer type'!P94</f>
        <v>0</v>
      </c>
      <c r="Q129" s="121"/>
      <c r="R129" s="121"/>
      <c r="S129" s="121"/>
      <c r="T129" s="121"/>
      <c r="U129" s="121"/>
      <c r="V129" s="121"/>
      <c r="W129" s="121"/>
      <c r="X129" s="121"/>
      <c r="Y129" s="121"/>
      <c r="AQ129" s="3"/>
    </row>
    <row r="130" spans="5:43" x14ac:dyDescent="0.25">
      <c r="AQ130" s="3"/>
    </row>
    <row r="131" spans="5:43" x14ac:dyDescent="0.25">
      <c r="E131" s="75" t="s">
        <v>898</v>
      </c>
      <c r="G131" s="61"/>
      <c r="I131" t="s">
        <v>154</v>
      </c>
      <c r="AQ131" s="3"/>
    </row>
    <row r="132" spans="5:43" x14ac:dyDescent="0.25">
      <c r="E132" s="75"/>
      <c r="F132" s="116" t="s">
        <v>247</v>
      </c>
      <c r="G132" s="116" t="s">
        <v>207</v>
      </c>
      <c r="H132" s="95"/>
      <c r="I132" s="95"/>
      <c r="J132" s="117"/>
      <c r="K132" s="117"/>
      <c r="L132" s="171">
        <f>'Inputs by customer type'!L97</f>
        <v>39.771044721190137</v>
      </c>
      <c r="M132" s="117"/>
      <c r="N132" s="171">
        <f>'Inputs by customer type'!N97</f>
        <v>361.66914295819572</v>
      </c>
      <c r="O132" s="171">
        <f>'Inputs by customer type'!O97</f>
        <v>0</v>
      </c>
      <c r="P132" s="171">
        <f>'Inputs by customer type'!P97</f>
        <v>0</v>
      </c>
      <c r="Q132" s="117"/>
      <c r="R132" s="117"/>
      <c r="S132" s="117"/>
      <c r="T132" s="117"/>
      <c r="U132" s="117"/>
      <c r="V132" s="117"/>
      <c r="W132" s="117"/>
      <c r="X132" s="117"/>
      <c r="Y132" s="117"/>
      <c r="AQ132" s="3"/>
    </row>
    <row r="133" spans="5:43" x14ac:dyDescent="0.25">
      <c r="E133" s="75"/>
      <c r="F133" s="118" t="s">
        <v>248</v>
      </c>
      <c r="G133" s="118" t="s">
        <v>207</v>
      </c>
      <c r="J133" s="126"/>
      <c r="K133" s="126"/>
      <c r="L133" s="193">
        <f>'Inputs by customer type'!L98</f>
        <v>329.60005765008896</v>
      </c>
      <c r="M133" s="126"/>
      <c r="N133" s="193">
        <f>'Inputs by customer type'!N98</f>
        <v>2411.8183069223987</v>
      </c>
      <c r="O133" s="193">
        <f>'Inputs by customer type'!O98</f>
        <v>0</v>
      </c>
      <c r="P133" s="193">
        <f>'Inputs by customer type'!P98</f>
        <v>0</v>
      </c>
      <c r="Q133" s="126"/>
      <c r="R133" s="126"/>
      <c r="S133" s="126"/>
      <c r="T133" s="126"/>
      <c r="U133" s="126"/>
      <c r="V133" s="126"/>
      <c r="W133" s="126"/>
      <c r="X133" s="126"/>
      <c r="Y133" s="126"/>
      <c r="AQ133" s="3"/>
    </row>
    <row r="134" spans="5:43" x14ac:dyDescent="0.25">
      <c r="E134" s="75"/>
      <c r="F134" s="118" t="s">
        <v>249</v>
      </c>
      <c r="G134" s="118" t="s">
        <v>207</v>
      </c>
      <c r="J134" s="126"/>
      <c r="K134" s="126"/>
      <c r="L134" s="193">
        <f>'Inputs by customer type'!L99</f>
        <v>250.75606649996607</v>
      </c>
      <c r="M134" s="126"/>
      <c r="N134" s="193">
        <f>'Inputs by customer type'!N99</f>
        <v>1347.8960152201341</v>
      </c>
      <c r="O134" s="193">
        <f>'Inputs by customer type'!O99</f>
        <v>0</v>
      </c>
      <c r="P134" s="193">
        <f>'Inputs by customer type'!P99</f>
        <v>0</v>
      </c>
      <c r="Q134" s="126"/>
      <c r="R134" s="126"/>
      <c r="S134" s="126"/>
      <c r="T134" s="126"/>
      <c r="U134" s="126"/>
      <c r="V134" s="126"/>
      <c r="W134" s="126"/>
      <c r="X134" s="126"/>
      <c r="Y134" s="126"/>
      <c r="AQ134" s="3"/>
    </row>
    <row r="135" spans="5:43" x14ac:dyDescent="0.25">
      <c r="E135" s="75"/>
      <c r="F135" s="118" t="s">
        <v>212</v>
      </c>
      <c r="G135" s="118" t="s">
        <v>212</v>
      </c>
      <c r="J135" s="126"/>
      <c r="K135" s="126"/>
      <c r="L135" s="193">
        <f>'Inputs by customer type'!L100</f>
        <v>68.032784225404285</v>
      </c>
      <c r="M135" s="126"/>
      <c r="N135" s="193">
        <f>'Inputs by customer type'!N100</f>
        <v>56.480047281467677</v>
      </c>
      <c r="O135" s="193">
        <f>'Inputs by customer type'!O100</f>
        <v>0</v>
      </c>
      <c r="P135" s="193">
        <f>'Inputs by customer type'!P100</f>
        <v>0</v>
      </c>
      <c r="Q135" s="126"/>
      <c r="R135" s="126"/>
      <c r="S135" s="126"/>
      <c r="T135" s="126"/>
      <c r="U135" s="126"/>
      <c r="V135" s="126"/>
      <c r="W135" s="126"/>
      <c r="X135" s="126"/>
      <c r="Y135" s="126"/>
      <c r="AQ135" s="3"/>
    </row>
    <row r="136" spans="5:43" x14ac:dyDescent="0.25">
      <c r="E136" s="75"/>
      <c r="F136" s="118" t="s">
        <v>250</v>
      </c>
      <c r="G136" s="118" t="s">
        <v>251</v>
      </c>
      <c r="J136" s="126"/>
      <c r="K136" s="126"/>
      <c r="L136" s="193">
        <f>'Inputs by customer type'!L101</f>
        <v>0</v>
      </c>
      <c r="M136" s="126"/>
      <c r="N136" s="193">
        <f>'Inputs by customer type'!N101</f>
        <v>9768.4809048174811</v>
      </c>
      <c r="O136" s="193">
        <f>'Inputs by customer type'!O101</f>
        <v>0</v>
      </c>
      <c r="P136" s="193">
        <f>'Inputs by customer type'!P101</f>
        <v>0</v>
      </c>
      <c r="Q136" s="126"/>
      <c r="R136" s="126"/>
      <c r="S136" s="126"/>
      <c r="T136" s="126"/>
      <c r="U136" s="126"/>
      <c r="V136" s="126"/>
      <c r="W136" s="126"/>
      <c r="X136" s="126"/>
      <c r="Y136" s="126"/>
      <c r="AQ136" s="3"/>
    </row>
    <row r="137" spans="5:43" x14ac:dyDescent="0.25">
      <c r="E137" s="75"/>
      <c r="F137" s="118" t="s">
        <v>252</v>
      </c>
      <c r="G137" s="118" t="s">
        <v>251</v>
      </c>
      <c r="J137" s="126"/>
      <c r="K137" s="126"/>
      <c r="L137" s="193">
        <f>'Inputs by customer type'!L102</f>
        <v>0</v>
      </c>
      <c r="M137" s="126"/>
      <c r="N137" s="193">
        <f>'Inputs by customer type'!N102</f>
        <v>98.103162338540002</v>
      </c>
      <c r="O137" s="193">
        <f>'Inputs by customer type'!O102</f>
        <v>0</v>
      </c>
      <c r="P137" s="193">
        <f>'Inputs by customer type'!P102</f>
        <v>0</v>
      </c>
      <c r="Q137" s="126"/>
      <c r="R137" s="126"/>
      <c r="S137" s="126"/>
      <c r="T137" s="126"/>
      <c r="U137" s="126"/>
      <c r="V137" s="126"/>
      <c r="W137" s="126"/>
      <c r="X137" s="126"/>
      <c r="Y137" s="126"/>
      <c r="AQ137" s="3"/>
    </row>
    <row r="138" spans="5:43" x14ac:dyDescent="0.25">
      <c r="E138" s="75"/>
      <c r="F138" s="120" t="s">
        <v>253</v>
      </c>
      <c r="G138" s="120" t="s">
        <v>254</v>
      </c>
      <c r="H138" s="96"/>
      <c r="I138" s="96"/>
      <c r="J138" s="121"/>
      <c r="K138" s="121"/>
      <c r="L138" s="172">
        <f>'Inputs by customer type'!L103</f>
        <v>0</v>
      </c>
      <c r="M138" s="121"/>
      <c r="N138" s="172">
        <f>'Inputs by customer type'!N103</f>
        <v>254.42933667479551</v>
      </c>
      <c r="O138" s="172">
        <f>'Inputs by customer type'!O103</f>
        <v>0</v>
      </c>
      <c r="P138" s="172">
        <f>'Inputs by customer type'!P103</f>
        <v>0</v>
      </c>
      <c r="Q138" s="121"/>
      <c r="R138" s="121"/>
      <c r="S138" s="121"/>
      <c r="T138" s="121"/>
      <c r="U138" s="121"/>
      <c r="V138" s="121"/>
      <c r="W138" s="121"/>
      <c r="X138" s="121"/>
      <c r="Y138" s="121"/>
      <c r="AQ138" s="3"/>
    </row>
    <row r="139" spans="5:43" x14ac:dyDescent="0.25">
      <c r="AQ139" s="3"/>
    </row>
    <row r="140" spans="5:43" x14ac:dyDescent="0.25">
      <c r="E140" s="75" t="s">
        <v>899</v>
      </c>
      <c r="G140" s="61"/>
      <c r="I140" t="s">
        <v>154</v>
      </c>
      <c r="AQ140" s="3"/>
    </row>
    <row r="141" spans="5:43" x14ac:dyDescent="0.25">
      <c r="E141" s="75"/>
      <c r="F141" s="116" t="s">
        <v>247</v>
      </c>
      <c r="G141" s="116" t="s">
        <v>207</v>
      </c>
      <c r="H141" s="95"/>
      <c r="I141" s="95"/>
      <c r="J141" s="117"/>
      <c r="K141" s="117"/>
      <c r="L141" s="171">
        <f>'Inputs by customer type'!L106</f>
        <v>78.185999999999993</v>
      </c>
      <c r="M141" s="117"/>
      <c r="N141" s="171">
        <f>'Inputs by customer type'!N106</f>
        <v>231.60900000000001</v>
      </c>
      <c r="O141" s="171">
        <f>'Inputs by customer type'!O106</f>
        <v>0</v>
      </c>
      <c r="P141" s="171">
        <f>'Inputs by customer type'!P106</f>
        <v>0</v>
      </c>
      <c r="Q141" s="117"/>
      <c r="R141" s="117"/>
      <c r="S141" s="117"/>
      <c r="T141" s="117"/>
      <c r="U141" s="117"/>
      <c r="V141" s="117"/>
      <c r="W141" s="117"/>
      <c r="X141" s="117"/>
      <c r="Y141" s="117"/>
      <c r="AQ141" s="3"/>
    </row>
    <row r="142" spans="5:43" x14ac:dyDescent="0.25">
      <c r="E142" s="75"/>
      <c r="F142" s="118" t="s">
        <v>248</v>
      </c>
      <c r="G142" s="118" t="s">
        <v>207</v>
      </c>
      <c r="J142" s="126"/>
      <c r="K142" s="126"/>
      <c r="L142" s="193">
        <f>'Inputs by customer type'!L107</f>
        <v>656.98</v>
      </c>
      <c r="M142" s="126"/>
      <c r="N142" s="193">
        <f>'Inputs by customer type'!N107</f>
        <v>1557.96</v>
      </c>
      <c r="O142" s="193">
        <f>'Inputs by customer type'!O107</f>
        <v>0</v>
      </c>
      <c r="P142" s="193">
        <f>'Inputs by customer type'!P107</f>
        <v>0</v>
      </c>
      <c r="Q142" s="126"/>
      <c r="R142" s="126"/>
      <c r="S142" s="126"/>
      <c r="T142" s="126"/>
      <c r="U142" s="126"/>
      <c r="V142" s="126"/>
      <c r="W142" s="126"/>
      <c r="X142" s="126"/>
      <c r="Y142" s="126"/>
      <c r="AQ142" s="3"/>
    </row>
    <row r="143" spans="5:43" x14ac:dyDescent="0.25">
      <c r="E143" s="75"/>
      <c r="F143" s="118" t="s">
        <v>249</v>
      </c>
      <c r="G143" s="118" t="s">
        <v>207</v>
      </c>
      <c r="J143" s="126"/>
      <c r="K143" s="126"/>
      <c r="L143" s="193">
        <f>'Inputs by customer type'!L108</f>
        <v>496.58699999999999</v>
      </c>
      <c r="M143" s="126"/>
      <c r="N143" s="193">
        <f>'Inputs by customer type'!N108</f>
        <v>1215.3820000000001</v>
      </c>
      <c r="O143" s="193">
        <f>'Inputs by customer type'!O108</f>
        <v>0</v>
      </c>
      <c r="P143" s="193">
        <f>'Inputs by customer type'!P108</f>
        <v>0</v>
      </c>
      <c r="Q143" s="126"/>
      <c r="R143" s="126"/>
      <c r="S143" s="126"/>
      <c r="T143" s="126"/>
      <c r="U143" s="126"/>
      <c r="V143" s="126"/>
      <c r="W143" s="126"/>
      <c r="X143" s="126"/>
      <c r="Y143" s="126"/>
      <c r="AQ143" s="3"/>
    </row>
    <row r="144" spans="5:43" x14ac:dyDescent="0.25">
      <c r="E144" s="75"/>
      <c r="F144" s="118" t="s">
        <v>212</v>
      </c>
      <c r="G144" s="118" t="s">
        <v>212</v>
      </c>
      <c r="J144" s="126"/>
      <c r="K144" s="126"/>
      <c r="L144" s="193">
        <f>'Inputs by customer type'!L109</f>
        <v>79.991780821917814</v>
      </c>
      <c r="M144" s="126"/>
      <c r="N144" s="193">
        <f>'Inputs by customer type'!N109</f>
        <v>11.482191780821918</v>
      </c>
      <c r="O144" s="193">
        <f>'Inputs by customer type'!O109</f>
        <v>0</v>
      </c>
      <c r="P144" s="193">
        <f>'Inputs by customer type'!P109</f>
        <v>0</v>
      </c>
      <c r="Q144" s="126"/>
      <c r="R144" s="126"/>
      <c r="S144" s="126"/>
      <c r="T144" s="126"/>
      <c r="U144" s="126"/>
      <c r="V144" s="126"/>
      <c r="W144" s="126"/>
      <c r="X144" s="126"/>
      <c r="Y144" s="126"/>
      <c r="AQ144" s="3"/>
    </row>
    <row r="145" spans="3:43" x14ac:dyDescent="0.25">
      <c r="E145" s="75"/>
      <c r="F145" s="118" t="s">
        <v>250</v>
      </c>
      <c r="G145" s="118" t="s">
        <v>251</v>
      </c>
      <c r="J145" s="126"/>
      <c r="K145" s="126"/>
      <c r="L145" s="193">
        <f>'Inputs by customer type'!L110</f>
        <v>0</v>
      </c>
      <c r="M145" s="126"/>
      <c r="N145" s="193">
        <f>'Inputs by customer type'!N110</f>
        <v>6538.3150684931506</v>
      </c>
      <c r="O145" s="193">
        <f>'Inputs by customer type'!O110</f>
        <v>0</v>
      </c>
      <c r="P145" s="193">
        <f>'Inputs by customer type'!P110</f>
        <v>0</v>
      </c>
      <c r="Q145" s="126"/>
      <c r="R145" s="126"/>
      <c r="S145" s="126"/>
      <c r="T145" s="126"/>
      <c r="U145" s="126"/>
      <c r="V145" s="126"/>
      <c r="W145" s="126"/>
      <c r="X145" s="126"/>
      <c r="Y145" s="126"/>
      <c r="AQ145" s="3"/>
    </row>
    <row r="146" spans="3:43" x14ac:dyDescent="0.25">
      <c r="E146" s="75"/>
      <c r="F146" s="118" t="s">
        <v>252</v>
      </c>
      <c r="G146" s="118" t="s">
        <v>251</v>
      </c>
      <c r="J146" s="126"/>
      <c r="K146" s="126"/>
      <c r="L146" s="193">
        <f>'Inputs by customer type'!L111</f>
        <v>0</v>
      </c>
      <c r="M146" s="126"/>
      <c r="N146" s="193">
        <f>'Inputs by customer type'!N111</f>
        <v>0.42955710508269518</v>
      </c>
      <c r="O146" s="193">
        <f>'Inputs by customer type'!O111</f>
        <v>0</v>
      </c>
      <c r="P146" s="193">
        <f>'Inputs by customer type'!P111</f>
        <v>0</v>
      </c>
      <c r="Q146" s="126"/>
      <c r="R146" s="126"/>
      <c r="S146" s="126"/>
      <c r="T146" s="126"/>
      <c r="U146" s="126"/>
      <c r="V146" s="126"/>
      <c r="W146" s="126"/>
      <c r="X146" s="126"/>
      <c r="Y146" s="126"/>
      <c r="AQ146" s="3"/>
    </row>
    <row r="147" spans="3:43" x14ac:dyDescent="0.25">
      <c r="E147" s="75"/>
      <c r="F147" s="120" t="s">
        <v>253</v>
      </c>
      <c r="G147" s="120" t="s">
        <v>254</v>
      </c>
      <c r="H147" s="96"/>
      <c r="I147" s="96"/>
      <c r="J147" s="121"/>
      <c r="K147" s="121"/>
      <c r="L147" s="172">
        <f>'Inputs by customer type'!L112</f>
        <v>0</v>
      </c>
      <c r="M147" s="121"/>
      <c r="N147" s="172">
        <f>'Inputs by customer type'!N112</f>
        <v>561.73322191689988</v>
      </c>
      <c r="O147" s="172">
        <f>'Inputs by customer type'!O112</f>
        <v>0</v>
      </c>
      <c r="P147" s="172">
        <f>'Inputs by customer type'!P112</f>
        <v>0</v>
      </c>
      <c r="Q147" s="121"/>
      <c r="R147" s="121"/>
      <c r="S147" s="121"/>
      <c r="T147" s="121"/>
      <c r="U147" s="121"/>
      <c r="V147" s="121"/>
      <c r="W147" s="121"/>
      <c r="X147" s="121"/>
      <c r="Y147" s="121"/>
      <c r="AQ147" s="3"/>
    </row>
    <row r="148" spans="3:43" x14ac:dyDescent="0.25">
      <c r="AQ148" s="3"/>
    </row>
    <row r="149" spans="3:43" x14ac:dyDescent="0.25">
      <c r="C149" s="86"/>
      <c r="D149" s="86" t="s">
        <v>909</v>
      </c>
      <c r="AQ149" s="3"/>
    </row>
    <row r="150" spans="3:43" x14ac:dyDescent="0.25">
      <c r="AQ150" s="3"/>
    </row>
    <row r="151" spans="3:43" x14ac:dyDescent="0.25">
      <c r="E151" s="75" t="s">
        <v>860</v>
      </c>
      <c r="G151" s="61"/>
      <c r="I151" t="s">
        <v>154</v>
      </c>
      <c r="AQ151" s="3"/>
    </row>
    <row r="152" spans="3:43" x14ac:dyDescent="0.25">
      <c r="E152" s="75"/>
      <c r="F152" s="116" t="s">
        <v>247</v>
      </c>
      <c r="G152" s="116" t="s">
        <v>207</v>
      </c>
      <c r="H152" s="95"/>
      <c r="I152" s="95"/>
      <c r="J152" s="117"/>
      <c r="K152" s="171">
        <f>'Inputs by customer type'!K117</f>
        <v>0</v>
      </c>
      <c r="L152" s="171">
        <f>'Inputs by customer type'!L117</f>
        <v>70.985493546545925</v>
      </c>
      <c r="M152" s="171">
        <f>'Inputs by customer type'!M117</f>
        <v>0</v>
      </c>
      <c r="N152" s="171">
        <f>'Inputs by customer type'!N117</f>
        <v>12.045770896969415</v>
      </c>
      <c r="O152" s="171">
        <f>'Inputs by customer type'!O117</f>
        <v>0</v>
      </c>
      <c r="P152" s="171">
        <f>'Inputs by customer type'!P117</f>
        <v>0</v>
      </c>
      <c r="Q152" s="117"/>
      <c r="R152" s="171">
        <f>'Inputs by customer type'!R117</f>
        <v>288.39483167076304</v>
      </c>
      <c r="S152" s="171">
        <f>'Inputs by customer type'!S117</f>
        <v>0</v>
      </c>
      <c r="T152" s="171">
        <f>'Inputs by customer type'!T117</f>
        <v>2.3230095129862165</v>
      </c>
      <c r="U152" s="171">
        <f>'Inputs by customer type'!U117</f>
        <v>0</v>
      </c>
      <c r="V152" s="171">
        <f>'Inputs by customer type'!V117</f>
        <v>0</v>
      </c>
      <c r="W152" s="171">
        <f>'Inputs by customer type'!W117</f>
        <v>0</v>
      </c>
      <c r="X152" s="171">
        <f>'Inputs by customer type'!X117</f>
        <v>0</v>
      </c>
      <c r="Y152" s="171">
        <f>'Inputs by customer type'!Y117</f>
        <v>0</v>
      </c>
      <c r="AQ152" s="3"/>
    </row>
    <row r="153" spans="3:43" x14ac:dyDescent="0.25">
      <c r="E153" s="75"/>
      <c r="F153" s="118" t="s">
        <v>248</v>
      </c>
      <c r="G153" s="118" t="s">
        <v>207</v>
      </c>
      <c r="J153" s="126"/>
      <c r="K153" s="193">
        <f>'Inputs by customer type'!K118</f>
        <v>0</v>
      </c>
      <c r="L153" s="193">
        <f>'Inputs by customer type'!L118</f>
        <v>592.05742416768396</v>
      </c>
      <c r="M153" s="193">
        <f>'Inputs by customer type'!M118</f>
        <v>0</v>
      </c>
      <c r="N153" s="193">
        <f>'Inputs by customer type'!N118</f>
        <v>104.91898137272941</v>
      </c>
      <c r="O153" s="193">
        <f>'Inputs by customer type'!O118</f>
        <v>0</v>
      </c>
      <c r="P153" s="193">
        <f>'Inputs by customer type'!P118</f>
        <v>0</v>
      </c>
      <c r="Q153" s="126"/>
      <c r="R153" s="193">
        <f>'Inputs by customer type'!R118</f>
        <v>2734.4347752387589</v>
      </c>
      <c r="S153" s="193">
        <f>'Inputs by customer type'!S118</f>
        <v>0</v>
      </c>
      <c r="T153" s="193">
        <f>'Inputs by customer type'!T118</f>
        <v>28.767744483149521</v>
      </c>
      <c r="U153" s="193">
        <f>'Inputs by customer type'!U118</f>
        <v>0</v>
      </c>
      <c r="V153" s="193">
        <f>'Inputs by customer type'!V118</f>
        <v>0</v>
      </c>
      <c r="W153" s="193">
        <f>'Inputs by customer type'!W118</f>
        <v>0</v>
      </c>
      <c r="X153" s="193">
        <f>'Inputs by customer type'!X118</f>
        <v>0</v>
      </c>
      <c r="Y153" s="193">
        <f>'Inputs by customer type'!Y118</f>
        <v>0</v>
      </c>
      <c r="AQ153" s="3"/>
    </row>
    <row r="154" spans="3:43" x14ac:dyDescent="0.25">
      <c r="E154" s="75"/>
      <c r="F154" s="118" t="s">
        <v>249</v>
      </c>
      <c r="G154" s="118" t="s">
        <v>207</v>
      </c>
      <c r="J154" s="126"/>
      <c r="K154" s="193">
        <f>'Inputs by customer type'!K119</f>
        <v>0</v>
      </c>
      <c r="L154" s="193">
        <f>'Inputs by customer type'!L119</f>
        <v>475.54692631533351</v>
      </c>
      <c r="M154" s="193">
        <f>'Inputs by customer type'!M119</f>
        <v>0</v>
      </c>
      <c r="N154" s="193">
        <f>'Inputs by customer type'!N119</f>
        <v>64.704865253482339</v>
      </c>
      <c r="O154" s="193">
        <f>'Inputs by customer type'!O119</f>
        <v>0</v>
      </c>
      <c r="P154" s="193">
        <f>'Inputs by customer type'!P119</f>
        <v>0</v>
      </c>
      <c r="Q154" s="126"/>
      <c r="R154" s="193">
        <f>'Inputs by customer type'!R119</f>
        <v>1119.1280628397724</v>
      </c>
      <c r="S154" s="193">
        <f>'Inputs by customer type'!S119</f>
        <v>0</v>
      </c>
      <c r="T154" s="193">
        <f>'Inputs by customer type'!T119</f>
        <v>21.818802192518774</v>
      </c>
      <c r="U154" s="193">
        <f>'Inputs by customer type'!U119</f>
        <v>0</v>
      </c>
      <c r="V154" s="193">
        <f>'Inputs by customer type'!V119</f>
        <v>0</v>
      </c>
      <c r="W154" s="193">
        <f>'Inputs by customer type'!W119</f>
        <v>0</v>
      </c>
      <c r="X154" s="193">
        <f>'Inputs by customer type'!X119</f>
        <v>0</v>
      </c>
      <c r="Y154" s="193">
        <f>'Inputs by customer type'!Y119</f>
        <v>0</v>
      </c>
      <c r="AQ154" s="3"/>
    </row>
    <row r="155" spans="3:43" x14ac:dyDescent="0.25">
      <c r="E155" s="75"/>
      <c r="F155" s="118" t="s">
        <v>212</v>
      </c>
      <c r="G155" s="118" t="s">
        <v>212</v>
      </c>
      <c r="J155" s="126"/>
      <c r="K155" s="193">
        <f>'Inputs by customer type'!K120</f>
        <v>0</v>
      </c>
      <c r="L155" s="193">
        <f>'Inputs by customer type'!L120</f>
        <v>133.49829357437818</v>
      </c>
      <c r="M155" s="193">
        <f>'Inputs by customer type'!M120</f>
        <v>0</v>
      </c>
      <c r="N155" s="193">
        <f>'Inputs by customer type'!N120</f>
        <v>3.850912314645524</v>
      </c>
      <c r="O155" s="193">
        <f>'Inputs by customer type'!O120</f>
        <v>0</v>
      </c>
      <c r="P155" s="193">
        <f>'Inputs by customer type'!P120</f>
        <v>0</v>
      </c>
      <c r="Q155" s="126"/>
      <c r="R155" s="193">
        <f>'Inputs by customer type'!R120</f>
        <v>0</v>
      </c>
      <c r="S155" s="193">
        <f>'Inputs by customer type'!S120</f>
        <v>0</v>
      </c>
      <c r="T155" s="193">
        <f>'Inputs by customer type'!T120</f>
        <v>2.5672748764303495</v>
      </c>
      <c r="U155" s="193">
        <f>'Inputs by customer type'!U120</f>
        <v>0</v>
      </c>
      <c r="V155" s="193">
        <f>'Inputs by customer type'!V120</f>
        <v>0</v>
      </c>
      <c r="W155" s="193">
        <f>'Inputs by customer type'!W120</f>
        <v>0</v>
      </c>
      <c r="X155" s="193">
        <f>'Inputs by customer type'!X120</f>
        <v>0</v>
      </c>
      <c r="Y155" s="193">
        <f>'Inputs by customer type'!Y120</f>
        <v>0</v>
      </c>
      <c r="AQ155" s="3"/>
    </row>
    <row r="156" spans="3:43" x14ac:dyDescent="0.25">
      <c r="E156" s="75"/>
      <c r="F156" s="118" t="s">
        <v>250</v>
      </c>
      <c r="G156" s="118" t="s">
        <v>251</v>
      </c>
      <c r="J156" s="126"/>
      <c r="K156" s="193">
        <f>'Inputs by customer type'!K121</f>
        <v>0</v>
      </c>
      <c r="L156" s="193">
        <f>'Inputs by customer type'!L121</f>
        <v>0</v>
      </c>
      <c r="M156" s="193">
        <f>'Inputs by customer type'!M121</f>
        <v>0</v>
      </c>
      <c r="N156" s="193">
        <f>'Inputs by customer type'!N121</f>
        <v>770.18246292910464</v>
      </c>
      <c r="O156" s="193">
        <f>'Inputs by customer type'!O121</f>
        <v>0</v>
      </c>
      <c r="P156" s="193">
        <f>'Inputs by customer type'!P121</f>
        <v>0</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25">
      <c r="E157" s="75"/>
      <c r="F157" s="118" t="s">
        <v>252</v>
      </c>
      <c r="G157" s="118" t="s">
        <v>251</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25">
      <c r="E158" s="75"/>
      <c r="F158" s="120" t="s">
        <v>253</v>
      </c>
      <c r="G158" s="120" t="s">
        <v>254</v>
      </c>
      <c r="H158" s="96"/>
      <c r="I158" s="96"/>
      <c r="J158" s="121"/>
      <c r="K158" s="172">
        <f>'Inputs by customer type'!K123</f>
        <v>0</v>
      </c>
      <c r="L158" s="172">
        <f>'Inputs by customer type'!L123</f>
        <v>0</v>
      </c>
      <c r="M158" s="172">
        <f>'Inputs by customer type'!M123</f>
        <v>0</v>
      </c>
      <c r="N158" s="172">
        <f>'Inputs by customer type'!N123</f>
        <v>3.9307738658755791</v>
      </c>
      <c r="O158" s="172">
        <f>'Inputs by customer type'!O123</f>
        <v>0</v>
      </c>
      <c r="P158" s="172">
        <f>'Inputs by customer type'!P123</f>
        <v>0</v>
      </c>
      <c r="Q158" s="121"/>
      <c r="R158" s="172">
        <f>'Inputs by customer type'!R123</f>
        <v>0</v>
      </c>
      <c r="S158" s="172">
        <f>'Inputs by customer type'!S123</f>
        <v>0</v>
      </c>
      <c r="T158" s="172">
        <f>'Inputs by customer type'!T123</f>
        <v>5.8391330320959867</v>
      </c>
      <c r="U158" s="172">
        <f>'Inputs by customer type'!U123</f>
        <v>0</v>
      </c>
      <c r="V158" s="172">
        <f>'Inputs by customer type'!V123</f>
        <v>0</v>
      </c>
      <c r="W158" s="172">
        <f>'Inputs by customer type'!W123</f>
        <v>0</v>
      </c>
      <c r="X158" s="172">
        <f>'Inputs by customer type'!X123</f>
        <v>0</v>
      </c>
      <c r="Y158" s="172">
        <f>'Inputs by customer type'!Y123</f>
        <v>0</v>
      </c>
      <c r="AQ158" s="3"/>
    </row>
    <row r="159" spans="3:43" x14ac:dyDescent="0.25">
      <c r="AQ159" s="3"/>
    </row>
    <row r="160" spans="3:43" x14ac:dyDescent="0.25">
      <c r="E160" s="75" t="s">
        <v>900</v>
      </c>
      <c r="G160" s="61"/>
      <c r="I160" t="s">
        <v>154</v>
      </c>
      <c r="AQ160" s="3"/>
    </row>
    <row r="161" spans="5:43" x14ac:dyDescent="0.25">
      <c r="E161" s="75"/>
      <c r="F161" s="116" t="s">
        <v>247</v>
      </c>
      <c r="G161" s="116" t="s">
        <v>207</v>
      </c>
      <c r="H161" s="95"/>
      <c r="I161" s="95"/>
      <c r="J161" s="171">
        <f>'Inputs by customer type'!J126</f>
        <v>13965.52024182292</v>
      </c>
      <c r="K161" s="117"/>
      <c r="L161" s="171">
        <f>'Inputs by customer type'!L126</f>
        <v>211.0535821228768</v>
      </c>
      <c r="M161" s="117"/>
      <c r="N161" s="171">
        <f>'Inputs by customer type'!N126</f>
        <v>562.08432284698426</v>
      </c>
      <c r="O161" s="171">
        <f>'Inputs by customer type'!O126</f>
        <v>0</v>
      </c>
      <c r="P161" s="171">
        <f>'Inputs by customer type'!P126</f>
        <v>0</v>
      </c>
      <c r="Q161" s="171">
        <f>'Inputs by customer type'!Q126</f>
        <v>0</v>
      </c>
      <c r="R161" s="117"/>
      <c r="S161" s="117"/>
      <c r="T161" s="117"/>
      <c r="U161" s="117"/>
      <c r="V161" s="117"/>
      <c r="W161" s="117"/>
      <c r="X161" s="117"/>
      <c r="Y161" s="117"/>
      <c r="AQ161" s="3"/>
    </row>
    <row r="162" spans="5:43" x14ac:dyDescent="0.25">
      <c r="E162" s="75"/>
      <c r="F162" s="118" t="s">
        <v>248</v>
      </c>
      <c r="G162" s="118" t="s">
        <v>207</v>
      </c>
      <c r="J162" s="193">
        <f>'Inputs by customer type'!J127</f>
        <v>74417.350985561308</v>
      </c>
      <c r="K162" s="126"/>
      <c r="L162" s="193">
        <f>'Inputs by customer type'!L127</f>
        <v>1747.4831462086197</v>
      </c>
      <c r="M162" s="126"/>
      <c r="N162" s="193">
        <f>'Inputs by customer type'!N127</f>
        <v>3543.7331850241781</v>
      </c>
      <c r="O162" s="193">
        <f>'Inputs by customer type'!O127</f>
        <v>0</v>
      </c>
      <c r="P162" s="193">
        <f>'Inputs by customer type'!P127</f>
        <v>0</v>
      </c>
      <c r="Q162" s="193">
        <f>'Inputs by customer type'!Q127</f>
        <v>0</v>
      </c>
      <c r="R162" s="126"/>
      <c r="S162" s="126"/>
      <c r="T162" s="126"/>
      <c r="U162" s="126"/>
      <c r="V162" s="126"/>
      <c r="W162" s="126"/>
      <c r="X162" s="126"/>
      <c r="Y162" s="126"/>
      <c r="AQ162" s="3"/>
    </row>
    <row r="163" spans="5:43" x14ac:dyDescent="0.25">
      <c r="E163" s="75"/>
      <c r="F163" s="118" t="s">
        <v>249</v>
      </c>
      <c r="G163" s="118" t="s">
        <v>207</v>
      </c>
      <c r="J163" s="193">
        <f>'Inputs by customer type'!J128</f>
        <v>76556.398456911411</v>
      </c>
      <c r="K163" s="126"/>
      <c r="L163" s="193">
        <f>'Inputs by customer type'!L128</f>
        <v>1333.8253788269296</v>
      </c>
      <c r="M163" s="126"/>
      <c r="N163" s="193">
        <f>'Inputs by customer type'!N128</f>
        <v>2921.0587052619221</v>
      </c>
      <c r="O163" s="193">
        <f>'Inputs by customer type'!O128</f>
        <v>0</v>
      </c>
      <c r="P163" s="193">
        <f>'Inputs by customer type'!P128</f>
        <v>0</v>
      </c>
      <c r="Q163" s="193">
        <f>'Inputs by customer type'!Q128</f>
        <v>0</v>
      </c>
      <c r="R163" s="126"/>
      <c r="S163" s="126"/>
      <c r="T163" s="126"/>
      <c r="U163" s="126"/>
      <c r="V163" s="126"/>
      <c r="W163" s="126"/>
      <c r="X163" s="126"/>
      <c r="Y163" s="126"/>
      <c r="AQ163" s="3"/>
    </row>
    <row r="164" spans="5:43" x14ac:dyDescent="0.25">
      <c r="E164" s="75"/>
      <c r="F164" s="118" t="s">
        <v>212</v>
      </c>
      <c r="G164" s="118" t="s">
        <v>212</v>
      </c>
      <c r="J164" s="193">
        <f>'Inputs by customer type'!J129</f>
        <v>61570.95336142907</v>
      </c>
      <c r="K164" s="126"/>
      <c r="L164" s="193">
        <f>'Inputs by customer type'!L129</f>
        <v>560.94956050003134</v>
      </c>
      <c r="M164" s="126"/>
      <c r="N164" s="193">
        <f>'Inputs by customer type'!N129</f>
        <v>74.450971416480158</v>
      </c>
      <c r="O164" s="193">
        <f>'Inputs by customer type'!O129</f>
        <v>0</v>
      </c>
      <c r="P164" s="193">
        <f>'Inputs by customer type'!P129</f>
        <v>0</v>
      </c>
      <c r="Q164" s="193">
        <f>'Inputs by customer type'!Q129</f>
        <v>0</v>
      </c>
      <c r="R164" s="126"/>
      <c r="S164" s="126"/>
      <c r="T164" s="126"/>
      <c r="U164" s="126"/>
      <c r="V164" s="126"/>
      <c r="W164" s="126"/>
      <c r="X164" s="126"/>
      <c r="Y164" s="126"/>
      <c r="AQ164" s="3"/>
    </row>
    <row r="165" spans="5:43" x14ac:dyDescent="0.25">
      <c r="E165" s="75"/>
      <c r="F165" s="118" t="s">
        <v>250</v>
      </c>
      <c r="G165" s="118" t="s">
        <v>251</v>
      </c>
      <c r="J165" s="193">
        <f>'Inputs by customer type'!J130</f>
        <v>0</v>
      </c>
      <c r="K165" s="126"/>
      <c r="L165" s="193">
        <f>'Inputs by customer type'!L130</f>
        <v>0</v>
      </c>
      <c r="M165" s="126"/>
      <c r="N165" s="193">
        <f>'Inputs by customer type'!N130</f>
        <v>4282.2144938858219</v>
      </c>
      <c r="O165" s="193">
        <f>'Inputs by customer type'!O130</f>
        <v>0</v>
      </c>
      <c r="P165" s="193">
        <f>'Inputs by customer type'!P130</f>
        <v>0</v>
      </c>
      <c r="Q165" s="193">
        <f>'Inputs by customer type'!Q130</f>
        <v>0</v>
      </c>
      <c r="R165" s="126"/>
      <c r="S165" s="126"/>
      <c r="T165" s="126"/>
      <c r="U165" s="126"/>
      <c r="V165" s="126"/>
      <c r="W165" s="126"/>
      <c r="X165" s="126"/>
      <c r="Y165" s="126"/>
      <c r="AQ165" s="3"/>
    </row>
    <row r="166" spans="5:43" x14ac:dyDescent="0.25">
      <c r="E166" s="75"/>
      <c r="F166" s="118" t="s">
        <v>252</v>
      </c>
      <c r="G166" s="118" t="s">
        <v>251</v>
      </c>
      <c r="J166" s="193">
        <f>'Inputs by customer type'!J131</f>
        <v>0</v>
      </c>
      <c r="K166" s="126"/>
      <c r="L166" s="193">
        <f>'Inputs by customer type'!L131</f>
        <v>0</v>
      </c>
      <c r="M166" s="126"/>
      <c r="N166" s="193">
        <f>'Inputs by customer type'!N131</f>
        <v>135.48997157803211</v>
      </c>
      <c r="O166" s="193">
        <f>'Inputs by customer type'!O131</f>
        <v>0</v>
      </c>
      <c r="P166" s="193">
        <f>'Inputs by customer type'!P131</f>
        <v>0</v>
      </c>
      <c r="Q166" s="193">
        <f>'Inputs by customer type'!Q131</f>
        <v>0</v>
      </c>
      <c r="R166" s="126"/>
      <c r="S166" s="126"/>
      <c r="T166" s="126"/>
      <c r="U166" s="126"/>
      <c r="V166" s="126"/>
      <c r="W166" s="126"/>
      <c r="X166" s="126"/>
      <c r="Y166" s="126"/>
      <c r="AQ166" s="3"/>
    </row>
    <row r="167" spans="5:43" x14ac:dyDescent="0.25">
      <c r="E167" s="75"/>
      <c r="F167" s="120" t="s">
        <v>253</v>
      </c>
      <c r="G167" s="120" t="s">
        <v>254</v>
      </c>
      <c r="H167" s="96"/>
      <c r="I167" s="96"/>
      <c r="J167" s="172">
        <f>'Inputs by customer type'!J132</f>
        <v>0</v>
      </c>
      <c r="K167" s="121"/>
      <c r="L167" s="172">
        <f>'Inputs by customer type'!L132</f>
        <v>0</v>
      </c>
      <c r="M167" s="121"/>
      <c r="N167" s="172">
        <f>'Inputs by customer type'!N132</f>
        <v>373.10185788891516</v>
      </c>
      <c r="O167" s="172">
        <f>'Inputs by customer type'!O132</f>
        <v>0</v>
      </c>
      <c r="P167" s="172">
        <f>'Inputs by customer type'!P132</f>
        <v>0</v>
      </c>
      <c r="Q167" s="172">
        <f>'Inputs by customer type'!Q132</f>
        <v>0</v>
      </c>
      <c r="R167" s="121"/>
      <c r="S167" s="121"/>
      <c r="T167" s="121"/>
      <c r="U167" s="121"/>
      <c r="V167" s="121"/>
      <c r="W167" s="121"/>
      <c r="X167" s="121"/>
      <c r="Y167" s="121"/>
      <c r="AQ167" s="3"/>
    </row>
    <row r="168" spans="5:43" x14ac:dyDescent="0.25">
      <c r="AQ168" s="3"/>
    </row>
    <row r="169" spans="5:43" x14ac:dyDescent="0.25">
      <c r="E169" s="75" t="s">
        <v>901</v>
      </c>
      <c r="G169" s="61"/>
      <c r="I169" t="s">
        <v>154</v>
      </c>
      <c r="AQ169" s="3"/>
    </row>
    <row r="170" spans="5:43" x14ac:dyDescent="0.25">
      <c r="E170" s="75"/>
      <c r="F170" s="116" t="s">
        <v>247</v>
      </c>
      <c r="G170" s="116" t="s">
        <v>207</v>
      </c>
      <c r="H170" s="95"/>
      <c r="I170" s="95"/>
      <c r="J170" s="117"/>
      <c r="K170" s="117"/>
      <c r="L170" s="171">
        <f>'Inputs by customer type'!L135</f>
        <v>169.76903162227174</v>
      </c>
      <c r="M170" s="117"/>
      <c r="N170" s="171">
        <f>'Inputs by customer type'!N135</f>
        <v>1221.6881531936185</v>
      </c>
      <c r="O170" s="171">
        <f>'Inputs by customer type'!O135</f>
        <v>0.38774383891471487</v>
      </c>
      <c r="P170" s="171">
        <f>'Inputs by customer type'!P135</f>
        <v>222.94135647985203</v>
      </c>
      <c r="Q170" s="117"/>
      <c r="R170" s="117"/>
      <c r="S170" s="117"/>
      <c r="T170" s="117"/>
      <c r="U170" s="117"/>
      <c r="V170" s="117"/>
      <c r="W170" s="117"/>
      <c r="X170" s="117"/>
      <c r="Y170" s="117"/>
      <c r="AQ170" s="3"/>
    </row>
    <row r="171" spans="5:43" x14ac:dyDescent="0.25">
      <c r="E171" s="75"/>
      <c r="F171" s="118" t="s">
        <v>248</v>
      </c>
      <c r="G171" s="118" t="s">
        <v>207</v>
      </c>
      <c r="J171" s="126"/>
      <c r="K171" s="126"/>
      <c r="L171" s="193">
        <f>'Inputs by customer type'!L136</f>
        <v>1418.2264322956496</v>
      </c>
      <c r="M171" s="126"/>
      <c r="N171" s="193">
        <f>'Inputs by customer type'!N136</f>
        <v>8467.1384504198923</v>
      </c>
      <c r="O171" s="193">
        <f>'Inputs by customer type'!O136</f>
        <v>2.4852648185313768</v>
      </c>
      <c r="P171" s="193">
        <f>'Inputs by customer type'!P136</f>
        <v>1768.12828960659</v>
      </c>
      <c r="Q171" s="126"/>
      <c r="R171" s="126"/>
      <c r="S171" s="126"/>
      <c r="T171" s="126"/>
      <c r="U171" s="126"/>
      <c r="V171" s="126"/>
      <c r="W171" s="126"/>
      <c r="X171" s="126"/>
      <c r="Y171" s="126"/>
      <c r="AQ171" s="3"/>
    </row>
    <row r="172" spans="5:43" x14ac:dyDescent="0.25">
      <c r="E172" s="75"/>
      <c r="F172" s="118" t="s">
        <v>249</v>
      </c>
      <c r="G172" s="118" t="s">
        <v>207</v>
      </c>
      <c r="J172" s="126"/>
      <c r="K172" s="126"/>
      <c r="L172" s="193">
        <f>'Inputs by customer type'!L137</f>
        <v>1060.2979989450546</v>
      </c>
      <c r="M172" s="126"/>
      <c r="N172" s="193">
        <f>'Inputs by customer type'!N137</f>
        <v>7079.7738942261676</v>
      </c>
      <c r="O172" s="193">
        <f>'Inputs by customer type'!O137</f>
        <v>3.4592126789653053</v>
      </c>
      <c r="P172" s="193">
        <f>'Inputs by customer type'!P137</f>
        <v>1450.7985885421429</v>
      </c>
      <c r="Q172" s="126"/>
      <c r="R172" s="126"/>
      <c r="S172" s="126"/>
      <c r="T172" s="126"/>
      <c r="U172" s="126"/>
      <c r="V172" s="126"/>
      <c r="W172" s="126"/>
      <c r="X172" s="126"/>
      <c r="Y172" s="126"/>
      <c r="AQ172" s="3"/>
    </row>
    <row r="173" spans="5:43" x14ac:dyDescent="0.25">
      <c r="E173" s="75"/>
      <c r="F173" s="118" t="s">
        <v>212</v>
      </c>
      <c r="G173" s="118" t="s">
        <v>212</v>
      </c>
      <c r="J173" s="126"/>
      <c r="K173" s="126"/>
      <c r="L173" s="193">
        <f>'Inputs by customer type'!L138</f>
        <v>386.37486890276762</v>
      </c>
      <c r="M173" s="126"/>
      <c r="N173" s="193">
        <f>'Inputs by customer type'!N138</f>
        <v>143.76739308009954</v>
      </c>
      <c r="O173" s="193">
        <f>'Inputs by customer type'!O138</f>
        <v>2.5672748764303495</v>
      </c>
      <c r="P173" s="193">
        <f>'Inputs by customer type'!P138</f>
        <v>3.850912314645524</v>
      </c>
      <c r="Q173" s="126"/>
      <c r="R173" s="126"/>
      <c r="S173" s="126"/>
      <c r="T173" s="126"/>
      <c r="U173" s="126"/>
      <c r="V173" s="126"/>
      <c r="W173" s="126"/>
      <c r="X173" s="126"/>
      <c r="Y173" s="126"/>
      <c r="AQ173" s="3"/>
    </row>
    <row r="174" spans="5:43" x14ac:dyDescent="0.25">
      <c r="E174" s="75"/>
      <c r="F174" s="118" t="s">
        <v>250</v>
      </c>
      <c r="G174" s="118" t="s">
        <v>251</v>
      </c>
      <c r="J174" s="126"/>
      <c r="K174" s="126"/>
      <c r="L174" s="193">
        <f>'Inputs by customer type'!L139</f>
        <v>0</v>
      </c>
      <c r="M174" s="126"/>
      <c r="N174" s="193">
        <f>'Inputs by customer type'!N139</f>
        <v>19656.340091388967</v>
      </c>
      <c r="O174" s="193">
        <f>'Inputs by customer type'!O139</f>
        <v>355.5675703856034</v>
      </c>
      <c r="P174" s="193">
        <f>'Inputs by customer type'!P139</f>
        <v>3080.7298517164186</v>
      </c>
      <c r="Q174" s="126"/>
      <c r="R174" s="126"/>
      <c r="S174" s="126"/>
      <c r="T174" s="126"/>
      <c r="U174" s="126"/>
      <c r="V174" s="126"/>
      <c r="W174" s="126"/>
      <c r="X174" s="126"/>
      <c r="Y174" s="126"/>
      <c r="AQ174" s="3"/>
    </row>
    <row r="175" spans="5:43" x14ac:dyDescent="0.25">
      <c r="E175" s="75"/>
      <c r="F175" s="118" t="s">
        <v>252</v>
      </c>
      <c r="G175" s="118" t="s">
        <v>251</v>
      </c>
      <c r="J175" s="126"/>
      <c r="K175" s="126"/>
      <c r="L175" s="193">
        <f>'Inputs by customer type'!L140</f>
        <v>0</v>
      </c>
      <c r="M175" s="126"/>
      <c r="N175" s="193">
        <f>'Inputs by customer type'!N140</f>
        <v>8.6985313779245779</v>
      </c>
      <c r="O175" s="193">
        <f>'Inputs by customer type'!O140</f>
        <v>0</v>
      </c>
      <c r="P175" s="193">
        <f>'Inputs by customer type'!P140</f>
        <v>0</v>
      </c>
      <c r="Q175" s="126"/>
      <c r="R175" s="126"/>
      <c r="S175" s="126"/>
      <c r="T175" s="126"/>
      <c r="U175" s="126"/>
      <c r="V175" s="126"/>
      <c r="W175" s="126"/>
      <c r="X175" s="126"/>
      <c r="Y175" s="126"/>
      <c r="AQ175" s="3"/>
    </row>
    <row r="176" spans="5:43" x14ac:dyDescent="0.25">
      <c r="E176" s="75"/>
      <c r="F176" s="120" t="s">
        <v>253</v>
      </c>
      <c r="G176" s="120" t="s">
        <v>254</v>
      </c>
      <c r="H176" s="96"/>
      <c r="I176" s="96"/>
      <c r="J176" s="121"/>
      <c r="K176" s="121"/>
      <c r="L176" s="172">
        <f>'Inputs by customer type'!L141</f>
        <v>0</v>
      </c>
      <c r="M176" s="121"/>
      <c r="N176" s="172">
        <f>'Inputs by customer type'!N141</f>
        <v>1151.9678766385236</v>
      </c>
      <c r="O176" s="172">
        <f>'Inputs by customer type'!O141</f>
        <v>0</v>
      </c>
      <c r="P176" s="172">
        <f>'Inputs by customer type'!P141</f>
        <v>0.47150504326395015</v>
      </c>
      <c r="Q176" s="121"/>
      <c r="R176" s="121"/>
      <c r="S176" s="121"/>
      <c r="T176" s="121"/>
      <c r="U176" s="121"/>
      <c r="V176" s="121"/>
      <c r="W176" s="121"/>
      <c r="X176" s="121"/>
      <c r="Y176" s="121"/>
      <c r="AQ176" s="3"/>
    </row>
    <row r="177" spans="5:43" x14ac:dyDescent="0.25">
      <c r="AQ177" s="3"/>
    </row>
    <row r="178" spans="5:43" x14ac:dyDescent="0.25">
      <c r="E178" s="75" t="s">
        <v>902</v>
      </c>
      <c r="G178" s="61"/>
      <c r="I178" t="s">
        <v>154</v>
      </c>
      <c r="AQ178" s="3"/>
    </row>
    <row r="179" spans="5:43" x14ac:dyDescent="0.25">
      <c r="E179" s="75"/>
      <c r="F179" s="116" t="s">
        <v>247</v>
      </c>
      <c r="G179" s="116" t="s">
        <v>207</v>
      </c>
      <c r="H179" s="95"/>
      <c r="I179" s="95"/>
      <c r="J179" s="117"/>
      <c r="K179" s="117"/>
      <c r="L179" s="171">
        <f>'Inputs by customer type'!L144</f>
        <v>217.93925999372698</v>
      </c>
      <c r="M179" s="117"/>
      <c r="N179" s="171">
        <f>'Inputs by customer type'!N144</f>
        <v>879.2166259620443</v>
      </c>
      <c r="O179" s="171">
        <f>'Inputs by customer type'!O144</f>
        <v>54.790446415701311</v>
      </c>
      <c r="P179" s="171">
        <f>'Inputs by customer type'!P144</f>
        <v>458.69120612505856</v>
      </c>
      <c r="Q179" s="117"/>
      <c r="R179" s="117"/>
      <c r="S179" s="117"/>
      <c r="T179" s="117"/>
      <c r="U179" s="117"/>
      <c r="V179" s="117"/>
      <c r="W179" s="117"/>
      <c r="X179" s="117"/>
      <c r="Y179" s="117"/>
      <c r="AQ179" s="3"/>
    </row>
    <row r="180" spans="5:43" x14ac:dyDescent="0.25">
      <c r="E180" s="75"/>
      <c r="F180" s="118" t="s">
        <v>248</v>
      </c>
      <c r="G180" s="118" t="s">
        <v>207</v>
      </c>
      <c r="J180" s="126"/>
      <c r="K180" s="126"/>
      <c r="L180" s="193">
        <f>'Inputs by customer type'!L145</f>
        <v>1781.6554912068107</v>
      </c>
      <c r="M180" s="126"/>
      <c r="N180" s="193">
        <f>'Inputs by customer type'!N145</f>
        <v>5849.8864446908874</v>
      </c>
      <c r="O180" s="193">
        <f>'Inputs by customer type'!O145</f>
        <v>301.23743141410893</v>
      </c>
      <c r="P180" s="193">
        <f>'Inputs by customer type'!P145</f>
        <v>2906.1966948994973</v>
      </c>
      <c r="Q180" s="126"/>
      <c r="R180" s="126"/>
      <c r="S180" s="126"/>
      <c r="T180" s="126"/>
      <c r="U180" s="126"/>
      <c r="V180" s="126"/>
      <c r="W180" s="126"/>
      <c r="X180" s="126"/>
      <c r="Y180" s="126"/>
      <c r="AQ180" s="3"/>
    </row>
    <row r="181" spans="5:43" x14ac:dyDescent="0.25">
      <c r="E181" s="75"/>
      <c r="F181" s="118" t="s">
        <v>249</v>
      </c>
      <c r="G181" s="118" t="s">
        <v>207</v>
      </c>
      <c r="J181" s="126"/>
      <c r="K181" s="126"/>
      <c r="L181" s="193">
        <f>'Inputs by customer type'!L146</f>
        <v>1376.5411593478129</v>
      </c>
      <c r="M181" s="126"/>
      <c r="N181" s="193">
        <f>'Inputs by customer type'!N146</f>
        <v>5022.1244925955807</v>
      </c>
      <c r="O181" s="193">
        <f>'Inputs by customer type'!O146</f>
        <v>373.68096625992473</v>
      </c>
      <c r="P181" s="193">
        <f>'Inputs by customer type'!P146</f>
        <v>3538.9172771830781</v>
      </c>
      <c r="Q181" s="126"/>
      <c r="R181" s="126"/>
      <c r="S181" s="126"/>
      <c r="T181" s="126"/>
      <c r="U181" s="126"/>
      <c r="V181" s="126"/>
      <c r="W181" s="126"/>
      <c r="X181" s="126"/>
      <c r="Y181" s="126"/>
      <c r="AQ181" s="3"/>
    </row>
    <row r="182" spans="5:43" x14ac:dyDescent="0.25">
      <c r="E182" s="75"/>
      <c r="F182" s="118" t="s">
        <v>212</v>
      </c>
      <c r="G182" s="118" t="s">
        <v>212</v>
      </c>
      <c r="J182" s="126"/>
      <c r="K182" s="126"/>
      <c r="L182" s="193">
        <f>'Inputs by customer type'!L147</f>
        <v>274.69841177804739</v>
      </c>
      <c r="M182" s="126"/>
      <c r="N182" s="193">
        <f>'Inputs by customer type'!N147</f>
        <v>70.600059101834617</v>
      </c>
      <c r="O182" s="193">
        <f>'Inputs by customer type'!O147</f>
        <v>1.2836374382151747</v>
      </c>
      <c r="P182" s="193">
        <f>'Inputs by customer type'!P147</f>
        <v>5.1345497528606989</v>
      </c>
      <c r="Q182" s="126"/>
      <c r="R182" s="126"/>
      <c r="S182" s="126"/>
      <c r="T182" s="126"/>
      <c r="U182" s="126"/>
      <c r="V182" s="126"/>
      <c r="W182" s="126"/>
      <c r="X182" s="126"/>
      <c r="Y182" s="126"/>
      <c r="AQ182" s="3"/>
    </row>
    <row r="183" spans="5:43" x14ac:dyDescent="0.25">
      <c r="E183" s="75"/>
      <c r="F183" s="118" t="s">
        <v>250</v>
      </c>
      <c r="G183" s="118" t="s">
        <v>251</v>
      </c>
      <c r="J183" s="126"/>
      <c r="K183" s="126"/>
      <c r="L183" s="193">
        <f>'Inputs by customer type'!L148</f>
        <v>0</v>
      </c>
      <c r="M183" s="126"/>
      <c r="N183" s="193">
        <f>'Inputs by customer type'!N148</f>
        <v>13782.415174116331</v>
      </c>
      <c r="O183" s="193">
        <f>'Inputs by customer type'!O148</f>
        <v>263.14567483411082</v>
      </c>
      <c r="P183" s="193">
        <f>'Inputs by customer type'!P148</f>
        <v>6674.9146787189075</v>
      </c>
      <c r="Q183" s="126"/>
      <c r="R183" s="126"/>
      <c r="S183" s="126"/>
      <c r="T183" s="126"/>
      <c r="U183" s="126"/>
      <c r="V183" s="126"/>
      <c r="W183" s="126"/>
      <c r="X183" s="126"/>
      <c r="Y183" s="126"/>
      <c r="AQ183" s="3"/>
    </row>
    <row r="184" spans="5:43" x14ac:dyDescent="0.25">
      <c r="E184" s="75"/>
      <c r="F184" s="118" t="s">
        <v>252</v>
      </c>
      <c r="G184" s="118" t="s">
        <v>251</v>
      </c>
      <c r="J184" s="126"/>
      <c r="K184" s="126"/>
      <c r="L184" s="193">
        <f>'Inputs by customer type'!L149</f>
        <v>0</v>
      </c>
      <c r="M184" s="126"/>
      <c r="N184" s="193">
        <f>'Inputs by customer type'!N149</f>
        <v>36.820882928827466</v>
      </c>
      <c r="O184" s="193">
        <f>'Inputs by customer type'!O149</f>
        <v>0</v>
      </c>
      <c r="P184" s="193">
        <f>'Inputs by customer type'!P149</f>
        <v>0</v>
      </c>
      <c r="Q184" s="126"/>
      <c r="R184" s="126"/>
      <c r="S184" s="126"/>
      <c r="T184" s="126"/>
      <c r="U184" s="126"/>
      <c r="V184" s="126"/>
      <c r="W184" s="126"/>
      <c r="X184" s="126"/>
      <c r="Y184" s="126"/>
      <c r="AQ184" s="3"/>
    </row>
    <row r="185" spans="5:43" x14ac:dyDescent="0.25">
      <c r="E185" s="75"/>
      <c r="F185" s="120" t="s">
        <v>253</v>
      </c>
      <c r="G185" s="120" t="s">
        <v>254</v>
      </c>
      <c r="H185" s="96"/>
      <c r="I185" s="96"/>
      <c r="J185" s="121"/>
      <c r="K185" s="121"/>
      <c r="L185" s="172">
        <f>'Inputs by customer type'!L150</f>
        <v>0</v>
      </c>
      <c r="M185" s="121"/>
      <c r="N185" s="172">
        <f>'Inputs by customer type'!N150</f>
        <v>754.33685858150238</v>
      </c>
      <c r="O185" s="172">
        <f>'Inputs by customer type'!O150</f>
        <v>0.6820664859261435</v>
      </c>
      <c r="P185" s="172">
        <f>'Inputs by customer type'!P150</f>
        <v>277.223424074891</v>
      </c>
      <c r="Q185" s="121"/>
      <c r="R185" s="121"/>
      <c r="S185" s="121"/>
      <c r="T185" s="121"/>
      <c r="U185" s="121"/>
      <c r="V185" s="121"/>
      <c r="W185" s="121"/>
      <c r="X185" s="121"/>
      <c r="Y185" s="121"/>
      <c r="AQ185" s="3"/>
    </row>
    <row r="186" spans="5:43" x14ac:dyDescent="0.25">
      <c r="AQ186" s="3"/>
    </row>
    <row r="187" spans="5:43" x14ac:dyDescent="0.25">
      <c r="E187" s="75" t="s">
        <v>903</v>
      </c>
      <c r="G187" s="61"/>
      <c r="I187" t="s">
        <v>154</v>
      </c>
      <c r="AQ187" s="3"/>
    </row>
    <row r="188" spans="5:43" x14ac:dyDescent="0.25">
      <c r="E188" s="75"/>
      <c r="F188" s="116" t="s">
        <v>247</v>
      </c>
      <c r="G188" s="116" t="s">
        <v>207</v>
      </c>
      <c r="H188" s="95"/>
      <c r="I188" s="95"/>
      <c r="J188" s="117"/>
      <c r="K188" s="117"/>
      <c r="L188" s="171">
        <f>'Inputs by customer type'!L153</f>
        <v>363.416</v>
      </c>
      <c r="M188" s="117"/>
      <c r="N188" s="171">
        <f>'Inputs by customer type'!N153</f>
        <v>3482.2709999999997</v>
      </c>
      <c r="O188" s="171">
        <f>'Inputs by customer type'!O153</f>
        <v>1278.9470000000001</v>
      </c>
      <c r="P188" s="171">
        <f>'Inputs by customer type'!P153</f>
        <v>192.81700000000001</v>
      </c>
      <c r="Q188" s="117"/>
      <c r="R188" s="117"/>
      <c r="S188" s="117"/>
      <c r="T188" s="117"/>
      <c r="U188" s="117"/>
      <c r="V188" s="117"/>
      <c r="W188" s="117"/>
      <c r="X188" s="117"/>
      <c r="Y188" s="117"/>
      <c r="AQ188" s="3"/>
    </row>
    <row r="189" spans="5:43" x14ac:dyDescent="0.25">
      <c r="E189" s="75"/>
      <c r="F189" s="118" t="s">
        <v>248</v>
      </c>
      <c r="G189" s="118" t="s">
        <v>207</v>
      </c>
      <c r="J189" s="126"/>
      <c r="K189" s="126"/>
      <c r="L189" s="193">
        <f>'Inputs by customer type'!L154</f>
        <v>2871.8290000000002</v>
      </c>
      <c r="M189" s="126"/>
      <c r="N189" s="193">
        <f>'Inputs by customer type'!N154</f>
        <v>23055.248</v>
      </c>
      <c r="O189" s="193">
        <f>'Inputs by customer type'!O154</f>
        <v>8233.9170000000013</v>
      </c>
      <c r="P189" s="193">
        <f>'Inputs by customer type'!P154</f>
        <v>1277.2540000000001</v>
      </c>
      <c r="Q189" s="126"/>
      <c r="R189" s="126"/>
      <c r="S189" s="126"/>
      <c r="T189" s="126"/>
      <c r="U189" s="126"/>
      <c r="V189" s="126"/>
      <c r="W189" s="126"/>
      <c r="X189" s="126"/>
      <c r="Y189" s="126"/>
      <c r="AQ189" s="3"/>
    </row>
    <row r="190" spans="5:43" x14ac:dyDescent="0.25">
      <c r="E190" s="75"/>
      <c r="F190" s="118" t="s">
        <v>249</v>
      </c>
      <c r="G190" s="118" t="s">
        <v>207</v>
      </c>
      <c r="J190" s="126"/>
      <c r="K190" s="126"/>
      <c r="L190" s="193">
        <f>'Inputs by customer type'!L155</f>
        <v>2256.2660000000001</v>
      </c>
      <c r="M190" s="126"/>
      <c r="N190" s="193">
        <f>'Inputs by customer type'!N155</f>
        <v>21992.912</v>
      </c>
      <c r="O190" s="193">
        <f>'Inputs by customer type'!O155</f>
        <v>6473.2839999999997</v>
      </c>
      <c r="P190" s="193">
        <f>'Inputs by customer type'!P155</f>
        <v>1450.789</v>
      </c>
      <c r="Q190" s="126"/>
      <c r="R190" s="126"/>
      <c r="S190" s="126"/>
      <c r="T190" s="126"/>
      <c r="U190" s="126"/>
      <c r="V190" s="126"/>
      <c r="W190" s="126"/>
      <c r="X190" s="126"/>
      <c r="Y190" s="126"/>
      <c r="AQ190" s="3"/>
    </row>
    <row r="191" spans="5:43" x14ac:dyDescent="0.25">
      <c r="E191" s="75"/>
      <c r="F191" s="118" t="s">
        <v>212</v>
      </c>
      <c r="G191" s="118" t="s">
        <v>212</v>
      </c>
      <c r="J191" s="126"/>
      <c r="K191" s="126"/>
      <c r="L191" s="193">
        <f>'Inputs by customer type'!L156</f>
        <v>122.35616438356165</v>
      </c>
      <c r="M191" s="126"/>
      <c r="N191" s="193">
        <f>'Inputs by customer type'!N156</f>
        <v>103.84931506849315</v>
      </c>
      <c r="O191" s="193">
        <f>'Inputs by customer type'!O156</f>
        <v>28.265753424657536</v>
      </c>
      <c r="P191" s="193">
        <f>'Inputs by customer type'!P156</f>
        <v>2.4136986301369863</v>
      </c>
      <c r="Q191" s="126"/>
      <c r="R191" s="126"/>
      <c r="S191" s="126"/>
      <c r="T191" s="126"/>
      <c r="U191" s="126"/>
      <c r="V191" s="126"/>
      <c r="W191" s="126"/>
      <c r="X191" s="126"/>
      <c r="Y191" s="126"/>
      <c r="AQ191" s="3"/>
    </row>
    <row r="192" spans="5:43" x14ac:dyDescent="0.25">
      <c r="E192" s="75"/>
      <c r="F192" s="118" t="s">
        <v>250</v>
      </c>
      <c r="G192" s="118" t="s">
        <v>251</v>
      </c>
      <c r="J192" s="126"/>
      <c r="K192" s="126"/>
      <c r="L192" s="193">
        <f>'Inputs by customer type'!L157</f>
        <v>0</v>
      </c>
      <c r="M192" s="126"/>
      <c r="N192" s="193">
        <f>'Inputs by customer type'!N157</f>
        <v>56907.356164383564</v>
      </c>
      <c r="O192" s="193">
        <f>'Inputs by customer type'!O157</f>
        <v>20910.413698630138</v>
      </c>
      <c r="P192" s="193">
        <f>'Inputs by customer type'!P157</f>
        <v>9191.0958904109593</v>
      </c>
      <c r="Q192" s="126"/>
      <c r="R192" s="126"/>
      <c r="S192" s="126"/>
      <c r="T192" s="126"/>
      <c r="U192" s="126"/>
      <c r="V192" s="126"/>
      <c r="W192" s="126"/>
      <c r="X192" s="126"/>
      <c r="Y192" s="126"/>
      <c r="AQ192" s="3"/>
    </row>
    <row r="193" spans="4:43" x14ac:dyDescent="0.25">
      <c r="E193" s="75"/>
      <c r="F193" s="118" t="s">
        <v>252</v>
      </c>
      <c r="G193" s="118" t="s">
        <v>251</v>
      </c>
      <c r="J193" s="126"/>
      <c r="K193" s="126"/>
      <c r="L193" s="193">
        <f>'Inputs by customer type'!L158</f>
        <v>0</v>
      </c>
      <c r="M193" s="126"/>
      <c r="N193" s="193">
        <f>'Inputs by customer type'!N158</f>
        <v>112.94607990012896</v>
      </c>
      <c r="O193" s="193">
        <f>'Inputs by customer type'!O158</f>
        <v>0</v>
      </c>
      <c r="P193" s="193">
        <f>'Inputs by customer type'!P158</f>
        <v>0</v>
      </c>
      <c r="Q193" s="126"/>
      <c r="R193" s="126"/>
      <c r="S193" s="126"/>
      <c r="T193" s="126"/>
      <c r="U193" s="126"/>
      <c r="V193" s="126"/>
      <c r="W193" s="126"/>
      <c r="X193" s="126"/>
      <c r="Y193" s="126"/>
      <c r="AQ193" s="3"/>
    </row>
    <row r="194" spans="4:43" x14ac:dyDescent="0.25">
      <c r="E194" s="75"/>
      <c r="F194" s="120" t="s">
        <v>253</v>
      </c>
      <c r="G194" s="120" t="s">
        <v>254</v>
      </c>
      <c r="H194" s="96"/>
      <c r="I194" s="96"/>
      <c r="J194" s="121"/>
      <c r="K194" s="121"/>
      <c r="L194" s="172">
        <f>'Inputs by customer type'!L159</f>
        <v>0</v>
      </c>
      <c r="M194" s="121"/>
      <c r="N194" s="172">
        <f>'Inputs by customer type'!N159</f>
        <v>4319.2549914540596</v>
      </c>
      <c r="O194" s="172">
        <f>'Inputs by customer type'!O159</f>
        <v>689.60628538872209</v>
      </c>
      <c r="P194" s="172">
        <f>'Inputs by customer type'!P159</f>
        <v>2.2164755623706265</v>
      </c>
      <c r="Q194" s="121"/>
      <c r="R194" s="121"/>
      <c r="S194" s="121"/>
      <c r="T194" s="121"/>
      <c r="U194" s="121"/>
      <c r="V194" s="121"/>
      <c r="W194" s="121"/>
      <c r="X194" s="121"/>
      <c r="Y194" s="121"/>
      <c r="AQ194" s="3"/>
    </row>
    <row r="195" spans="4:43" x14ac:dyDescent="0.25">
      <c r="AQ195" s="3"/>
    </row>
    <row r="196" spans="4:43" x14ac:dyDescent="0.25">
      <c r="D196" s="86" t="s">
        <v>910</v>
      </c>
      <c r="AQ196" s="3"/>
    </row>
    <row r="197" spans="4:43" x14ac:dyDescent="0.25">
      <c r="AQ197" s="3"/>
    </row>
    <row r="198" spans="4:43" x14ac:dyDescent="0.25">
      <c r="E198" s="75" t="s">
        <v>245</v>
      </c>
      <c r="G198" s="61"/>
      <c r="I198" t="s">
        <v>154</v>
      </c>
      <c r="AA198" t="s">
        <v>246</v>
      </c>
    </row>
    <row r="199" spans="4:43" x14ac:dyDescent="0.25">
      <c r="E199" s="75"/>
      <c r="F199" s="116" t="s">
        <v>247</v>
      </c>
      <c r="G199" s="116" t="s">
        <v>207</v>
      </c>
      <c r="H199" s="95"/>
      <c r="I199" s="95"/>
      <c r="J199" s="147">
        <f t="shared" ref="J199:Y199" si="2">SUM( J67, J76, J85, J94, J58 )</f>
        <v>414037.19304487581</v>
      </c>
      <c r="K199" s="147">
        <f t="shared" si="2"/>
        <v>42.949716657044405</v>
      </c>
      <c r="L199" s="147">
        <f t="shared" si="2"/>
        <v>110088.00677178671</v>
      </c>
      <c r="M199" s="147">
        <f t="shared" si="2"/>
        <v>25.765928672816155</v>
      </c>
      <c r="N199" s="147">
        <f t="shared" si="2"/>
        <v>85202.271335446232</v>
      </c>
      <c r="O199" s="147">
        <f t="shared" si="2"/>
        <v>41762.91758939116</v>
      </c>
      <c r="P199" s="147">
        <f t="shared" si="2"/>
        <v>127162.21885976374</v>
      </c>
      <c r="Q199" s="147">
        <f t="shared" si="2"/>
        <v>3120.7676206896554</v>
      </c>
      <c r="R199" s="147">
        <f t="shared" si="2"/>
        <v>8383.1643992456902</v>
      </c>
      <c r="S199" s="147">
        <f t="shared" si="2"/>
        <v>1036.7343209799037</v>
      </c>
      <c r="T199" s="147">
        <f t="shared" si="2"/>
        <v>4622.4246135079247</v>
      </c>
      <c r="U199" s="147">
        <f t="shared" si="2"/>
        <v>0</v>
      </c>
      <c r="V199" s="147">
        <f t="shared" si="2"/>
        <v>0</v>
      </c>
      <c r="W199" s="147">
        <f t="shared" si="2"/>
        <v>0</v>
      </c>
      <c r="X199" s="147">
        <f t="shared" si="2"/>
        <v>53814.546731455142</v>
      </c>
      <c r="Y199" s="147">
        <f t="shared" si="2"/>
        <v>0</v>
      </c>
    </row>
    <row r="200" spans="4:43" x14ac:dyDescent="0.25">
      <c r="E200" s="75"/>
      <c r="F200" s="118" t="s">
        <v>248</v>
      </c>
      <c r="G200" s="118" t="s">
        <v>207</v>
      </c>
      <c r="J200" s="194">
        <f t="shared" ref="J200:Y200" si="3">SUM( J68, J77, J86, J95, J59 )</f>
        <v>2220877.655844843</v>
      </c>
      <c r="K200" s="194">
        <f t="shared" si="3"/>
        <v>3119.337000290659</v>
      </c>
      <c r="L200" s="194">
        <f t="shared" si="3"/>
        <v>925404.4910993278</v>
      </c>
      <c r="M200" s="194">
        <f t="shared" si="3"/>
        <v>1609.0521821484306</v>
      </c>
      <c r="N200" s="194">
        <f t="shared" si="3"/>
        <v>615580.62619348883</v>
      </c>
      <c r="O200" s="194">
        <f t="shared" si="3"/>
        <v>301802.96291770652</v>
      </c>
      <c r="P200" s="194">
        <f t="shared" si="3"/>
        <v>894896.56140108604</v>
      </c>
      <c r="Q200" s="195">
        <f t="shared" si="3"/>
        <v>32439.529862068968</v>
      </c>
      <c r="R200" s="195">
        <f t="shared" si="3"/>
        <v>76699.786920797414</v>
      </c>
      <c r="S200" s="195">
        <f t="shared" si="3"/>
        <v>8528.2795750860623</v>
      </c>
      <c r="T200" s="194">
        <f t="shared" si="3"/>
        <v>38095.306630822713</v>
      </c>
      <c r="U200" s="194">
        <f t="shared" si="3"/>
        <v>0</v>
      </c>
      <c r="V200" s="194">
        <f t="shared" si="3"/>
        <v>0</v>
      </c>
      <c r="W200" s="194">
        <f t="shared" si="3"/>
        <v>0</v>
      </c>
      <c r="X200" s="194">
        <f t="shared" si="3"/>
        <v>302507.33246507391</v>
      </c>
      <c r="Y200" s="194">
        <f t="shared" si="3"/>
        <v>0</v>
      </c>
    </row>
    <row r="201" spans="4:43" x14ac:dyDescent="0.25">
      <c r="E201" s="75"/>
      <c r="F201" s="118" t="s">
        <v>249</v>
      </c>
      <c r="G201" s="118" t="s">
        <v>207</v>
      </c>
      <c r="J201" s="194">
        <f t="shared" ref="J201:Y201" si="4">SUM( J69, J78, J87, J96, J60 )</f>
        <v>2541068.4625321021</v>
      </c>
      <c r="K201" s="194">
        <f t="shared" si="4"/>
        <v>24081.62170271924</v>
      </c>
      <c r="L201" s="194">
        <f t="shared" si="4"/>
        <v>765610.0715014356</v>
      </c>
      <c r="M201" s="194">
        <f t="shared" si="4"/>
        <v>11325.873677164167</v>
      </c>
      <c r="N201" s="194">
        <f t="shared" si="4"/>
        <v>549162.68533486512</v>
      </c>
      <c r="O201" s="194">
        <f t="shared" si="4"/>
        <v>300866.36854291469</v>
      </c>
      <c r="P201" s="194">
        <f t="shared" si="4"/>
        <v>1021357.851144088</v>
      </c>
      <c r="Q201" s="195">
        <f t="shared" si="4"/>
        <v>72051.073000000004</v>
      </c>
      <c r="R201" s="195">
        <f t="shared" si="4"/>
        <v>33364.652963362067</v>
      </c>
      <c r="S201" s="195">
        <f t="shared" si="4"/>
        <v>8832.4293538785987</v>
      </c>
      <c r="T201" s="194">
        <f t="shared" si="4"/>
        <v>44866.446029929481</v>
      </c>
      <c r="U201" s="194">
        <f t="shared" si="4"/>
        <v>0</v>
      </c>
      <c r="V201" s="194">
        <f t="shared" si="4"/>
        <v>0</v>
      </c>
      <c r="W201" s="194">
        <f t="shared" si="4"/>
        <v>0</v>
      </c>
      <c r="X201" s="194">
        <f t="shared" si="4"/>
        <v>259913.71528039253</v>
      </c>
      <c r="Y201" s="194">
        <f t="shared" si="4"/>
        <v>0</v>
      </c>
    </row>
    <row r="202" spans="4:43" x14ac:dyDescent="0.25">
      <c r="E202" s="75"/>
      <c r="F202" s="118" t="s">
        <v>212</v>
      </c>
      <c r="G202" s="118" t="s">
        <v>212</v>
      </c>
      <c r="J202" s="194">
        <f t="shared" ref="J202:Y202" si="5">SUM( J70, J79, J88, J97, J61 )</f>
        <v>1518684.7490630394</v>
      </c>
      <c r="K202" s="194">
        <f t="shared" si="5"/>
        <v>0</v>
      </c>
      <c r="L202" s="194">
        <f t="shared" si="5"/>
        <v>142032.03403810595</v>
      </c>
      <c r="M202" s="194">
        <f t="shared" si="5"/>
        <v>0</v>
      </c>
      <c r="N202" s="194">
        <f t="shared" si="5"/>
        <v>8310.5109530058926</v>
      </c>
      <c r="O202" s="194">
        <f t="shared" si="5"/>
        <v>1705.7023088860701</v>
      </c>
      <c r="P202" s="194">
        <f t="shared" si="5"/>
        <v>1118.9950573685107</v>
      </c>
      <c r="Q202" s="194">
        <f t="shared" si="5"/>
        <v>2437</v>
      </c>
      <c r="R202" s="194">
        <f t="shared" si="5"/>
        <v>0</v>
      </c>
      <c r="S202" s="194">
        <f t="shared" si="5"/>
        <v>0</v>
      </c>
      <c r="T202" s="194">
        <f t="shared" si="5"/>
        <v>0</v>
      </c>
      <c r="U202" s="194">
        <f t="shared" si="5"/>
        <v>0</v>
      </c>
      <c r="V202" s="194">
        <f t="shared" si="5"/>
        <v>0</v>
      </c>
      <c r="W202" s="194">
        <f t="shared" si="5"/>
        <v>0</v>
      </c>
      <c r="X202" s="194">
        <f t="shared" si="5"/>
        <v>304.24933518428963</v>
      </c>
      <c r="Y202" s="194">
        <f t="shared" si="5"/>
        <v>0</v>
      </c>
    </row>
    <row r="203" spans="4:43" x14ac:dyDescent="0.25">
      <c r="E203" s="75"/>
      <c r="F203" s="118" t="s">
        <v>250</v>
      </c>
      <c r="G203" s="118" t="s">
        <v>251</v>
      </c>
      <c r="J203" s="119"/>
      <c r="K203" s="119"/>
      <c r="L203" s="119"/>
      <c r="M203" s="119"/>
      <c r="N203" s="194">
        <f t="shared" ref="N203:P205" si="6">SUM( N71, N80, N89, N98, N62 )</f>
        <v>848047.93436293432</v>
      </c>
      <c r="O203" s="194">
        <f t="shared" si="6"/>
        <v>377470.80246913573</v>
      </c>
      <c r="P203" s="194">
        <f t="shared" si="6"/>
        <v>963270.48084759561</v>
      </c>
      <c r="Q203" s="119"/>
      <c r="R203" s="119"/>
      <c r="S203" s="119"/>
      <c r="T203" s="119"/>
      <c r="U203" s="119"/>
      <c r="V203" s="119"/>
      <c r="W203" s="119"/>
      <c r="X203" s="119"/>
      <c r="Y203" s="119"/>
    </row>
    <row r="204" spans="4:43" x14ac:dyDescent="0.25">
      <c r="E204" s="75"/>
      <c r="F204" s="118" t="s">
        <v>252</v>
      </c>
      <c r="G204" s="118" t="s">
        <v>251</v>
      </c>
      <c r="J204" s="119"/>
      <c r="K204" s="119"/>
      <c r="L204" s="119"/>
      <c r="M204" s="119"/>
      <c r="N204" s="194">
        <f t="shared" si="6"/>
        <v>24533.109589041098</v>
      </c>
      <c r="O204" s="194">
        <f t="shared" si="6"/>
        <v>4606.4986301369854</v>
      </c>
      <c r="P204" s="194">
        <f t="shared" si="6"/>
        <v>12022.446575342467</v>
      </c>
      <c r="Q204" s="119"/>
      <c r="R204" s="119"/>
      <c r="S204" s="119"/>
      <c r="T204" s="119"/>
      <c r="U204" s="119"/>
      <c r="V204" s="119"/>
      <c r="W204" s="119"/>
      <c r="X204" s="119"/>
      <c r="Y204" s="119"/>
    </row>
    <row r="205" spans="4:43" x14ac:dyDescent="0.25">
      <c r="E205" s="75"/>
      <c r="F205" s="120" t="s">
        <v>253</v>
      </c>
      <c r="G205" s="120" t="s">
        <v>254</v>
      </c>
      <c r="H205" s="96"/>
      <c r="I205" s="96"/>
      <c r="J205" s="121"/>
      <c r="K205" s="121"/>
      <c r="L205" s="121"/>
      <c r="M205" s="121"/>
      <c r="N205" s="173">
        <f t="shared" si="6"/>
        <v>100196.57600000002</v>
      </c>
      <c r="O205" s="173">
        <f t="shared" si="6"/>
        <v>59056.909999999989</v>
      </c>
      <c r="P205" s="173">
        <f t="shared" si="6"/>
        <v>152148.94899999999</v>
      </c>
      <c r="Q205" s="121"/>
      <c r="R205" s="121"/>
      <c r="S205" s="121"/>
      <c r="T205" s="173">
        <f>SUM( T73, T82, T91, T100, T64 )</f>
        <v>6042.679000000001</v>
      </c>
      <c r="U205" s="121"/>
      <c r="V205" s="173">
        <f>SUM( V73, V82, V91, V100, V64 )</f>
        <v>0</v>
      </c>
      <c r="W205" s="121"/>
      <c r="X205" s="173">
        <f>SUM( X73, X82, X91, X100, X64 )</f>
        <v>8398.768</v>
      </c>
      <c r="Y205" s="121"/>
    </row>
    <row r="206" spans="4:43" s="14" customFormat="1" x14ac:dyDescent="0.2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25">
      <c r="E207" s="75" t="s">
        <v>255</v>
      </c>
      <c r="G207" s="120"/>
      <c r="H207" s="96"/>
      <c r="I207" t="s">
        <v>154</v>
      </c>
      <c r="J207" s="196"/>
      <c r="K207" s="196"/>
      <c r="L207" s="196"/>
      <c r="M207" s="196"/>
      <c r="N207" s="196"/>
      <c r="O207" s="196"/>
      <c r="P207" s="196"/>
      <c r="Q207" s="196"/>
      <c r="R207" s="196"/>
      <c r="S207" s="196"/>
      <c r="T207" s="196"/>
      <c r="U207" s="196"/>
      <c r="V207" s="196"/>
      <c r="W207" s="196"/>
      <c r="X207" s="196"/>
      <c r="Y207" s="196"/>
      <c r="AA207" t="s">
        <v>246</v>
      </c>
    </row>
    <row r="208" spans="4:43" x14ac:dyDescent="0.25">
      <c r="E208" s="75"/>
      <c r="F208" s="116" t="s">
        <v>247</v>
      </c>
      <c r="G208" s="118" t="s">
        <v>207</v>
      </c>
      <c r="I208" s="95"/>
      <c r="J208" s="147">
        <f t="shared" ref="J208:N211" si="7">SUM( J114, J123, J132, J141, J105 )</f>
        <v>4412.0021358793929</v>
      </c>
      <c r="K208" s="147">
        <f t="shared" si="7"/>
        <v>0</v>
      </c>
      <c r="L208" s="147">
        <f t="shared" si="7"/>
        <v>203.10297598575704</v>
      </c>
      <c r="M208" s="147">
        <f t="shared" si="7"/>
        <v>0</v>
      </c>
      <c r="N208" s="147">
        <f t="shared" si="7"/>
        <v>845.13694087396425</v>
      </c>
      <c r="O208" s="117"/>
      <c r="P208" s="117"/>
      <c r="Q208" s="147">
        <f t="shared" ref="Q208:R211" si="8">SUM( Q114, Q123, Q132, Q141, Q105 )</f>
        <v>3.5402788970786112</v>
      </c>
      <c r="R208" s="147">
        <f t="shared" si="8"/>
        <v>135.12309960616332</v>
      </c>
      <c r="S208" s="117"/>
      <c r="T208" s="147">
        <f>SUM( T114, T123, T132, T141, T105 )</f>
        <v>0</v>
      </c>
      <c r="U208" s="117"/>
      <c r="V208" s="117"/>
      <c r="W208" s="117"/>
      <c r="X208" s="117"/>
      <c r="Y208" s="117"/>
    </row>
    <row r="209" spans="5:27" x14ac:dyDescent="0.25">
      <c r="E209" s="75"/>
      <c r="F209" s="118" t="s">
        <v>248</v>
      </c>
      <c r="G209" s="118" t="s">
        <v>207</v>
      </c>
      <c r="J209" s="194">
        <f t="shared" si="7"/>
        <v>23560.34322446982</v>
      </c>
      <c r="K209" s="194">
        <f t="shared" si="7"/>
        <v>0</v>
      </c>
      <c r="L209" s="194">
        <f t="shared" si="7"/>
        <v>1698.4647304204614</v>
      </c>
      <c r="M209" s="194">
        <f t="shared" si="7"/>
        <v>0</v>
      </c>
      <c r="N209" s="194">
        <f t="shared" si="7"/>
        <v>5758.2767006258937</v>
      </c>
      <c r="O209" s="119"/>
      <c r="P209" s="119"/>
      <c r="Q209" s="195">
        <f t="shared" si="8"/>
        <v>54.762000803164575</v>
      </c>
      <c r="R209" s="195">
        <f t="shared" si="8"/>
        <v>1233.0122325268569</v>
      </c>
      <c r="S209" s="119"/>
      <c r="T209" s="194">
        <f>SUM( T115, T124, T133, T142, T106 )</f>
        <v>0</v>
      </c>
      <c r="U209" s="119"/>
      <c r="V209" s="119"/>
      <c r="W209" s="119"/>
      <c r="X209" s="119"/>
      <c r="Y209" s="119"/>
    </row>
    <row r="210" spans="5:27" x14ac:dyDescent="0.25">
      <c r="E210" s="75"/>
      <c r="F210" s="118" t="s">
        <v>249</v>
      </c>
      <c r="G210" s="118" t="s">
        <v>207</v>
      </c>
      <c r="J210" s="194">
        <f t="shared" si="7"/>
        <v>24322.859805914686</v>
      </c>
      <c r="K210" s="194">
        <f t="shared" si="7"/>
        <v>0</v>
      </c>
      <c r="L210" s="194">
        <f t="shared" si="7"/>
        <v>1291.5002309372014</v>
      </c>
      <c r="M210" s="194">
        <f t="shared" si="7"/>
        <v>0</v>
      </c>
      <c r="N210" s="194">
        <f t="shared" si="7"/>
        <v>4060.276656623812</v>
      </c>
      <c r="O210" s="119"/>
      <c r="P210" s="119"/>
      <c r="Q210" s="195">
        <f t="shared" si="8"/>
        <v>78.61836209396057</v>
      </c>
      <c r="R210" s="195">
        <f t="shared" si="8"/>
        <v>536.82082476268477</v>
      </c>
      <c r="S210" s="119"/>
      <c r="T210" s="194">
        <f>SUM( T116, T125, T134, T143, T107 )</f>
        <v>0</v>
      </c>
      <c r="U210" s="119"/>
      <c r="V210" s="119"/>
      <c r="W210" s="119"/>
      <c r="X210" s="119"/>
      <c r="Y210" s="119"/>
    </row>
    <row r="211" spans="5:27" x14ac:dyDescent="0.25">
      <c r="E211" s="75"/>
      <c r="F211" s="118" t="s">
        <v>212</v>
      </c>
      <c r="G211" s="118" t="s">
        <v>212</v>
      </c>
      <c r="J211" s="194">
        <f t="shared" si="7"/>
        <v>19353.401655970189</v>
      </c>
      <c r="K211" s="194">
        <f t="shared" si="7"/>
        <v>0</v>
      </c>
      <c r="L211" s="194">
        <f t="shared" si="7"/>
        <v>400.90114037571152</v>
      </c>
      <c r="M211" s="194">
        <f t="shared" si="7"/>
        <v>0</v>
      </c>
      <c r="N211" s="194">
        <f t="shared" si="7"/>
        <v>129.57683609661797</v>
      </c>
      <c r="O211" s="119"/>
      <c r="P211" s="119"/>
      <c r="Q211" s="194">
        <f t="shared" si="8"/>
        <v>0</v>
      </c>
      <c r="R211" s="194">
        <f t="shared" si="8"/>
        <v>0</v>
      </c>
      <c r="S211" s="119"/>
      <c r="T211" s="194">
        <f>SUM( T117, T126, T135, T144, T108 )</f>
        <v>0</v>
      </c>
      <c r="U211" s="119"/>
      <c r="V211" s="119"/>
      <c r="W211" s="119"/>
      <c r="X211" s="119"/>
      <c r="Y211" s="119"/>
    </row>
    <row r="212" spans="5:27" x14ac:dyDescent="0.25">
      <c r="E212" s="75"/>
      <c r="F212" s="118" t="s">
        <v>250</v>
      </c>
      <c r="G212" s="118" t="s">
        <v>251</v>
      </c>
      <c r="J212" s="119"/>
      <c r="K212" s="119"/>
      <c r="L212" s="119"/>
      <c r="M212" s="119"/>
      <c r="N212" s="194">
        <f>SUM( N118, N127, N136, N145, N109 )</f>
        <v>22916.245142680567</v>
      </c>
      <c r="O212" s="119"/>
      <c r="P212" s="119"/>
      <c r="Q212" s="119"/>
      <c r="R212" s="119"/>
      <c r="S212" s="119"/>
      <c r="T212" s="119"/>
      <c r="U212" s="119"/>
      <c r="V212" s="119"/>
      <c r="W212" s="119"/>
      <c r="X212" s="119"/>
      <c r="Y212" s="119"/>
    </row>
    <row r="213" spans="5:27" x14ac:dyDescent="0.25">
      <c r="E213" s="75"/>
      <c r="F213" s="118" t="s">
        <v>252</v>
      </c>
      <c r="G213" s="118" t="s">
        <v>251</v>
      </c>
      <c r="J213" s="119"/>
      <c r="K213" s="119"/>
      <c r="L213" s="119"/>
      <c r="M213" s="119"/>
      <c r="N213" s="194">
        <f>SUM( N119, N128, N137, N146, N110 )</f>
        <v>131.36459670372344</v>
      </c>
      <c r="O213" s="119"/>
      <c r="P213" s="119"/>
      <c r="Q213" s="119"/>
      <c r="R213" s="119"/>
      <c r="S213" s="119"/>
      <c r="T213" s="119"/>
      <c r="U213" s="119"/>
      <c r="V213" s="119"/>
      <c r="W213" s="119"/>
      <c r="X213" s="119"/>
      <c r="Y213" s="119"/>
    </row>
    <row r="214" spans="5:27" x14ac:dyDescent="0.25">
      <c r="E214" s="75"/>
      <c r="F214" s="120" t="s">
        <v>253</v>
      </c>
      <c r="G214" s="120" t="s">
        <v>254</v>
      </c>
      <c r="H214" s="96"/>
      <c r="I214" s="96"/>
      <c r="J214" s="121"/>
      <c r="K214" s="121"/>
      <c r="L214" s="121"/>
      <c r="M214" s="121"/>
      <c r="N214" s="173">
        <f>SUM( N120, N129, N138, N147, N111 )</f>
        <v>1263.4976027064799</v>
      </c>
      <c r="O214" s="121"/>
      <c r="P214" s="121"/>
      <c r="Q214" s="121"/>
      <c r="R214" s="121"/>
      <c r="S214" s="121"/>
      <c r="T214" s="173">
        <f>SUM( T120, T129, T138, T147, T111 )</f>
        <v>0</v>
      </c>
      <c r="U214" s="121"/>
      <c r="V214" s="121"/>
      <c r="W214" s="121"/>
      <c r="X214" s="121"/>
      <c r="Y214" s="121"/>
    </row>
    <row r="215" spans="5:27" s="14" customFormat="1" x14ac:dyDescent="0.2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25">
      <c r="E216" s="75" t="s">
        <v>256</v>
      </c>
      <c r="G216" s="120"/>
      <c r="H216" s="96"/>
      <c r="I216" t="s">
        <v>154</v>
      </c>
      <c r="J216" s="196"/>
      <c r="K216" s="196"/>
      <c r="L216" s="196"/>
      <c r="M216" s="196"/>
      <c r="N216" s="196"/>
      <c r="O216" s="196"/>
      <c r="P216" s="196"/>
      <c r="Q216" s="196"/>
      <c r="R216" s="196"/>
      <c r="S216" s="196"/>
      <c r="T216" s="196"/>
      <c r="U216" s="196"/>
      <c r="V216" s="196"/>
      <c r="W216" s="196"/>
      <c r="X216" s="196"/>
      <c r="Y216" s="196"/>
      <c r="AA216" t="s">
        <v>246</v>
      </c>
    </row>
    <row r="217" spans="5:27" x14ac:dyDescent="0.25">
      <c r="F217" s="116" t="s">
        <v>247</v>
      </c>
      <c r="G217" s="118" t="s">
        <v>207</v>
      </c>
      <c r="I217" s="95"/>
      <c r="J217" s="147">
        <f t="shared" ref="J217:T217" si="9">SUM( J161, J170, J179, J188, J152 )</f>
        <v>13965.52024182292</v>
      </c>
      <c r="K217" s="147">
        <f t="shared" si="9"/>
        <v>0</v>
      </c>
      <c r="L217" s="147">
        <f t="shared" si="9"/>
        <v>1033.1633672854214</v>
      </c>
      <c r="M217" s="147">
        <f t="shared" si="9"/>
        <v>0</v>
      </c>
      <c r="N217" s="147">
        <f t="shared" si="9"/>
        <v>6157.3058728996166</v>
      </c>
      <c r="O217" s="147">
        <f t="shared" si="9"/>
        <v>1334.1251902546162</v>
      </c>
      <c r="P217" s="147">
        <f t="shared" si="9"/>
        <v>874.44956260491062</v>
      </c>
      <c r="Q217" s="147">
        <f t="shared" si="9"/>
        <v>0</v>
      </c>
      <c r="R217" s="147">
        <f t="shared" si="9"/>
        <v>288.39483167076304</v>
      </c>
      <c r="S217" s="147">
        <f t="shared" si="9"/>
        <v>0</v>
      </c>
      <c r="T217" s="147">
        <f t="shared" si="9"/>
        <v>2.3230095129862165</v>
      </c>
      <c r="U217" s="117"/>
      <c r="V217" s="147">
        <f>SUM( V161, V170, V179, V188, V152 )</f>
        <v>0</v>
      </c>
      <c r="W217" s="117"/>
      <c r="X217" s="147">
        <f>SUM( X161, X170, X179, X188, X152 )</f>
        <v>0</v>
      </c>
      <c r="Y217" s="117"/>
    </row>
    <row r="218" spans="5:27" x14ac:dyDescent="0.25">
      <c r="F218" s="118" t="s">
        <v>248</v>
      </c>
      <c r="G218" s="118" t="s">
        <v>207</v>
      </c>
      <c r="J218" s="194">
        <f t="shared" ref="J218:T218" si="10">SUM( J162, J171, J180, J189, J153 )</f>
        <v>74417.350985561308</v>
      </c>
      <c r="K218" s="194">
        <f t="shared" si="10"/>
        <v>0</v>
      </c>
      <c r="L218" s="194">
        <f t="shared" si="10"/>
        <v>8411.2514938787644</v>
      </c>
      <c r="M218" s="194">
        <f t="shared" si="10"/>
        <v>0</v>
      </c>
      <c r="N218" s="194">
        <f t="shared" si="10"/>
        <v>41020.925061507689</v>
      </c>
      <c r="O218" s="194">
        <f t="shared" si="10"/>
        <v>8537.6396962326417</v>
      </c>
      <c r="P218" s="194">
        <f t="shared" si="10"/>
        <v>5951.5789845060872</v>
      </c>
      <c r="Q218" s="195">
        <f t="shared" si="10"/>
        <v>0</v>
      </c>
      <c r="R218" s="195">
        <f t="shared" si="10"/>
        <v>2734.4347752387589</v>
      </c>
      <c r="S218" s="195">
        <f t="shared" si="10"/>
        <v>0</v>
      </c>
      <c r="T218" s="194">
        <f t="shared" si="10"/>
        <v>28.767744483149521</v>
      </c>
      <c r="U218" s="119"/>
      <c r="V218" s="194">
        <f>SUM( V162, V171, V180, V189, V153 )</f>
        <v>0</v>
      </c>
      <c r="W218" s="119"/>
      <c r="X218" s="194">
        <f>SUM( X162, X171, X180, X189, X153 )</f>
        <v>0</v>
      </c>
      <c r="Y218" s="119"/>
    </row>
    <row r="219" spans="5:27" x14ac:dyDescent="0.25">
      <c r="F219" s="118" t="s">
        <v>249</v>
      </c>
      <c r="G219" s="118" t="s">
        <v>207</v>
      </c>
      <c r="J219" s="194">
        <f t="shared" ref="J219:T219" si="11">SUM( J163, J172, J181, J190, J154 )</f>
        <v>76556.398456911411</v>
      </c>
      <c r="K219" s="194">
        <f t="shared" si="11"/>
        <v>0</v>
      </c>
      <c r="L219" s="194">
        <f t="shared" si="11"/>
        <v>6502.4774634351306</v>
      </c>
      <c r="M219" s="194">
        <f t="shared" si="11"/>
        <v>0</v>
      </c>
      <c r="N219" s="194">
        <f t="shared" si="11"/>
        <v>37080.573957337147</v>
      </c>
      <c r="O219" s="194">
        <f t="shared" si="11"/>
        <v>6850.4241789388898</v>
      </c>
      <c r="P219" s="194">
        <f t="shared" si="11"/>
        <v>6440.504865725221</v>
      </c>
      <c r="Q219" s="195">
        <f t="shared" si="11"/>
        <v>0</v>
      </c>
      <c r="R219" s="195">
        <f t="shared" si="11"/>
        <v>1119.1280628397724</v>
      </c>
      <c r="S219" s="195">
        <f t="shared" si="11"/>
        <v>0</v>
      </c>
      <c r="T219" s="194">
        <f t="shared" si="11"/>
        <v>21.818802192518774</v>
      </c>
      <c r="U219" s="119"/>
      <c r="V219" s="194">
        <f>SUM( V163, V172, V181, V190, V154 )</f>
        <v>0</v>
      </c>
      <c r="W219" s="119"/>
      <c r="X219" s="194">
        <f>SUM( X163, X172, X181, X190, X154 )</f>
        <v>0</v>
      </c>
      <c r="Y219" s="119"/>
    </row>
    <row r="220" spans="5:27" x14ac:dyDescent="0.25">
      <c r="F220" s="118" t="s">
        <v>212</v>
      </c>
      <c r="G220" s="118" t="s">
        <v>212</v>
      </c>
      <c r="J220" s="194">
        <f t="shared" ref="J220:T220" si="12">SUM( J164, J173, J182, J191, J155 )</f>
        <v>61570.95336142907</v>
      </c>
      <c r="K220" s="194">
        <f t="shared" si="12"/>
        <v>0</v>
      </c>
      <c r="L220" s="194">
        <f t="shared" si="12"/>
        <v>1477.8772991387864</v>
      </c>
      <c r="M220" s="194">
        <f t="shared" si="12"/>
        <v>0</v>
      </c>
      <c r="N220" s="194">
        <f t="shared" si="12"/>
        <v>396.51865098155298</v>
      </c>
      <c r="O220" s="194">
        <f t="shared" si="12"/>
        <v>32.116665739303059</v>
      </c>
      <c r="P220" s="194">
        <f t="shared" si="12"/>
        <v>11.399160697643209</v>
      </c>
      <c r="Q220" s="194">
        <f t="shared" si="12"/>
        <v>0</v>
      </c>
      <c r="R220" s="194">
        <f t="shared" si="12"/>
        <v>0</v>
      </c>
      <c r="S220" s="194">
        <f t="shared" si="12"/>
        <v>0</v>
      </c>
      <c r="T220" s="194">
        <f t="shared" si="12"/>
        <v>2.5672748764303495</v>
      </c>
      <c r="U220" s="119"/>
      <c r="V220" s="194">
        <f>SUM( V164, V173, V182, V191, V155 )</f>
        <v>0</v>
      </c>
      <c r="W220" s="119"/>
      <c r="X220" s="194">
        <f>SUM( X164, X173, X182, X191, X155 )</f>
        <v>0</v>
      </c>
      <c r="Y220" s="119"/>
    </row>
    <row r="221" spans="5:27" x14ac:dyDescent="0.25">
      <c r="F221" s="118" t="s">
        <v>250</v>
      </c>
      <c r="G221" s="118" t="s">
        <v>251</v>
      </c>
      <c r="J221" s="119"/>
      <c r="K221" s="119"/>
      <c r="L221" s="119"/>
      <c r="M221" s="119"/>
      <c r="N221" s="194">
        <f t="shared" ref="N221:P223" si="13">SUM( N165, N174, N183, N192, N156 )</f>
        <v>95398.50838670379</v>
      </c>
      <c r="O221" s="194">
        <f t="shared" si="13"/>
        <v>21529.126943849853</v>
      </c>
      <c r="P221" s="194">
        <f t="shared" si="13"/>
        <v>18946.740420846283</v>
      </c>
      <c r="Q221" s="119"/>
      <c r="R221" s="119"/>
      <c r="S221" s="119"/>
      <c r="T221" s="119"/>
      <c r="U221" s="119"/>
      <c r="V221" s="119"/>
      <c r="W221" s="119"/>
      <c r="X221" s="119"/>
      <c r="Y221" s="119"/>
    </row>
    <row r="222" spans="5:27" x14ac:dyDescent="0.25">
      <c r="F222" s="118" t="s">
        <v>252</v>
      </c>
      <c r="G222" s="118" t="s">
        <v>251</v>
      </c>
      <c r="J222" s="119"/>
      <c r="K222" s="119"/>
      <c r="L222" s="119"/>
      <c r="M222" s="119"/>
      <c r="N222" s="194">
        <f t="shared" si="13"/>
        <v>293.95546578491314</v>
      </c>
      <c r="O222" s="194">
        <f t="shared" si="13"/>
        <v>0</v>
      </c>
      <c r="P222" s="194">
        <f t="shared" si="13"/>
        <v>0</v>
      </c>
      <c r="Q222" s="119"/>
      <c r="R222" s="119"/>
      <c r="S222" s="119"/>
      <c r="T222" s="119"/>
      <c r="U222" s="119"/>
      <c r="V222" s="119"/>
      <c r="W222" s="119"/>
      <c r="X222" s="119"/>
      <c r="Y222" s="119"/>
    </row>
    <row r="223" spans="5:27" x14ac:dyDescent="0.25">
      <c r="F223" s="120" t="s">
        <v>253</v>
      </c>
      <c r="G223" s="120" t="s">
        <v>254</v>
      </c>
      <c r="H223" s="96"/>
      <c r="I223" s="96"/>
      <c r="J223" s="121"/>
      <c r="K223" s="121"/>
      <c r="L223" s="121"/>
      <c r="M223" s="121"/>
      <c r="N223" s="173">
        <f t="shared" si="13"/>
        <v>6602.5923584288757</v>
      </c>
      <c r="O223" s="173">
        <f t="shared" si="13"/>
        <v>690.28835187464824</v>
      </c>
      <c r="P223" s="173">
        <f t="shared" si="13"/>
        <v>279.91140468052561</v>
      </c>
      <c r="Q223" s="121"/>
      <c r="R223" s="121"/>
      <c r="S223" s="121"/>
      <c r="T223" s="173">
        <f>SUM( T167, T176, T185, T194, T158 )</f>
        <v>5.8391330320959867</v>
      </c>
      <c r="U223" s="121"/>
      <c r="V223" s="173">
        <f>SUM( V167, V176, V185, V194, V158 )</f>
        <v>0</v>
      </c>
      <c r="W223" s="121"/>
      <c r="X223" s="173">
        <f>SUM( X167, X176, X185, X194, X158 )</f>
        <v>0</v>
      </c>
      <c r="Y223" s="121"/>
    </row>
    <row r="224" spans="5:27" x14ac:dyDescent="0.25">
      <c r="G224" s="61"/>
    </row>
    <row r="225" spans="3:43" x14ac:dyDescent="0.25">
      <c r="C225" s="93" t="str">
        <f ca="1">INDEX('Version control'!$H$41:$H$64,MATCH($A$1,'Version control'!$F$41:$F$64,0),1)&amp;"-C: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25">
      <c r="C226" s="75"/>
      <c r="AQ226" s="3"/>
    </row>
    <row r="227" spans="3:43" x14ac:dyDescent="0.25">
      <c r="C227" s="86" t="s">
        <v>403</v>
      </c>
      <c r="AQ227" s="3"/>
    </row>
    <row r="228" spans="3:43" x14ac:dyDescent="0.25">
      <c r="C228" s="75"/>
      <c r="AQ228" s="3"/>
    </row>
    <row r="229" spans="3:43" x14ac:dyDescent="0.25">
      <c r="C229" s="86"/>
      <c r="E229" s="75" t="s">
        <v>156</v>
      </c>
      <c r="I229" t="s">
        <v>154</v>
      </c>
      <c r="AA229" t="s">
        <v>309</v>
      </c>
      <c r="AQ229" s="3"/>
    </row>
    <row r="230" spans="3:43" x14ac:dyDescent="0.25">
      <c r="C230" s="86"/>
      <c r="E230" s="75"/>
      <c r="AQ230" s="3"/>
    </row>
    <row r="231" spans="3:43" x14ac:dyDescent="0.25">
      <c r="F231" s="94" t="s">
        <v>404</v>
      </c>
      <c r="G231" s="94" t="s">
        <v>207</v>
      </c>
      <c r="J231" s="168">
        <f t="shared" ref="J231:Y231" si="14">J$199</f>
        <v>414037.19304487581</v>
      </c>
      <c r="K231" s="168">
        <f t="shared" si="14"/>
        <v>42.949716657044405</v>
      </c>
      <c r="L231" s="168">
        <f t="shared" si="14"/>
        <v>110088.00677178671</v>
      </c>
      <c r="M231" s="168">
        <f t="shared" si="14"/>
        <v>25.765928672816155</v>
      </c>
      <c r="N231" s="168">
        <f t="shared" si="14"/>
        <v>85202.271335446232</v>
      </c>
      <c r="O231" s="168">
        <f t="shared" si="14"/>
        <v>41762.91758939116</v>
      </c>
      <c r="P231" s="168">
        <f t="shared" si="14"/>
        <v>127162.21885976374</v>
      </c>
      <c r="Q231" s="168">
        <f t="shared" si="14"/>
        <v>3120.7676206896554</v>
      </c>
      <c r="R231" s="168">
        <f t="shared" si="14"/>
        <v>8383.1643992456902</v>
      </c>
      <c r="S231" s="168">
        <f t="shared" si="14"/>
        <v>1036.7343209799037</v>
      </c>
      <c r="T231" s="168">
        <f t="shared" si="14"/>
        <v>4622.4246135079247</v>
      </c>
      <c r="U231" s="168">
        <f t="shared" si="14"/>
        <v>0</v>
      </c>
      <c r="V231" s="168">
        <f t="shared" si="14"/>
        <v>0</v>
      </c>
      <c r="W231" s="168">
        <f t="shared" si="14"/>
        <v>0</v>
      </c>
      <c r="X231" s="168">
        <f t="shared" si="14"/>
        <v>53814.546731455142</v>
      </c>
      <c r="Y231" s="168">
        <f t="shared" si="14"/>
        <v>0</v>
      </c>
      <c r="AQ231" s="3"/>
    </row>
    <row r="232" spans="3:43" x14ac:dyDescent="0.25">
      <c r="F232" s="94" t="s">
        <v>405</v>
      </c>
      <c r="G232" s="94" t="s">
        <v>207</v>
      </c>
      <c r="J232" s="168">
        <f t="shared" ref="J232:Y232" si="15">J$208</f>
        <v>4412.0021358793929</v>
      </c>
      <c r="K232" s="168">
        <f t="shared" si="15"/>
        <v>0</v>
      </c>
      <c r="L232" s="168">
        <f t="shared" si="15"/>
        <v>203.10297598575704</v>
      </c>
      <c r="M232" s="168">
        <f t="shared" si="15"/>
        <v>0</v>
      </c>
      <c r="N232" s="168">
        <f t="shared" si="15"/>
        <v>845.13694087396425</v>
      </c>
      <c r="O232" s="168">
        <f t="shared" si="15"/>
        <v>0</v>
      </c>
      <c r="P232" s="168">
        <f t="shared" si="15"/>
        <v>0</v>
      </c>
      <c r="Q232" s="168">
        <f t="shared" si="15"/>
        <v>3.5402788970786112</v>
      </c>
      <c r="R232" s="168">
        <f t="shared" si="15"/>
        <v>135.12309960616332</v>
      </c>
      <c r="S232" s="168">
        <f t="shared" si="15"/>
        <v>0</v>
      </c>
      <c r="T232" s="168">
        <f t="shared" si="15"/>
        <v>0</v>
      </c>
      <c r="U232" s="168">
        <f t="shared" si="15"/>
        <v>0</v>
      </c>
      <c r="V232" s="168">
        <f t="shared" si="15"/>
        <v>0</v>
      </c>
      <c r="W232" s="168">
        <f t="shared" si="15"/>
        <v>0</v>
      </c>
      <c r="X232" s="168">
        <f t="shared" si="15"/>
        <v>0</v>
      </c>
      <c r="Y232" s="168">
        <f t="shared" si="15"/>
        <v>0</v>
      </c>
      <c r="AQ232" s="3"/>
    </row>
    <row r="233" spans="3:43" x14ac:dyDescent="0.25">
      <c r="F233" s="94" t="s">
        <v>406</v>
      </c>
      <c r="G233" s="94" t="s">
        <v>207</v>
      </c>
      <c r="J233" s="168">
        <f t="shared" ref="J233:Y233" si="16">J$217</f>
        <v>13965.52024182292</v>
      </c>
      <c r="K233" s="168">
        <f t="shared" si="16"/>
        <v>0</v>
      </c>
      <c r="L233" s="168">
        <f t="shared" si="16"/>
        <v>1033.1633672854214</v>
      </c>
      <c r="M233" s="168">
        <f t="shared" si="16"/>
        <v>0</v>
      </c>
      <c r="N233" s="168">
        <f t="shared" si="16"/>
        <v>6157.3058728996166</v>
      </c>
      <c r="O233" s="168">
        <f t="shared" si="16"/>
        <v>1334.1251902546162</v>
      </c>
      <c r="P233" s="168">
        <f t="shared" si="16"/>
        <v>874.44956260491062</v>
      </c>
      <c r="Q233" s="168">
        <f t="shared" si="16"/>
        <v>0</v>
      </c>
      <c r="R233" s="168">
        <f t="shared" si="16"/>
        <v>288.39483167076304</v>
      </c>
      <c r="S233" s="168">
        <f t="shared" si="16"/>
        <v>0</v>
      </c>
      <c r="T233" s="168">
        <f t="shared" si="16"/>
        <v>2.3230095129862165</v>
      </c>
      <c r="U233" s="168">
        <f t="shared" si="16"/>
        <v>0</v>
      </c>
      <c r="V233" s="168">
        <f t="shared" si="16"/>
        <v>0</v>
      </c>
      <c r="W233" s="168">
        <f t="shared" si="16"/>
        <v>0</v>
      </c>
      <c r="X233" s="168">
        <f t="shared" si="16"/>
        <v>0</v>
      </c>
      <c r="Y233" s="168">
        <f t="shared" si="16"/>
        <v>0</v>
      </c>
      <c r="AQ233" s="3"/>
    </row>
    <row r="234" spans="3:43" x14ac:dyDescent="0.25">
      <c r="F234" s="94" t="s">
        <v>407</v>
      </c>
      <c r="G234" s="94" t="s">
        <v>167</v>
      </c>
      <c r="J234" s="197">
        <f>IF(J$39, J$45, J$34)</f>
        <v>0.38335161514577376</v>
      </c>
      <c r="K234" s="197">
        <f t="shared" ref="K234:Y234" si="17">IF(K$39, K$45, K$34)</f>
        <v>0.38335161514577376</v>
      </c>
      <c r="L234" s="197">
        <f t="shared" si="17"/>
        <v>0.38335161514577376</v>
      </c>
      <c r="M234" s="197">
        <f t="shared" si="17"/>
        <v>0.38335161514577376</v>
      </c>
      <c r="N234" s="197">
        <f t="shared" si="17"/>
        <v>0.38335161514577376</v>
      </c>
      <c r="O234" s="197">
        <f t="shared" si="17"/>
        <v>0</v>
      </c>
      <c r="P234" s="197">
        <f t="shared" si="17"/>
        <v>0</v>
      </c>
      <c r="Q234" s="197">
        <f t="shared" si="17"/>
        <v>0.38335161514577376</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25">
      <c r="F235" s="94" t="s">
        <v>408</v>
      </c>
      <c r="G235" s="94" t="s">
        <v>167</v>
      </c>
      <c r="J235" s="197">
        <f>IF(J$39, J$45, J$35)</f>
        <v>0.58826186187526186</v>
      </c>
      <c r="K235" s="197">
        <f t="shared" ref="K235:Y235" si="18">IF(K$39, K$45, K$35)</f>
        <v>0.58826186187526186</v>
      </c>
      <c r="L235" s="197">
        <f t="shared" si="18"/>
        <v>0.58826186187526186</v>
      </c>
      <c r="M235" s="197">
        <f t="shared" si="18"/>
        <v>0.58826186187526186</v>
      </c>
      <c r="N235" s="197">
        <f t="shared" si="18"/>
        <v>0.58826186187526186</v>
      </c>
      <c r="O235" s="197">
        <f t="shared" si="18"/>
        <v>0.31100226640485212</v>
      </c>
      <c r="P235" s="197">
        <f t="shared" si="18"/>
        <v>0.17999797646529783</v>
      </c>
      <c r="Q235" s="197">
        <f t="shared" si="18"/>
        <v>0.58826186187526186</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25">
      <c r="F236" s="94" t="s">
        <v>409</v>
      </c>
      <c r="G236" s="94" t="s">
        <v>207</v>
      </c>
      <c r="J236" s="168">
        <f t="shared" ref="J236:Y236" si="19">J232 * (1 - J234)</f>
        <v>2720.6539910634242</v>
      </c>
      <c r="K236" s="168">
        <f t="shared" si="19"/>
        <v>0</v>
      </c>
      <c r="L236" s="168">
        <f t="shared" si="19"/>
        <v>125.24312210070377</v>
      </c>
      <c r="M236" s="168">
        <f t="shared" si="19"/>
        <v>0</v>
      </c>
      <c r="N236" s="168">
        <f t="shared" si="19"/>
        <v>521.15232957057174</v>
      </c>
      <c r="O236" s="168">
        <f t="shared" si="19"/>
        <v>0</v>
      </c>
      <c r="P236" s="168">
        <f t="shared" si="19"/>
        <v>0</v>
      </c>
      <c r="Q236" s="168">
        <f t="shared" si="19"/>
        <v>2.183107263817027</v>
      </c>
      <c r="R236" s="168">
        <f t="shared" si="19"/>
        <v>135.12309960616332</v>
      </c>
      <c r="S236" s="168">
        <f t="shared" si="19"/>
        <v>0</v>
      </c>
      <c r="T236" s="168">
        <f t="shared" si="19"/>
        <v>0</v>
      </c>
      <c r="U236" s="168">
        <f t="shared" si="19"/>
        <v>0</v>
      </c>
      <c r="V236" s="168">
        <f t="shared" si="19"/>
        <v>0</v>
      </c>
      <c r="W236" s="168">
        <f t="shared" si="19"/>
        <v>0</v>
      </c>
      <c r="X236" s="168">
        <f t="shared" si="19"/>
        <v>0</v>
      </c>
      <c r="Y236" s="168">
        <f t="shared" si="19"/>
        <v>0</v>
      </c>
      <c r="AQ236" s="3"/>
    </row>
    <row r="237" spans="3:43" x14ac:dyDescent="0.25">
      <c r="F237" s="101" t="s">
        <v>410</v>
      </c>
      <c r="G237" s="101" t="s">
        <v>207</v>
      </c>
      <c r="H237" s="96"/>
      <c r="I237" s="96"/>
      <c r="J237" s="173">
        <f t="shared" ref="J237:Y237" si="20">J233 * (1 - J235)</f>
        <v>5750.137302311512</v>
      </c>
      <c r="K237" s="173">
        <f t="shared" si="20"/>
        <v>0</v>
      </c>
      <c r="L237" s="173">
        <f t="shared" si="20"/>
        <v>425.39276122478441</v>
      </c>
      <c r="M237" s="173">
        <f t="shared" si="20"/>
        <v>0</v>
      </c>
      <c r="N237" s="173">
        <f t="shared" si="20"/>
        <v>2535.1976559722038</v>
      </c>
      <c r="O237" s="173">
        <f t="shared" si="20"/>
        <v>919.20923241762591</v>
      </c>
      <c r="P237" s="173">
        <f t="shared" si="20"/>
        <v>717.05041081506192</v>
      </c>
      <c r="Q237" s="173">
        <f t="shared" si="20"/>
        <v>0</v>
      </c>
      <c r="R237" s="173">
        <f t="shared" si="20"/>
        <v>288.39483167076304</v>
      </c>
      <c r="S237" s="173">
        <f t="shared" si="20"/>
        <v>0</v>
      </c>
      <c r="T237" s="173">
        <f t="shared" si="20"/>
        <v>2.3230095129862165</v>
      </c>
      <c r="U237" s="173">
        <f t="shared" si="20"/>
        <v>0</v>
      </c>
      <c r="V237" s="173">
        <f t="shared" si="20"/>
        <v>0</v>
      </c>
      <c r="W237" s="173">
        <f t="shared" si="20"/>
        <v>0</v>
      </c>
      <c r="X237" s="173">
        <f t="shared" si="20"/>
        <v>0</v>
      </c>
      <c r="Y237" s="173">
        <f t="shared" si="20"/>
        <v>0</v>
      </c>
      <c r="AQ237" s="3"/>
    </row>
    <row r="238" spans="3:43" x14ac:dyDescent="0.25">
      <c r="F238" s="94" t="s">
        <v>411</v>
      </c>
      <c r="G238" s="94" t="s">
        <v>207</v>
      </c>
      <c r="J238" s="151">
        <f t="shared" ref="J238:Y238" si="21">J231 + J236 + J237</f>
        <v>422507.98433825071</v>
      </c>
      <c r="K238" s="151">
        <f t="shared" si="21"/>
        <v>42.949716657044405</v>
      </c>
      <c r="L238" s="151">
        <f t="shared" si="21"/>
        <v>110638.64265511218</v>
      </c>
      <c r="M238" s="151">
        <f t="shared" si="21"/>
        <v>25.765928672816155</v>
      </c>
      <c r="N238" s="151">
        <f t="shared" si="21"/>
        <v>88258.621320989012</v>
      </c>
      <c r="O238" s="151">
        <f t="shared" si="21"/>
        <v>42682.126821808786</v>
      </c>
      <c r="P238" s="151">
        <f t="shared" si="21"/>
        <v>127879.26927057881</v>
      </c>
      <c r="Q238" s="151">
        <f t="shared" si="21"/>
        <v>3122.9507279534723</v>
      </c>
      <c r="R238" s="151">
        <f t="shared" si="21"/>
        <v>8806.6823305226171</v>
      </c>
      <c r="S238" s="151">
        <f t="shared" si="21"/>
        <v>1036.7343209799037</v>
      </c>
      <c r="T238" s="151">
        <f t="shared" si="21"/>
        <v>4624.7476230209113</v>
      </c>
      <c r="U238" s="151">
        <f t="shared" si="21"/>
        <v>0</v>
      </c>
      <c r="V238" s="151">
        <f t="shared" si="21"/>
        <v>0</v>
      </c>
      <c r="W238" s="151">
        <f t="shared" si="21"/>
        <v>0</v>
      </c>
      <c r="X238" s="151">
        <f t="shared" si="21"/>
        <v>53814.546731455142</v>
      </c>
      <c r="Y238" s="151">
        <f t="shared" si="21"/>
        <v>0</v>
      </c>
      <c r="AQ238" s="3"/>
    </row>
    <row r="239" spans="3:43" x14ac:dyDescent="0.25">
      <c r="E239" s="75"/>
      <c r="J239" s="106"/>
      <c r="K239" s="106"/>
      <c r="L239" s="106"/>
      <c r="M239" s="106"/>
      <c r="N239" s="106"/>
      <c r="O239" s="106"/>
      <c r="P239" s="106"/>
      <c r="Q239" s="106"/>
      <c r="R239" s="106"/>
      <c r="S239" s="106"/>
      <c r="T239" s="106"/>
      <c r="U239" s="106"/>
      <c r="V239" s="106"/>
      <c r="W239" s="106"/>
      <c r="X239" s="106"/>
      <c r="Y239" s="106"/>
      <c r="AQ239" s="3"/>
    </row>
    <row r="240" spans="3:43" x14ac:dyDescent="0.25">
      <c r="E240" s="75" t="s">
        <v>157</v>
      </c>
      <c r="I240" t="s">
        <v>154</v>
      </c>
      <c r="J240" s="106"/>
      <c r="K240" s="106"/>
      <c r="L240" s="106"/>
      <c r="M240" s="106"/>
      <c r="N240" s="106"/>
      <c r="O240" s="106"/>
      <c r="P240" s="106"/>
      <c r="Q240" s="106"/>
      <c r="R240" s="106"/>
      <c r="S240" s="106"/>
      <c r="T240" s="106"/>
      <c r="U240" s="106"/>
      <c r="V240" s="106"/>
      <c r="W240" s="106"/>
      <c r="X240" s="106"/>
      <c r="Y240" s="106"/>
      <c r="AA240" t="s">
        <v>309</v>
      </c>
      <c r="AQ240" s="3"/>
    </row>
    <row r="241" spans="5:43" x14ac:dyDescent="0.25">
      <c r="E241" s="75"/>
      <c r="J241" s="106"/>
      <c r="K241" s="106"/>
      <c r="L241" s="106"/>
      <c r="M241" s="106"/>
      <c r="N241" s="106"/>
      <c r="O241" s="106"/>
      <c r="P241" s="106"/>
      <c r="Q241" s="106"/>
      <c r="R241" s="106"/>
      <c r="S241" s="106"/>
      <c r="T241" s="106"/>
      <c r="U241" s="106"/>
      <c r="V241" s="106"/>
      <c r="W241" s="106"/>
      <c r="X241" s="106"/>
      <c r="Y241" s="106"/>
      <c r="AQ241" s="3"/>
    </row>
    <row r="242" spans="5:43" x14ac:dyDescent="0.25">
      <c r="F242" s="94" t="s">
        <v>404</v>
      </c>
      <c r="G242" s="94" t="s">
        <v>207</v>
      </c>
      <c r="J242" s="168">
        <f t="shared" ref="J242:Y242" si="22">J$200</f>
        <v>2220877.655844843</v>
      </c>
      <c r="K242" s="168">
        <f t="shared" si="22"/>
        <v>3119.337000290659</v>
      </c>
      <c r="L242" s="168">
        <f t="shared" si="22"/>
        <v>925404.4910993278</v>
      </c>
      <c r="M242" s="168">
        <f t="shared" si="22"/>
        <v>1609.0521821484306</v>
      </c>
      <c r="N242" s="168">
        <f t="shared" si="22"/>
        <v>615580.62619348883</v>
      </c>
      <c r="O242" s="168">
        <f t="shared" si="22"/>
        <v>301802.96291770652</v>
      </c>
      <c r="P242" s="168">
        <f t="shared" si="22"/>
        <v>894896.56140108604</v>
      </c>
      <c r="Q242" s="168">
        <f t="shared" si="22"/>
        <v>32439.529862068968</v>
      </c>
      <c r="R242" s="168">
        <f t="shared" si="22"/>
        <v>76699.786920797414</v>
      </c>
      <c r="S242" s="168">
        <f t="shared" si="22"/>
        <v>8528.2795750860623</v>
      </c>
      <c r="T242" s="168">
        <f t="shared" si="22"/>
        <v>38095.306630822713</v>
      </c>
      <c r="U242" s="168">
        <f t="shared" si="22"/>
        <v>0</v>
      </c>
      <c r="V242" s="168">
        <f t="shared" si="22"/>
        <v>0</v>
      </c>
      <c r="W242" s="168">
        <f t="shared" si="22"/>
        <v>0</v>
      </c>
      <c r="X242" s="168">
        <f t="shared" si="22"/>
        <v>302507.33246507391</v>
      </c>
      <c r="Y242" s="168">
        <f t="shared" si="22"/>
        <v>0</v>
      </c>
      <c r="AQ242" s="3"/>
    </row>
    <row r="243" spans="5:43" x14ac:dyDescent="0.25">
      <c r="F243" s="94" t="s">
        <v>405</v>
      </c>
      <c r="G243" s="94" t="s">
        <v>207</v>
      </c>
      <c r="J243" s="168">
        <f t="shared" ref="J243:Y243" si="23">J$209</f>
        <v>23560.34322446982</v>
      </c>
      <c r="K243" s="168">
        <f t="shared" si="23"/>
        <v>0</v>
      </c>
      <c r="L243" s="168">
        <f t="shared" si="23"/>
        <v>1698.4647304204614</v>
      </c>
      <c r="M243" s="168">
        <f t="shared" si="23"/>
        <v>0</v>
      </c>
      <c r="N243" s="168">
        <f t="shared" si="23"/>
        <v>5758.2767006258937</v>
      </c>
      <c r="O243" s="168">
        <f t="shared" si="23"/>
        <v>0</v>
      </c>
      <c r="P243" s="168">
        <f t="shared" si="23"/>
        <v>0</v>
      </c>
      <c r="Q243" s="168">
        <f t="shared" si="23"/>
        <v>54.762000803164575</v>
      </c>
      <c r="R243" s="168">
        <f t="shared" si="23"/>
        <v>1233.0122325268569</v>
      </c>
      <c r="S243" s="168">
        <f t="shared" si="23"/>
        <v>0</v>
      </c>
      <c r="T243" s="168">
        <f t="shared" si="23"/>
        <v>0</v>
      </c>
      <c r="U243" s="168">
        <f t="shared" si="23"/>
        <v>0</v>
      </c>
      <c r="V243" s="168">
        <f t="shared" si="23"/>
        <v>0</v>
      </c>
      <c r="W243" s="168">
        <f t="shared" si="23"/>
        <v>0</v>
      </c>
      <c r="X243" s="168">
        <f t="shared" si="23"/>
        <v>0</v>
      </c>
      <c r="Y243" s="168">
        <f t="shared" si="23"/>
        <v>0</v>
      </c>
      <c r="AQ243" s="3"/>
    </row>
    <row r="244" spans="5:43" x14ac:dyDescent="0.25">
      <c r="F244" s="94" t="s">
        <v>406</v>
      </c>
      <c r="G244" s="94" t="s">
        <v>207</v>
      </c>
      <c r="J244" s="168">
        <f t="shared" ref="J244:Y244" si="24">J$218</f>
        <v>74417.350985561308</v>
      </c>
      <c r="K244" s="168">
        <f t="shared" si="24"/>
        <v>0</v>
      </c>
      <c r="L244" s="168">
        <f t="shared" si="24"/>
        <v>8411.2514938787644</v>
      </c>
      <c r="M244" s="168">
        <f t="shared" si="24"/>
        <v>0</v>
      </c>
      <c r="N244" s="168">
        <f t="shared" si="24"/>
        <v>41020.925061507689</v>
      </c>
      <c r="O244" s="168">
        <f t="shared" si="24"/>
        <v>8537.6396962326417</v>
      </c>
      <c r="P244" s="168">
        <f t="shared" si="24"/>
        <v>5951.5789845060872</v>
      </c>
      <c r="Q244" s="168">
        <f t="shared" si="24"/>
        <v>0</v>
      </c>
      <c r="R244" s="168">
        <f t="shared" si="24"/>
        <v>2734.4347752387589</v>
      </c>
      <c r="S244" s="168">
        <f t="shared" si="24"/>
        <v>0</v>
      </c>
      <c r="T244" s="168">
        <f t="shared" si="24"/>
        <v>28.767744483149521</v>
      </c>
      <c r="U244" s="168">
        <f t="shared" si="24"/>
        <v>0</v>
      </c>
      <c r="V244" s="168">
        <f t="shared" si="24"/>
        <v>0</v>
      </c>
      <c r="W244" s="168">
        <f t="shared" si="24"/>
        <v>0</v>
      </c>
      <c r="X244" s="168">
        <f t="shared" si="24"/>
        <v>0</v>
      </c>
      <c r="Y244" s="168">
        <f t="shared" si="24"/>
        <v>0</v>
      </c>
      <c r="AQ244" s="3"/>
    </row>
    <row r="245" spans="5:43" x14ac:dyDescent="0.25">
      <c r="F245" s="94" t="s">
        <v>407</v>
      </c>
      <c r="G245" s="94" t="s">
        <v>167</v>
      </c>
      <c r="J245" s="198">
        <f t="shared" ref="J245:Y245" si="25">IF(J$39, J$45, J$34)</f>
        <v>0.38335161514577376</v>
      </c>
      <c r="K245" s="198">
        <f t="shared" si="25"/>
        <v>0.38335161514577376</v>
      </c>
      <c r="L245" s="198">
        <f t="shared" si="25"/>
        <v>0.38335161514577376</v>
      </c>
      <c r="M245" s="198">
        <f t="shared" si="25"/>
        <v>0.38335161514577376</v>
      </c>
      <c r="N245" s="198">
        <f t="shared" si="25"/>
        <v>0.38335161514577376</v>
      </c>
      <c r="O245" s="198">
        <f t="shared" si="25"/>
        <v>0</v>
      </c>
      <c r="P245" s="198">
        <f t="shared" si="25"/>
        <v>0</v>
      </c>
      <c r="Q245" s="198">
        <f t="shared" si="25"/>
        <v>0.38335161514577376</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25">
      <c r="F246" s="94" t="s">
        <v>408</v>
      </c>
      <c r="G246" s="94" t="s">
        <v>167</v>
      </c>
      <c r="J246" s="198">
        <f t="shared" ref="J246:Y246" si="26">IF(J$39, J$45, J$35)</f>
        <v>0.58826186187526186</v>
      </c>
      <c r="K246" s="198">
        <f t="shared" si="26"/>
        <v>0.58826186187526186</v>
      </c>
      <c r="L246" s="198">
        <f t="shared" si="26"/>
        <v>0.58826186187526186</v>
      </c>
      <c r="M246" s="198">
        <f t="shared" si="26"/>
        <v>0.58826186187526186</v>
      </c>
      <c r="N246" s="198">
        <f t="shared" si="26"/>
        <v>0.58826186187526186</v>
      </c>
      <c r="O246" s="198">
        <f t="shared" si="26"/>
        <v>0.31100226640485212</v>
      </c>
      <c r="P246" s="198">
        <f t="shared" si="26"/>
        <v>0.17999797646529783</v>
      </c>
      <c r="Q246" s="198">
        <f t="shared" si="26"/>
        <v>0.58826186187526186</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25">
      <c r="F247" s="94" t="s">
        <v>409</v>
      </c>
      <c r="G247" s="94" t="s">
        <v>207</v>
      </c>
      <c r="J247" s="168">
        <f t="shared" ref="J247:Y247" si="27">J243 * (1 - J245)</f>
        <v>14528.447595980528</v>
      </c>
      <c r="K247" s="168">
        <f t="shared" si="27"/>
        <v>0</v>
      </c>
      <c r="L247" s="168">
        <f t="shared" si="27"/>
        <v>1047.3555327456463</v>
      </c>
      <c r="M247" s="168">
        <f t="shared" si="27"/>
        <v>0</v>
      </c>
      <c r="N247" s="168">
        <f t="shared" si="27"/>
        <v>3550.8320269846804</v>
      </c>
      <c r="O247" s="168">
        <f t="shared" si="27"/>
        <v>0</v>
      </c>
      <c r="P247" s="168">
        <f t="shared" si="27"/>
        <v>0</v>
      </c>
      <c r="Q247" s="168">
        <f t="shared" si="27"/>
        <v>33.768899346657278</v>
      </c>
      <c r="R247" s="168">
        <f t="shared" si="27"/>
        <v>1233.0122325268569</v>
      </c>
      <c r="S247" s="168">
        <f t="shared" si="27"/>
        <v>0</v>
      </c>
      <c r="T247" s="168">
        <f t="shared" si="27"/>
        <v>0</v>
      </c>
      <c r="U247" s="168">
        <f t="shared" si="27"/>
        <v>0</v>
      </c>
      <c r="V247" s="168">
        <f t="shared" si="27"/>
        <v>0</v>
      </c>
      <c r="W247" s="168">
        <f t="shared" si="27"/>
        <v>0</v>
      </c>
      <c r="X247" s="168">
        <f t="shared" si="27"/>
        <v>0</v>
      </c>
      <c r="Y247" s="168">
        <f t="shared" si="27"/>
        <v>0</v>
      </c>
      <c r="AQ247" s="3"/>
    </row>
    <row r="248" spans="5:43" x14ac:dyDescent="0.25">
      <c r="F248" s="101" t="s">
        <v>410</v>
      </c>
      <c r="G248" s="101" t="s">
        <v>207</v>
      </c>
      <c r="H248" s="96"/>
      <c r="I248" s="96"/>
      <c r="J248" s="173">
        <f t="shared" ref="J248:Y248" si="28">J244 * (1 - J246)</f>
        <v>30640.461538970161</v>
      </c>
      <c r="K248" s="173">
        <f t="shared" si="28"/>
        <v>0</v>
      </c>
      <c r="L248" s="173">
        <f t="shared" si="28"/>
        <v>3463.2330293885648</v>
      </c>
      <c r="M248" s="173">
        <f t="shared" si="28"/>
        <v>0</v>
      </c>
      <c r="N248" s="173">
        <f t="shared" si="28"/>
        <v>16889.879308979584</v>
      </c>
      <c r="O248" s="173">
        <f t="shared" si="28"/>
        <v>5882.414400956256</v>
      </c>
      <c r="P248" s="173">
        <f t="shared" si="28"/>
        <v>4880.3068105215998</v>
      </c>
      <c r="Q248" s="173">
        <f t="shared" si="28"/>
        <v>0</v>
      </c>
      <c r="R248" s="173">
        <f t="shared" si="28"/>
        <v>2734.4347752387589</v>
      </c>
      <c r="S248" s="173">
        <f t="shared" si="28"/>
        <v>0</v>
      </c>
      <c r="T248" s="173">
        <f t="shared" si="28"/>
        <v>28.767744483149521</v>
      </c>
      <c r="U248" s="173">
        <f t="shared" si="28"/>
        <v>0</v>
      </c>
      <c r="V248" s="173">
        <f t="shared" si="28"/>
        <v>0</v>
      </c>
      <c r="W248" s="173">
        <f t="shared" si="28"/>
        <v>0</v>
      </c>
      <c r="X248" s="173">
        <f t="shared" si="28"/>
        <v>0</v>
      </c>
      <c r="Y248" s="173">
        <f t="shared" si="28"/>
        <v>0</v>
      </c>
      <c r="AQ248" s="3"/>
    </row>
    <row r="249" spans="5:43" x14ac:dyDescent="0.25">
      <c r="F249" s="94" t="s">
        <v>411</v>
      </c>
      <c r="G249" s="94" t="s">
        <v>207</v>
      </c>
      <c r="J249" s="151">
        <f t="shared" ref="J249:Y249" si="29">J242 + J247 + J248</f>
        <v>2266046.5649797935</v>
      </c>
      <c r="K249" s="151">
        <f t="shared" si="29"/>
        <v>3119.337000290659</v>
      </c>
      <c r="L249" s="151">
        <f t="shared" si="29"/>
        <v>929915.07966146199</v>
      </c>
      <c r="M249" s="151">
        <f t="shared" si="29"/>
        <v>1609.0521821484306</v>
      </c>
      <c r="N249" s="151">
        <f t="shared" si="29"/>
        <v>636021.3375294531</v>
      </c>
      <c r="O249" s="151">
        <f t="shared" si="29"/>
        <v>307685.37731866277</v>
      </c>
      <c r="P249" s="151">
        <f t="shared" si="29"/>
        <v>899776.86821160768</v>
      </c>
      <c r="Q249" s="151">
        <f t="shared" si="29"/>
        <v>32473.298761415626</v>
      </c>
      <c r="R249" s="151">
        <f t="shared" si="29"/>
        <v>80667.23392856303</v>
      </c>
      <c r="S249" s="151">
        <f t="shared" si="29"/>
        <v>8528.2795750860623</v>
      </c>
      <c r="T249" s="151">
        <f t="shared" si="29"/>
        <v>38124.074375305863</v>
      </c>
      <c r="U249" s="151">
        <f t="shared" si="29"/>
        <v>0</v>
      </c>
      <c r="V249" s="151">
        <f t="shared" si="29"/>
        <v>0</v>
      </c>
      <c r="W249" s="151">
        <f t="shared" si="29"/>
        <v>0</v>
      </c>
      <c r="X249" s="151">
        <f t="shared" si="29"/>
        <v>302507.33246507391</v>
      </c>
      <c r="Y249" s="151">
        <f t="shared" si="29"/>
        <v>0</v>
      </c>
      <c r="AQ249" s="3"/>
    </row>
    <row r="250" spans="5:43" x14ac:dyDescent="0.25">
      <c r="E250" s="75"/>
      <c r="J250" s="106"/>
      <c r="K250" s="106"/>
      <c r="L250" s="106"/>
      <c r="M250" s="106"/>
      <c r="N250" s="106"/>
      <c r="O250" s="106"/>
      <c r="P250" s="106"/>
      <c r="Q250" s="106"/>
      <c r="R250" s="106"/>
      <c r="S250" s="106"/>
      <c r="T250" s="106"/>
      <c r="U250" s="106"/>
      <c r="V250" s="106"/>
      <c r="W250" s="106"/>
      <c r="X250" s="106"/>
      <c r="Y250" s="106"/>
      <c r="AQ250" s="3"/>
    </row>
    <row r="251" spans="5:43" x14ac:dyDescent="0.25">
      <c r="E251" s="75" t="s">
        <v>158</v>
      </c>
      <c r="I251" t="s">
        <v>154</v>
      </c>
      <c r="J251" s="106"/>
      <c r="K251" s="106"/>
      <c r="L251" s="106"/>
      <c r="M251" s="106"/>
      <c r="N251" s="106"/>
      <c r="O251" s="106"/>
      <c r="P251" s="106"/>
      <c r="Q251" s="106"/>
      <c r="R251" s="106"/>
      <c r="S251" s="106"/>
      <c r="T251" s="106"/>
      <c r="U251" s="106"/>
      <c r="V251" s="106"/>
      <c r="W251" s="106"/>
      <c r="X251" s="106"/>
      <c r="Y251" s="106"/>
      <c r="AA251" t="s">
        <v>309</v>
      </c>
      <c r="AQ251" s="3"/>
    </row>
    <row r="252" spans="5:43" x14ac:dyDescent="0.25">
      <c r="E252" s="75"/>
      <c r="J252" s="106"/>
      <c r="K252" s="106"/>
      <c r="L252" s="106"/>
      <c r="M252" s="106"/>
      <c r="N252" s="106"/>
      <c r="O252" s="106"/>
      <c r="P252" s="106"/>
      <c r="Q252" s="106"/>
      <c r="R252" s="106"/>
      <c r="S252" s="106"/>
      <c r="T252" s="106"/>
      <c r="U252" s="106"/>
      <c r="V252" s="106"/>
      <c r="W252" s="106"/>
      <c r="X252" s="106"/>
      <c r="Y252" s="106"/>
      <c r="AQ252" s="3"/>
    </row>
    <row r="253" spans="5:43" x14ac:dyDescent="0.25">
      <c r="F253" s="94" t="s">
        <v>404</v>
      </c>
      <c r="G253" s="94" t="s">
        <v>207</v>
      </c>
      <c r="J253" s="168">
        <f t="shared" ref="J253:Y253" si="30">J$201</f>
        <v>2541068.4625321021</v>
      </c>
      <c r="K253" s="168">
        <f t="shared" si="30"/>
        <v>24081.62170271924</v>
      </c>
      <c r="L253" s="168">
        <f t="shared" si="30"/>
        <v>765610.0715014356</v>
      </c>
      <c r="M253" s="168">
        <f t="shared" si="30"/>
        <v>11325.873677164167</v>
      </c>
      <c r="N253" s="168">
        <f t="shared" si="30"/>
        <v>549162.68533486512</v>
      </c>
      <c r="O253" s="168">
        <f t="shared" si="30"/>
        <v>300866.36854291469</v>
      </c>
      <c r="P253" s="168">
        <f t="shared" si="30"/>
        <v>1021357.851144088</v>
      </c>
      <c r="Q253" s="168">
        <f t="shared" si="30"/>
        <v>72051.073000000004</v>
      </c>
      <c r="R253" s="168">
        <f t="shared" si="30"/>
        <v>33364.652963362067</v>
      </c>
      <c r="S253" s="168">
        <f t="shared" si="30"/>
        <v>8832.4293538785987</v>
      </c>
      <c r="T253" s="168">
        <f t="shared" si="30"/>
        <v>44866.446029929481</v>
      </c>
      <c r="U253" s="168">
        <f t="shared" si="30"/>
        <v>0</v>
      </c>
      <c r="V253" s="168">
        <f t="shared" si="30"/>
        <v>0</v>
      </c>
      <c r="W253" s="168">
        <f t="shared" si="30"/>
        <v>0</v>
      </c>
      <c r="X253" s="168">
        <f t="shared" si="30"/>
        <v>259913.71528039253</v>
      </c>
      <c r="Y253" s="168">
        <f t="shared" si="30"/>
        <v>0</v>
      </c>
      <c r="AQ253" s="3"/>
    </row>
    <row r="254" spans="5:43" x14ac:dyDescent="0.25">
      <c r="F254" s="94" t="s">
        <v>405</v>
      </c>
      <c r="G254" s="94" t="s">
        <v>207</v>
      </c>
      <c r="J254" s="168">
        <f t="shared" ref="J254:Y254" si="31">J$210</f>
        <v>24322.859805914686</v>
      </c>
      <c r="K254" s="168">
        <f t="shared" si="31"/>
        <v>0</v>
      </c>
      <c r="L254" s="168">
        <f t="shared" si="31"/>
        <v>1291.5002309372014</v>
      </c>
      <c r="M254" s="168">
        <f t="shared" si="31"/>
        <v>0</v>
      </c>
      <c r="N254" s="168">
        <f t="shared" si="31"/>
        <v>4060.276656623812</v>
      </c>
      <c r="O254" s="168">
        <f t="shared" si="31"/>
        <v>0</v>
      </c>
      <c r="P254" s="168">
        <f t="shared" si="31"/>
        <v>0</v>
      </c>
      <c r="Q254" s="168">
        <f t="shared" si="31"/>
        <v>78.61836209396057</v>
      </c>
      <c r="R254" s="168">
        <f t="shared" si="31"/>
        <v>536.82082476268477</v>
      </c>
      <c r="S254" s="168">
        <f t="shared" si="31"/>
        <v>0</v>
      </c>
      <c r="T254" s="168">
        <f t="shared" si="31"/>
        <v>0</v>
      </c>
      <c r="U254" s="168">
        <f t="shared" si="31"/>
        <v>0</v>
      </c>
      <c r="V254" s="168">
        <f t="shared" si="31"/>
        <v>0</v>
      </c>
      <c r="W254" s="168">
        <f t="shared" si="31"/>
        <v>0</v>
      </c>
      <c r="X254" s="168">
        <f t="shared" si="31"/>
        <v>0</v>
      </c>
      <c r="Y254" s="168">
        <f t="shared" si="31"/>
        <v>0</v>
      </c>
      <c r="AQ254" s="3"/>
    </row>
    <row r="255" spans="5:43" x14ac:dyDescent="0.25">
      <c r="F255" s="94" t="s">
        <v>406</v>
      </c>
      <c r="G255" s="94" t="s">
        <v>207</v>
      </c>
      <c r="J255" s="168">
        <f t="shared" ref="J255:Y255" si="32">J$219</f>
        <v>76556.398456911411</v>
      </c>
      <c r="K255" s="168">
        <f t="shared" si="32"/>
        <v>0</v>
      </c>
      <c r="L255" s="168">
        <f t="shared" si="32"/>
        <v>6502.4774634351306</v>
      </c>
      <c r="M255" s="168">
        <f t="shared" si="32"/>
        <v>0</v>
      </c>
      <c r="N255" s="168">
        <f t="shared" si="32"/>
        <v>37080.573957337147</v>
      </c>
      <c r="O255" s="168">
        <f t="shared" si="32"/>
        <v>6850.4241789388898</v>
      </c>
      <c r="P255" s="168">
        <f t="shared" si="32"/>
        <v>6440.504865725221</v>
      </c>
      <c r="Q255" s="168">
        <f t="shared" si="32"/>
        <v>0</v>
      </c>
      <c r="R255" s="168">
        <f t="shared" si="32"/>
        <v>1119.1280628397724</v>
      </c>
      <c r="S255" s="168">
        <f t="shared" si="32"/>
        <v>0</v>
      </c>
      <c r="T255" s="168">
        <f t="shared" si="32"/>
        <v>21.818802192518774</v>
      </c>
      <c r="U255" s="168">
        <f t="shared" si="32"/>
        <v>0</v>
      </c>
      <c r="V255" s="168">
        <f t="shared" si="32"/>
        <v>0</v>
      </c>
      <c r="W255" s="168">
        <f t="shared" si="32"/>
        <v>0</v>
      </c>
      <c r="X255" s="168">
        <f t="shared" si="32"/>
        <v>0</v>
      </c>
      <c r="Y255" s="168">
        <f t="shared" si="32"/>
        <v>0</v>
      </c>
      <c r="AQ255" s="3"/>
    </row>
    <row r="256" spans="5:43" x14ac:dyDescent="0.25">
      <c r="F256" s="94" t="s">
        <v>407</v>
      </c>
      <c r="G256" s="94" t="s">
        <v>167</v>
      </c>
      <c r="J256" s="198">
        <f t="shared" ref="J256:Y256" si="33">IF(J$39, J$45, J$34)</f>
        <v>0.38335161514577376</v>
      </c>
      <c r="K256" s="198">
        <f t="shared" si="33"/>
        <v>0.38335161514577376</v>
      </c>
      <c r="L256" s="198">
        <f t="shared" si="33"/>
        <v>0.38335161514577376</v>
      </c>
      <c r="M256" s="198">
        <f t="shared" si="33"/>
        <v>0.38335161514577376</v>
      </c>
      <c r="N256" s="198">
        <f t="shared" si="33"/>
        <v>0.38335161514577376</v>
      </c>
      <c r="O256" s="198">
        <f t="shared" si="33"/>
        <v>0</v>
      </c>
      <c r="P256" s="198">
        <f t="shared" si="33"/>
        <v>0</v>
      </c>
      <c r="Q256" s="198">
        <f t="shared" si="33"/>
        <v>0.38335161514577376</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25">
      <c r="F257" s="94" t="s">
        <v>408</v>
      </c>
      <c r="G257" s="94" t="s">
        <v>167</v>
      </c>
      <c r="J257" s="198">
        <f t="shared" ref="J257:Y257" si="34">IF(J$39, J$45, J$35)</f>
        <v>0.58826186187526186</v>
      </c>
      <c r="K257" s="198">
        <f t="shared" si="34"/>
        <v>0.58826186187526186</v>
      </c>
      <c r="L257" s="198">
        <f t="shared" si="34"/>
        <v>0.58826186187526186</v>
      </c>
      <c r="M257" s="198">
        <f t="shared" si="34"/>
        <v>0.58826186187526186</v>
      </c>
      <c r="N257" s="198">
        <f t="shared" si="34"/>
        <v>0.58826186187526186</v>
      </c>
      <c r="O257" s="198">
        <f t="shared" si="34"/>
        <v>0.31100226640485212</v>
      </c>
      <c r="P257" s="198">
        <f t="shared" si="34"/>
        <v>0.17999797646529783</v>
      </c>
      <c r="Q257" s="198">
        <f t="shared" si="34"/>
        <v>0.58826186187526186</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25">
      <c r="F258" s="94" t="s">
        <v>409</v>
      </c>
      <c r="G258" s="94" t="s">
        <v>207</v>
      </c>
      <c r="J258" s="168">
        <f t="shared" ref="J258:Y258" si="35">J254 * (1 - J256)</f>
        <v>14998.652214353069</v>
      </c>
      <c r="K258" s="168">
        <f t="shared" si="35"/>
        <v>0</v>
      </c>
      <c r="L258" s="168">
        <f t="shared" si="35"/>
        <v>796.4015314462855</v>
      </c>
      <c r="M258" s="168">
        <f t="shared" si="35"/>
        <v>0</v>
      </c>
      <c r="N258" s="168">
        <f t="shared" si="35"/>
        <v>2503.7630423683913</v>
      </c>
      <c r="O258" s="168">
        <f t="shared" si="35"/>
        <v>0</v>
      </c>
      <c r="P258" s="168">
        <f t="shared" si="35"/>
        <v>0</v>
      </c>
      <c r="Q258" s="168">
        <f t="shared" si="35"/>
        <v>48.479886005125508</v>
      </c>
      <c r="R258" s="168">
        <f t="shared" si="35"/>
        <v>536.82082476268477</v>
      </c>
      <c r="S258" s="168">
        <f t="shared" si="35"/>
        <v>0</v>
      </c>
      <c r="T258" s="168">
        <f t="shared" si="35"/>
        <v>0</v>
      </c>
      <c r="U258" s="168">
        <f t="shared" si="35"/>
        <v>0</v>
      </c>
      <c r="V258" s="168">
        <f t="shared" si="35"/>
        <v>0</v>
      </c>
      <c r="W258" s="168">
        <f t="shared" si="35"/>
        <v>0</v>
      </c>
      <c r="X258" s="168">
        <f t="shared" si="35"/>
        <v>0</v>
      </c>
      <c r="Y258" s="168">
        <f t="shared" si="35"/>
        <v>0</v>
      </c>
      <c r="AQ258" s="3"/>
    </row>
    <row r="259" spans="5:43" x14ac:dyDescent="0.25">
      <c r="F259" s="101" t="s">
        <v>410</v>
      </c>
      <c r="G259" s="101" t="s">
        <v>207</v>
      </c>
      <c r="H259" s="96"/>
      <c r="I259" s="96"/>
      <c r="J259" s="173">
        <f t="shared" ref="J259:Y259" si="36">J255 * (1 - J257)</f>
        <v>31521.188962184282</v>
      </c>
      <c r="K259" s="173">
        <f t="shared" si="36"/>
        <v>0</v>
      </c>
      <c r="L259" s="173">
        <f t="shared" si="36"/>
        <v>2677.3179639928508</v>
      </c>
      <c r="M259" s="173">
        <f t="shared" si="36"/>
        <v>0</v>
      </c>
      <c r="N259" s="173">
        <f t="shared" si="36"/>
        <v>15267.486481790649</v>
      </c>
      <c r="O259" s="173">
        <f t="shared" si="36"/>
        <v>4719.9267334542965</v>
      </c>
      <c r="P259" s="173">
        <f t="shared" si="36"/>
        <v>5281.2270224797767</v>
      </c>
      <c r="Q259" s="173">
        <f t="shared" si="36"/>
        <v>0</v>
      </c>
      <c r="R259" s="173">
        <f t="shared" si="36"/>
        <v>1119.1280628397724</v>
      </c>
      <c r="S259" s="173">
        <f t="shared" si="36"/>
        <v>0</v>
      </c>
      <c r="T259" s="173">
        <f t="shared" si="36"/>
        <v>21.818802192518774</v>
      </c>
      <c r="U259" s="173">
        <f t="shared" si="36"/>
        <v>0</v>
      </c>
      <c r="V259" s="173">
        <f t="shared" si="36"/>
        <v>0</v>
      </c>
      <c r="W259" s="173">
        <f t="shared" si="36"/>
        <v>0</v>
      </c>
      <c r="X259" s="173">
        <f t="shared" si="36"/>
        <v>0</v>
      </c>
      <c r="Y259" s="173">
        <f t="shared" si="36"/>
        <v>0</v>
      </c>
      <c r="AQ259" s="3"/>
    </row>
    <row r="260" spans="5:43" x14ac:dyDescent="0.25">
      <c r="F260" s="94" t="s">
        <v>411</v>
      </c>
      <c r="G260" s="94" t="s">
        <v>207</v>
      </c>
      <c r="J260" s="151">
        <f t="shared" ref="J260:Y260" si="37">J253 + J258 + J259</f>
        <v>2587588.3037086395</v>
      </c>
      <c r="K260" s="151">
        <f t="shared" si="37"/>
        <v>24081.62170271924</v>
      </c>
      <c r="L260" s="151">
        <f t="shared" si="37"/>
        <v>769083.79099687468</v>
      </c>
      <c r="M260" s="151">
        <f t="shared" si="37"/>
        <v>11325.873677164167</v>
      </c>
      <c r="N260" s="151">
        <f t="shared" si="37"/>
        <v>566933.93485902413</v>
      </c>
      <c r="O260" s="151">
        <f t="shared" si="37"/>
        <v>305586.29527636897</v>
      </c>
      <c r="P260" s="151">
        <f t="shared" si="37"/>
        <v>1026639.0781665677</v>
      </c>
      <c r="Q260" s="151">
        <f t="shared" si="37"/>
        <v>72099.552886005127</v>
      </c>
      <c r="R260" s="151">
        <f t="shared" si="37"/>
        <v>35020.601850964522</v>
      </c>
      <c r="S260" s="151">
        <f t="shared" si="37"/>
        <v>8832.4293538785987</v>
      </c>
      <c r="T260" s="151">
        <f t="shared" si="37"/>
        <v>44888.264832121997</v>
      </c>
      <c r="U260" s="151">
        <f t="shared" si="37"/>
        <v>0</v>
      </c>
      <c r="V260" s="151">
        <f t="shared" si="37"/>
        <v>0</v>
      </c>
      <c r="W260" s="151">
        <f t="shared" si="37"/>
        <v>0</v>
      </c>
      <c r="X260" s="151">
        <f t="shared" si="37"/>
        <v>259913.71528039253</v>
      </c>
      <c r="Y260" s="151">
        <f t="shared" si="37"/>
        <v>0</v>
      </c>
      <c r="AQ260" s="3"/>
    </row>
    <row r="261" spans="5:43" x14ac:dyDescent="0.25">
      <c r="E261" s="75"/>
      <c r="J261" s="106"/>
      <c r="K261" s="106"/>
      <c r="L261" s="106"/>
      <c r="M261" s="106"/>
      <c r="N261" s="106"/>
      <c r="O261" s="106"/>
      <c r="P261" s="106"/>
      <c r="Q261" s="106"/>
      <c r="R261" s="106"/>
      <c r="S261" s="106"/>
      <c r="T261" s="106"/>
      <c r="U261" s="106"/>
      <c r="V261" s="106"/>
      <c r="W261" s="106"/>
      <c r="X261" s="106"/>
      <c r="Y261" s="106"/>
      <c r="AQ261" s="3"/>
    </row>
    <row r="262" spans="5:43" x14ac:dyDescent="0.25">
      <c r="E262" s="75" t="s">
        <v>412</v>
      </c>
      <c r="I262" t="s">
        <v>154</v>
      </c>
      <c r="J262" s="106"/>
      <c r="K262" s="106"/>
      <c r="L262" s="106"/>
      <c r="M262" s="106"/>
      <c r="N262" s="106"/>
      <c r="O262" s="106"/>
      <c r="P262" s="106"/>
      <c r="Q262" s="106"/>
      <c r="R262" s="106"/>
      <c r="S262" s="106"/>
      <c r="T262" s="106"/>
      <c r="U262" s="106"/>
      <c r="V262" s="106"/>
      <c r="W262" s="106"/>
      <c r="X262" s="106"/>
      <c r="Y262" s="106"/>
      <c r="AQ262" s="3"/>
    </row>
    <row r="263" spans="5:43" x14ac:dyDescent="0.25">
      <c r="E263" s="75"/>
      <c r="J263" s="106"/>
      <c r="K263" s="106"/>
      <c r="L263" s="106"/>
      <c r="M263" s="106"/>
      <c r="N263" s="106"/>
      <c r="O263" s="106"/>
      <c r="P263" s="106"/>
      <c r="Q263" s="106"/>
      <c r="R263" s="106"/>
      <c r="S263" s="106"/>
      <c r="T263" s="106"/>
      <c r="U263" s="106"/>
      <c r="V263" s="106"/>
      <c r="W263" s="106"/>
      <c r="X263" s="106"/>
      <c r="Y263" s="106"/>
      <c r="AQ263" s="3"/>
    </row>
    <row r="264" spans="5:43" x14ac:dyDescent="0.25">
      <c r="F264" s="94" t="s">
        <v>411</v>
      </c>
      <c r="G264" s="94" t="s">
        <v>207</v>
      </c>
      <c r="J264" s="168">
        <f t="shared" ref="J264:Y264" si="38">J260 + J249 + J238</f>
        <v>5276142.8530266834</v>
      </c>
      <c r="K264" s="168">
        <f t="shared" si="38"/>
        <v>27243.908419666943</v>
      </c>
      <c r="L264" s="168">
        <f t="shared" si="38"/>
        <v>1809637.5133134488</v>
      </c>
      <c r="M264" s="168">
        <f t="shared" si="38"/>
        <v>12960.691787985414</v>
      </c>
      <c r="N264" s="168">
        <f t="shared" si="38"/>
        <v>1291213.8937094663</v>
      </c>
      <c r="O264" s="168">
        <f t="shared" si="38"/>
        <v>655953.79941684054</v>
      </c>
      <c r="P264" s="168">
        <f t="shared" si="38"/>
        <v>2054295.2156487543</v>
      </c>
      <c r="Q264" s="168">
        <f t="shared" si="38"/>
        <v>107695.80237537423</v>
      </c>
      <c r="R264" s="168">
        <f t="shared" si="38"/>
        <v>124494.51811005016</v>
      </c>
      <c r="S264" s="168">
        <f t="shared" si="38"/>
        <v>18397.443249944565</v>
      </c>
      <c r="T264" s="168">
        <f t="shared" si="38"/>
        <v>87637.086830448781</v>
      </c>
      <c r="U264" s="168">
        <f t="shared" si="38"/>
        <v>0</v>
      </c>
      <c r="V264" s="168">
        <f t="shared" si="38"/>
        <v>0</v>
      </c>
      <c r="W264" s="168">
        <f t="shared" si="38"/>
        <v>0</v>
      </c>
      <c r="X264" s="168">
        <f t="shared" si="38"/>
        <v>616235.5944769216</v>
      </c>
      <c r="Y264" s="168">
        <f t="shared" si="38"/>
        <v>0</v>
      </c>
      <c r="AQ264" s="3"/>
    </row>
    <row r="265" spans="5:43" x14ac:dyDescent="0.25">
      <c r="E265" s="75"/>
      <c r="J265" s="106"/>
      <c r="K265" s="106"/>
      <c r="L265" s="106"/>
      <c r="M265" s="106"/>
      <c r="N265" s="106"/>
      <c r="O265" s="106"/>
      <c r="P265" s="106"/>
      <c r="Q265" s="106"/>
      <c r="R265" s="106"/>
      <c r="S265" s="106"/>
      <c r="T265" s="106"/>
      <c r="U265" s="106"/>
      <c r="V265" s="106"/>
      <c r="W265" s="106"/>
      <c r="X265" s="106"/>
      <c r="Y265" s="106"/>
      <c r="AQ265" s="3"/>
    </row>
    <row r="266" spans="5:43" x14ac:dyDescent="0.25">
      <c r="E266" s="75" t="s">
        <v>212</v>
      </c>
      <c r="I266" t="s">
        <v>154</v>
      </c>
      <c r="J266" s="106"/>
      <c r="K266" s="106"/>
      <c r="L266" s="106"/>
      <c r="M266" s="106"/>
      <c r="N266" s="106"/>
      <c r="O266" s="106"/>
      <c r="P266" s="106"/>
      <c r="Q266" s="106"/>
      <c r="R266" s="106"/>
      <c r="S266" s="106"/>
      <c r="T266" s="106"/>
      <c r="U266" s="106"/>
      <c r="V266" s="106"/>
      <c r="W266" s="106"/>
      <c r="X266" s="106"/>
      <c r="Y266" s="106"/>
      <c r="AA266" t="s">
        <v>309</v>
      </c>
      <c r="AQ266" s="3"/>
    </row>
    <row r="267" spans="5:43" x14ac:dyDescent="0.25">
      <c r="E267" s="75"/>
      <c r="J267" s="106"/>
      <c r="K267" s="106"/>
      <c r="L267" s="106"/>
      <c r="M267" s="106"/>
      <c r="N267" s="106"/>
      <c r="O267" s="106"/>
      <c r="P267" s="106"/>
      <c r="Q267" s="106"/>
      <c r="R267" s="106"/>
      <c r="S267" s="106"/>
      <c r="T267" s="106"/>
      <c r="U267" s="106"/>
      <c r="V267" s="106"/>
      <c r="W267" s="106"/>
      <c r="X267" s="106"/>
      <c r="Y267" s="106"/>
      <c r="AQ267" s="3"/>
    </row>
    <row r="268" spans="5:43" x14ac:dyDescent="0.25">
      <c r="F268" s="94" t="s">
        <v>404</v>
      </c>
      <c r="G268" s="94" t="s">
        <v>212</v>
      </c>
      <c r="J268" s="168">
        <f t="shared" ref="J268:Y268" si="39">J202</f>
        <v>1518684.7490630394</v>
      </c>
      <c r="K268" s="168">
        <f t="shared" si="39"/>
        <v>0</v>
      </c>
      <c r="L268" s="168">
        <f t="shared" si="39"/>
        <v>142032.03403810595</v>
      </c>
      <c r="M268" s="168">
        <f t="shared" si="39"/>
        <v>0</v>
      </c>
      <c r="N268" s="168">
        <f t="shared" si="39"/>
        <v>8310.5109530058926</v>
      </c>
      <c r="O268" s="168">
        <f t="shared" si="39"/>
        <v>1705.7023088860701</v>
      </c>
      <c r="P268" s="168">
        <f t="shared" si="39"/>
        <v>1118.9950573685107</v>
      </c>
      <c r="Q268" s="168">
        <f t="shared" si="39"/>
        <v>2437</v>
      </c>
      <c r="R268" s="168">
        <f t="shared" si="39"/>
        <v>0</v>
      </c>
      <c r="S268" s="168">
        <f t="shared" si="39"/>
        <v>0</v>
      </c>
      <c r="T268" s="168">
        <f t="shared" si="39"/>
        <v>0</v>
      </c>
      <c r="U268" s="168">
        <f t="shared" si="39"/>
        <v>0</v>
      </c>
      <c r="V268" s="168">
        <f t="shared" si="39"/>
        <v>0</v>
      </c>
      <c r="W268" s="168">
        <f t="shared" si="39"/>
        <v>0</v>
      </c>
      <c r="X268" s="168">
        <f t="shared" si="39"/>
        <v>304.24933518428963</v>
      </c>
      <c r="Y268" s="168">
        <f t="shared" si="39"/>
        <v>0</v>
      </c>
      <c r="AQ268" s="3"/>
    </row>
    <row r="269" spans="5:43" x14ac:dyDescent="0.25">
      <c r="F269" s="94" t="s">
        <v>405</v>
      </c>
      <c r="G269" s="94" t="s">
        <v>212</v>
      </c>
      <c r="J269" s="168">
        <f t="shared" ref="J269:Y269" si="40">J211</f>
        <v>19353.401655970189</v>
      </c>
      <c r="K269" s="168">
        <f t="shared" si="40"/>
        <v>0</v>
      </c>
      <c r="L269" s="168">
        <f t="shared" si="40"/>
        <v>400.90114037571152</v>
      </c>
      <c r="M269" s="168">
        <f t="shared" si="40"/>
        <v>0</v>
      </c>
      <c r="N269" s="168">
        <f t="shared" si="40"/>
        <v>129.57683609661797</v>
      </c>
      <c r="O269" s="168">
        <f t="shared" si="40"/>
        <v>0</v>
      </c>
      <c r="P269" s="168">
        <f t="shared" si="40"/>
        <v>0</v>
      </c>
      <c r="Q269" s="168">
        <f t="shared" si="40"/>
        <v>0</v>
      </c>
      <c r="R269" s="168">
        <f t="shared" si="40"/>
        <v>0</v>
      </c>
      <c r="S269" s="168">
        <f t="shared" si="40"/>
        <v>0</v>
      </c>
      <c r="T269" s="168">
        <f t="shared" si="40"/>
        <v>0</v>
      </c>
      <c r="U269" s="168">
        <f t="shared" si="40"/>
        <v>0</v>
      </c>
      <c r="V269" s="168">
        <f t="shared" si="40"/>
        <v>0</v>
      </c>
      <c r="W269" s="168">
        <f t="shared" si="40"/>
        <v>0</v>
      </c>
      <c r="X269" s="168">
        <f t="shared" si="40"/>
        <v>0</v>
      </c>
      <c r="Y269" s="168">
        <f t="shared" si="40"/>
        <v>0</v>
      </c>
      <c r="AQ269" s="3"/>
    </row>
    <row r="270" spans="5:43" x14ac:dyDescent="0.25">
      <c r="F270" s="94" t="s">
        <v>406</v>
      </c>
      <c r="G270" s="94" t="s">
        <v>212</v>
      </c>
      <c r="J270" s="168">
        <f t="shared" ref="J270:Y270" si="41">J220</f>
        <v>61570.95336142907</v>
      </c>
      <c r="K270" s="168">
        <f t="shared" si="41"/>
        <v>0</v>
      </c>
      <c r="L270" s="168">
        <f t="shared" si="41"/>
        <v>1477.8772991387864</v>
      </c>
      <c r="M270" s="168">
        <f t="shared" si="41"/>
        <v>0</v>
      </c>
      <c r="N270" s="168">
        <f t="shared" si="41"/>
        <v>396.51865098155298</v>
      </c>
      <c r="O270" s="168">
        <f t="shared" si="41"/>
        <v>32.116665739303059</v>
      </c>
      <c r="P270" s="168">
        <f t="shared" si="41"/>
        <v>11.399160697643209</v>
      </c>
      <c r="Q270" s="168">
        <f t="shared" si="41"/>
        <v>0</v>
      </c>
      <c r="R270" s="168">
        <f t="shared" si="41"/>
        <v>0</v>
      </c>
      <c r="S270" s="168">
        <f t="shared" si="41"/>
        <v>0</v>
      </c>
      <c r="T270" s="168">
        <f t="shared" si="41"/>
        <v>2.5672748764303495</v>
      </c>
      <c r="U270" s="168">
        <f t="shared" si="41"/>
        <v>0</v>
      </c>
      <c r="V270" s="168">
        <f t="shared" si="41"/>
        <v>0</v>
      </c>
      <c r="W270" s="168">
        <f t="shared" si="41"/>
        <v>0</v>
      </c>
      <c r="X270" s="168">
        <f t="shared" si="41"/>
        <v>0</v>
      </c>
      <c r="Y270" s="168">
        <f t="shared" si="41"/>
        <v>0</v>
      </c>
      <c r="AQ270" s="3"/>
    </row>
    <row r="271" spans="5:43" x14ac:dyDescent="0.25">
      <c r="F271" s="94" t="s">
        <v>407</v>
      </c>
      <c r="G271" s="94" t="s">
        <v>167</v>
      </c>
      <c r="J271" s="198">
        <f t="shared" ref="J271:Y271" si="42">IF(J$40, J$46, J$34)</f>
        <v>0.38335161514577376</v>
      </c>
      <c r="K271" s="198">
        <f t="shared" si="42"/>
        <v>0.38335161514577376</v>
      </c>
      <c r="L271" s="198">
        <f t="shared" si="42"/>
        <v>0.38335161514577376</v>
      </c>
      <c r="M271" s="198">
        <f t="shared" si="42"/>
        <v>0.38335161514577376</v>
      </c>
      <c r="N271" s="198">
        <f t="shared" si="42"/>
        <v>0.38335161514577376</v>
      </c>
      <c r="O271" s="198">
        <f t="shared" si="42"/>
        <v>0</v>
      </c>
      <c r="P271" s="198">
        <f t="shared" si="42"/>
        <v>0</v>
      </c>
      <c r="Q271" s="198">
        <f t="shared" si="42"/>
        <v>0.38335161514577376</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25">
      <c r="F272" s="94" t="s">
        <v>408</v>
      </c>
      <c r="G272" s="94" t="s">
        <v>167</v>
      </c>
      <c r="J272" s="198">
        <f t="shared" ref="J272:Y272" si="43">IF(J$40, J$46, J$35)</f>
        <v>0.58826186187526186</v>
      </c>
      <c r="K272" s="198">
        <f t="shared" si="43"/>
        <v>0.58826186187526186</v>
      </c>
      <c r="L272" s="198">
        <f t="shared" si="43"/>
        <v>0.58826186187526186</v>
      </c>
      <c r="M272" s="198">
        <f t="shared" si="43"/>
        <v>0.58826186187526186</v>
      </c>
      <c r="N272" s="198">
        <f t="shared" si="43"/>
        <v>0.58826186187526186</v>
      </c>
      <c r="O272" s="198">
        <f t="shared" si="43"/>
        <v>0.31100226640485212</v>
      </c>
      <c r="P272" s="198">
        <f t="shared" si="43"/>
        <v>0.17999797646529783</v>
      </c>
      <c r="Q272" s="198">
        <f t="shared" si="43"/>
        <v>0.58826186187526186</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25">
      <c r="F273" s="94" t="s">
        <v>409</v>
      </c>
      <c r="G273" s="94" t="s">
        <v>212</v>
      </c>
      <c r="J273" s="168">
        <f t="shared" ref="J273:Y273" si="44">J269 * (1 - J271)</f>
        <v>11934.243872589124</v>
      </c>
      <c r="K273" s="168">
        <f t="shared" si="44"/>
        <v>0</v>
      </c>
      <c r="L273" s="168">
        <f t="shared" si="44"/>
        <v>247.21504069889994</v>
      </c>
      <c r="M273" s="168">
        <f t="shared" si="44"/>
        <v>0</v>
      </c>
      <c r="N273" s="168">
        <f t="shared" si="44"/>
        <v>79.903346693500268</v>
      </c>
      <c r="O273" s="168">
        <f t="shared" si="44"/>
        <v>0</v>
      </c>
      <c r="P273" s="168">
        <f t="shared" si="44"/>
        <v>0</v>
      </c>
      <c r="Q273" s="168">
        <f t="shared" si="44"/>
        <v>0</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25">
      <c r="F274" s="101" t="s">
        <v>410</v>
      </c>
      <c r="G274" s="101" t="s">
        <v>212</v>
      </c>
      <c r="H274" s="96"/>
      <c r="I274" s="96"/>
      <c r="J274" s="173">
        <f t="shared" ref="J274:Y274" si="45">J270 * (1 - J272)</f>
        <v>25351.109699599892</v>
      </c>
      <c r="K274" s="173">
        <f t="shared" si="45"/>
        <v>0</v>
      </c>
      <c r="L274" s="173">
        <f t="shared" si="45"/>
        <v>608.49844752422052</v>
      </c>
      <c r="M274" s="173">
        <f t="shared" si="45"/>
        <v>0</v>
      </c>
      <c r="N274" s="173">
        <f t="shared" si="45"/>
        <v>163.2618510868775</v>
      </c>
      <c r="O274" s="173">
        <f t="shared" si="45"/>
        <v>22.128309905012742</v>
      </c>
      <c r="P274" s="173">
        <f t="shared" si="45"/>
        <v>9.3473348386646791</v>
      </c>
      <c r="Q274" s="173">
        <f t="shared" si="45"/>
        <v>0</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25">
      <c r="F275" s="94" t="s">
        <v>411</v>
      </c>
      <c r="G275" s="94" t="s">
        <v>212</v>
      </c>
      <c r="J275" s="151">
        <f t="shared" ref="J275:Y275" si="46">J268 + J273 + J274</f>
        <v>1555970.1026352285</v>
      </c>
      <c r="K275" s="151">
        <f t="shared" si="46"/>
        <v>0</v>
      </c>
      <c r="L275" s="151">
        <f t="shared" si="46"/>
        <v>142887.74752632907</v>
      </c>
      <c r="M275" s="151">
        <f t="shared" si="46"/>
        <v>0</v>
      </c>
      <c r="N275" s="151">
        <f t="shared" si="46"/>
        <v>8553.6761507862702</v>
      </c>
      <c r="O275" s="151">
        <f t="shared" si="46"/>
        <v>1727.8306187910828</v>
      </c>
      <c r="P275" s="151">
        <f t="shared" si="46"/>
        <v>1128.3423922071754</v>
      </c>
      <c r="Q275" s="151">
        <f t="shared" si="46"/>
        <v>2437</v>
      </c>
      <c r="R275" s="151">
        <f t="shared" si="46"/>
        <v>0</v>
      </c>
      <c r="S275" s="151">
        <f t="shared" si="46"/>
        <v>0</v>
      </c>
      <c r="T275" s="151">
        <f t="shared" si="46"/>
        <v>0</v>
      </c>
      <c r="U275" s="151">
        <f t="shared" si="46"/>
        <v>0</v>
      </c>
      <c r="V275" s="151">
        <f t="shared" si="46"/>
        <v>0</v>
      </c>
      <c r="W275" s="151">
        <f t="shared" si="46"/>
        <v>0</v>
      </c>
      <c r="X275" s="151">
        <f t="shared" si="46"/>
        <v>304.24933518428963</v>
      </c>
      <c r="Y275" s="151">
        <f t="shared" si="46"/>
        <v>0</v>
      </c>
      <c r="AQ275" s="3"/>
    </row>
    <row r="276" spans="5:43" x14ac:dyDescent="0.25">
      <c r="E276" s="75"/>
      <c r="J276" s="106"/>
      <c r="K276" s="106"/>
      <c r="L276" s="106"/>
      <c r="M276" s="106"/>
      <c r="N276" s="106"/>
      <c r="O276" s="106"/>
      <c r="P276" s="106"/>
      <c r="Q276" s="106"/>
      <c r="R276" s="106"/>
      <c r="S276" s="106"/>
      <c r="T276" s="106"/>
      <c r="U276" s="106"/>
      <c r="V276" s="106"/>
      <c r="W276" s="106"/>
      <c r="X276" s="106"/>
      <c r="Y276" s="106"/>
      <c r="AQ276" s="3"/>
    </row>
    <row r="277" spans="5:43" x14ac:dyDescent="0.25">
      <c r="E277" s="75" t="s">
        <v>250</v>
      </c>
      <c r="I277" t="s">
        <v>154</v>
      </c>
      <c r="J277" s="106"/>
      <c r="K277" s="106"/>
      <c r="L277" s="106"/>
      <c r="M277" s="106"/>
      <c r="N277" s="106"/>
      <c r="O277" s="106"/>
      <c r="P277" s="106"/>
      <c r="Q277" s="106"/>
      <c r="R277" s="106"/>
      <c r="S277" s="106"/>
      <c r="T277" s="106"/>
      <c r="U277" s="106"/>
      <c r="V277" s="106"/>
      <c r="W277" s="106"/>
      <c r="X277" s="106"/>
      <c r="Y277" s="106"/>
      <c r="AA277" t="s">
        <v>309</v>
      </c>
      <c r="AQ277" s="3"/>
    </row>
    <row r="278" spans="5:43" x14ac:dyDescent="0.25">
      <c r="E278" s="75"/>
      <c r="J278" s="106"/>
      <c r="K278" s="106"/>
      <c r="L278" s="106"/>
      <c r="M278" s="106"/>
      <c r="N278" s="106"/>
      <c r="O278" s="106"/>
      <c r="P278" s="106"/>
      <c r="Q278" s="106"/>
      <c r="R278" s="106"/>
      <c r="S278" s="106"/>
      <c r="T278" s="106"/>
      <c r="U278" s="106"/>
      <c r="V278" s="106"/>
      <c r="W278" s="106"/>
      <c r="X278" s="106"/>
      <c r="Y278" s="106"/>
      <c r="AQ278" s="3"/>
    </row>
    <row r="279" spans="5:43" x14ac:dyDescent="0.25">
      <c r="F279" s="94" t="s">
        <v>404</v>
      </c>
      <c r="G279" s="94" t="s">
        <v>251</v>
      </c>
      <c r="J279" s="168">
        <f t="shared" ref="J279:Y279" si="47">J203</f>
        <v>0</v>
      </c>
      <c r="K279" s="168">
        <f t="shared" si="47"/>
        <v>0</v>
      </c>
      <c r="L279" s="168">
        <f t="shared" si="47"/>
        <v>0</v>
      </c>
      <c r="M279" s="168">
        <f t="shared" si="47"/>
        <v>0</v>
      </c>
      <c r="N279" s="168">
        <f t="shared" si="47"/>
        <v>848047.93436293432</v>
      </c>
      <c r="O279" s="168">
        <f t="shared" si="47"/>
        <v>377470.80246913573</v>
      </c>
      <c r="P279" s="168">
        <f t="shared" si="47"/>
        <v>963270.48084759561</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25">
      <c r="F280" s="94" t="s">
        <v>405</v>
      </c>
      <c r="G280" s="94" t="s">
        <v>251</v>
      </c>
      <c r="J280" s="168">
        <f t="shared" ref="J280:Y280" si="48">J212</f>
        <v>0</v>
      </c>
      <c r="K280" s="168">
        <f t="shared" si="48"/>
        <v>0</v>
      </c>
      <c r="L280" s="168">
        <f t="shared" si="48"/>
        <v>0</v>
      </c>
      <c r="M280" s="168">
        <f t="shared" si="48"/>
        <v>0</v>
      </c>
      <c r="N280" s="168">
        <f t="shared" si="48"/>
        <v>22916.245142680567</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25">
      <c r="F281" s="94" t="s">
        <v>406</v>
      </c>
      <c r="G281" s="94" t="s">
        <v>251</v>
      </c>
      <c r="J281" s="168">
        <f t="shared" ref="J281:Y281" si="49">J221</f>
        <v>0</v>
      </c>
      <c r="K281" s="168">
        <f t="shared" si="49"/>
        <v>0</v>
      </c>
      <c r="L281" s="168">
        <f t="shared" si="49"/>
        <v>0</v>
      </c>
      <c r="M281" s="168">
        <f t="shared" si="49"/>
        <v>0</v>
      </c>
      <c r="N281" s="168">
        <f t="shared" si="49"/>
        <v>95398.50838670379</v>
      </c>
      <c r="O281" s="168">
        <f t="shared" si="49"/>
        <v>21529.126943849853</v>
      </c>
      <c r="P281" s="168">
        <f t="shared" si="49"/>
        <v>18946.740420846283</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25">
      <c r="F282" s="94" t="s">
        <v>407</v>
      </c>
      <c r="G282" s="94" t="s">
        <v>167</v>
      </c>
      <c r="J282" s="198">
        <f t="shared" ref="J282:Y282" si="50">IF(J$41, J$47, J$34)</f>
        <v>0.38335161514577376</v>
      </c>
      <c r="K282" s="198">
        <f t="shared" si="50"/>
        <v>0.38335161514577376</v>
      </c>
      <c r="L282" s="198">
        <f t="shared" si="50"/>
        <v>0.38335161514577376</v>
      </c>
      <c r="M282" s="198">
        <f t="shared" si="50"/>
        <v>0.38335161514577376</v>
      </c>
      <c r="N282" s="198">
        <f t="shared" si="50"/>
        <v>0.38335161514577376</v>
      </c>
      <c r="O282" s="198">
        <f t="shared" si="50"/>
        <v>0</v>
      </c>
      <c r="P282" s="198">
        <f t="shared" si="50"/>
        <v>0</v>
      </c>
      <c r="Q282" s="198">
        <f t="shared" si="50"/>
        <v>0.38335161514577376</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25">
      <c r="F283" s="94" t="s">
        <v>408</v>
      </c>
      <c r="G283" s="94" t="s">
        <v>167</v>
      </c>
      <c r="J283" s="198">
        <f t="shared" ref="J283:Y283" si="51">IF(J$41, J$47, J$35)</f>
        <v>0.58826186187526186</v>
      </c>
      <c r="K283" s="198">
        <f t="shared" si="51"/>
        <v>0.58826186187526186</v>
      </c>
      <c r="L283" s="198">
        <f t="shared" si="51"/>
        <v>0.58826186187526186</v>
      </c>
      <c r="M283" s="198">
        <f t="shared" si="51"/>
        <v>0.58826186187526186</v>
      </c>
      <c r="N283" s="198">
        <f t="shared" si="51"/>
        <v>0.58826186187526186</v>
      </c>
      <c r="O283" s="198">
        <f t="shared" si="51"/>
        <v>0.31100226640485212</v>
      </c>
      <c r="P283" s="198">
        <f t="shared" si="51"/>
        <v>0.17999797646529783</v>
      </c>
      <c r="Q283" s="198">
        <f t="shared" si="51"/>
        <v>0.58826186187526186</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25">
      <c r="F284" s="94" t="s">
        <v>409</v>
      </c>
      <c r="G284" s="94" t="s">
        <v>251</v>
      </c>
      <c r="J284" s="168">
        <f t="shared" ref="J284:Y284" si="52">J280 * (1 - J282)</f>
        <v>0</v>
      </c>
      <c r="K284" s="168">
        <f t="shared" si="52"/>
        <v>0</v>
      </c>
      <c r="L284" s="168">
        <f t="shared" si="52"/>
        <v>0</v>
      </c>
      <c r="M284" s="168">
        <f t="shared" si="52"/>
        <v>0</v>
      </c>
      <c r="N284" s="168">
        <f t="shared" si="52"/>
        <v>14131.265554157479</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25">
      <c r="F285" s="101" t="s">
        <v>410</v>
      </c>
      <c r="G285" s="101" t="s">
        <v>251</v>
      </c>
      <c r="H285" s="96"/>
      <c r="I285" s="96"/>
      <c r="J285" s="173">
        <f t="shared" ref="J285:Y285" si="53">J281 * (1 - J283)</f>
        <v>0</v>
      </c>
      <c r="K285" s="173">
        <f t="shared" si="53"/>
        <v>0</v>
      </c>
      <c r="L285" s="173">
        <f t="shared" si="53"/>
        <v>0</v>
      </c>
      <c r="M285" s="173">
        <f t="shared" si="53"/>
        <v>0</v>
      </c>
      <c r="N285" s="173">
        <f t="shared" si="53"/>
        <v>39279.204223018634</v>
      </c>
      <c r="O285" s="173">
        <f t="shared" si="53"/>
        <v>14833.51967059478</v>
      </c>
      <c r="P285" s="173">
        <f t="shared" si="53"/>
        <v>15536.365484480688</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25">
      <c r="F286" s="94" t="s">
        <v>411</v>
      </c>
      <c r="G286" s="94" t="s">
        <v>251</v>
      </c>
      <c r="J286" s="151">
        <f t="shared" ref="J286:Y286" si="54">J279 + J284 + J285</f>
        <v>0</v>
      </c>
      <c r="K286" s="151">
        <f t="shared" si="54"/>
        <v>0</v>
      </c>
      <c r="L286" s="151">
        <f t="shared" si="54"/>
        <v>0</v>
      </c>
      <c r="M286" s="151">
        <f t="shared" si="54"/>
        <v>0</v>
      </c>
      <c r="N286" s="151">
        <f t="shared" si="54"/>
        <v>901458.40414011036</v>
      </c>
      <c r="O286" s="151">
        <f t="shared" si="54"/>
        <v>392304.3221397305</v>
      </c>
      <c r="P286" s="151">
        <f t="shared" si="54"/>
        <v>978806.84633207624</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25">
      <c r="E287" s="75"/>
      <c r="J287" s="106"/>
      <c r="K287" s="106"/>
      <c r="L287" s="106"/>
      <c r="M287" s="106"/>
      <c r="N287" s="106"/>
      <c r="O287" s="106"/>
      <c r="P287" s="106"/>
      <c r="Q287" s="106"/>
      <c r="R287" s="106"/>
      <c r="S287" s="106"/>
      <c r="T287" s="106"/>
      <c r="U287" s="106"/>
      <c r="V287" s="106"/>
      <c r="W287" s="106"/>
      <c r="X287" s="106"/>
      <c r="Y287" s="106"/>
      <c r="AQ287" s="3"/>
    </row>
    <row r="288" spans="5:43" x14ac:dyDescent="0.25">
      <c r="E288" s="75" t="s">
        <v>252</v>
      </c>
      <c r="I288" t="s">
        <v>154</v>
      </c>
      <c r="J288" s="106"/>
      <c r="K288" s="106"/>
      <c r="L288" s="106"/>
      <c r="M288" s="106"/>
      <c r="N288" s="106"/>
      <c r="O288" s="106"/>
      <c r="P288" s="106"/>
      <c r="Q288" s="106"/>
      <c r="R288" s="106"/>
      <c r="S288" s="106"/>
      <c r="T288" s="106"/>
      <c r="U288" s="106"/>
      <c r="V288" s="106"/>
      <c r="W288" s="106"/>
      <c r="X288" s="106"/>
      <c r="Y288" s="106"/>
      <c r="AA288" t="s">
        <v>309</v>
      </c>
      <c r="AQ288" s="3"/>
    </row>
    <row r="289" spans="5:43" x14ac:dyDescent="0.25">
      <c r="E289" s="75"/>
      <c r="J289" s="106"/>
      <c r="K289" s="106"/>
      <c r="L289" s="106"/>
      <c r="M289" s="106"/>
      <c r="N289" s="106"/>
      <c r="O289" s="106"/>
      <c r="P289" s="106"/>
      <c r="Q289" s="106"/>
      <c r="R289" s="106"/>
      <c r="S289" s="106"/>
      <c r="T289" s="106"/>
      <c r="U289" s="106"/>
      <c r="V289" s="106"/>
      <c r="W289" s="106"/>
      <c r="X289" s="106"/>
      <c r="Y289" s="106"/>
      <c r="AQ289" s="3"/>
    </row>
    <row r="290" spans="5:43" x14ac:dyDescent="0.25">
      <c r="F290" s="94" t="s">
        <v>404</v>
      </c>
      <c r="G290" s="94" t="s">
        <v>251</v>
      </c>
      <c r="J290" s="168">
        <f t="shared" ref="J290:Y290" si="55">J204</f>
        <v>0</v>
      </c>
      <c r="K290" s="168">
        <f t="shared" si="55"/>
        <v>0</v>
      </c>
      <c r="L290" s="168">
        <f t="shared" si="55"/>
        <v>0</v>
      </c>
      <c r="M290" s="168">
        <f t="shared" si="55"/>
        <v>0</v>
      </c>
      <c r="N290" s="168">
        <f t="shared" si="55"/>
        <v>24533.109589041098</v>
      </c>
      <c r="O290" s="168">
        <f t="shared" si="55"/>
        <v>4606.4986301369854</v>
      </c>
      <c r="P290" s="168">
        <f t="shared" si="55"/>
        <v>12022.446575342467</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25">
      <c r="F291" s="94" t="s">
        <v>405</v>
      </c>
      <c r="G291" s="94" t="s">
        <v>251</v>
      </c>
      <c r="J291" s="168">
        <f t="shared" ref="J291:Y291" si="56">J213</f>
        <v>0</v>
      </c>
      <c r="K291" s="168">
        <f t="shared" si="56"/>
        <v>0</v>
      </c>
      <c r="L291" s="168">
        <f t="shared" si="56"/>
        <v>0</v>
      </c>
      <c r="M291" s="168">
        <f t="shared" si="56"/>
        <v>0</v>
      </c>
      <c r="N291" s="168">
        <f t="shared" si="56"/>
        <v>131.36459670372344</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25">
      <c r="F292" s="94" t="s">
        <v>406</v>
      </c>
      <c r="G292" s="94" t="s">
        <v>251</v>
      </c>
      <c r="J292" s="168">
        <f t="shared" ref="J292:Y292" si="57">J222</f>
        <v>0</v>
      </c>
      <c r="K292" s="168">
        <f t="shared" si="57"/>
        <v>0</v>
      </c>
      <c r="L292" s="168">
        <f t="shared" si="57"/>
        <v>0</v>
      </c>
      <c r="M292" s="168">
        <f t="shared" si="57"/>
        <v>0</v>
      </c>
      <c r="N292" s="168">
        <f t="shared" si="57"/>
        <v>293.95546578491314</v>
      </c>
      <c r="O292" s="168">
        <f t="shared" si="57"/>
        <v>0</v>
      </c>
      <c r="P292" s="168">
        <f t="shared" si="57"/>
        <v>0</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25">
      <c r="F293" s="94" t="s">
        <v>407</v>
      </c>
      <c r="G293" s="94" t="s">
        <v>167</v>
      </c>
      <c r="J293" s="198">
        <f t="shared" ref="J293:Y293" si="58">IF(J$42, J$48, J$34)</f>
        <v>0.38335161514577376</v>
      </c>
      <c r="K293" s="198">
        <f t="shared" si="58"/>
        <v>0.38335161514577376</v>
      </c>
      <c r="L293" s="198">
        <f t="shared" si="58"/>
        <v>0.38335161514577376</v>
      </c>
      <c r="M293" s="198">
        <f t="shared" si="58"/>
        <v>0.38335161514577376</v>
      </c>
      <c r="N293" s="198">
        <f t="shared" si="58"/>
        <v>0.38335161514577376</v>
      </c>
      <c r="O293" s="198">
        <f t="shared" si="58"/>
        <v>0</v>
      </c>
      <c r="P293" s="198">
        <f t="shared" si="58"/>
        <v>0</v>
      </c>
      <c r="Q293" s="198">
        <f t="shared" si="58"/>
        <v>0.38335161514577376</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25">
      <c r="F294" s="94" t="s">
        <v>408</v>
      </c>
      <c r="G294" s="94" t="s">
        <v>167</v>
      </c>
      <c r="J294" s="198">
        <f t="shared" ref="J294:Y294" si="59">IF(J$42, J$48, J$35)</f>
        <v>0.58826186187526186</v>
      </c>
      <c r="K294" s="198">
        <f t="shared" si="59"/>
        <v>0.58826186187526186</v>
      </c>
      <c r="L294" s="198">
        <f t="shared" si="59"/>
        <v>0.58826186187526186</v>
      </c>
      <c r="M294" s="198">
        <f t="shared" si="59"/>
        <v>0.58826186187526186</v>
      </c>
      <c r="N294" s="198">
        <f t="shared" si="59"/>
        <v>0.58826186187526186</v>
      </c>
      <c r="O294" s="198">
        <f t="shared" si="59"/>
        <v>0.31100226640485212</v>
      </c>
      <c r="P294" s="198">
        <f t="shared" si="59"/>
        <v>0.17999797646529783</v>
      </c>
      <c r="Q294" s="198">
        <f t="shared" si="59"/>
        <v>0.58826186187526186</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25">
      <c r="F295" s="94" t="s">
        <v>409</v>
      </c>
      <c r="G295" s="94" t="s">
        <v>251</v>
      </c>
      <c r="J295" s="168">
        <f t="shared" ref="J295:Y295" si="60">J291 * (1 - J293)</f>
        <v>0</v>
      </c>
      <c r="K295" s="168">
        <f t="shared" si="60"/>
        <v>0</v>
      </c>
      <c r="L295" s="168">
        <f t="shared" si="60"/>
        <v>0</v>
      </c>
      <c r="M295" s="168">
        <f t="shared" si="60"/>
        <v>0</v>
      </c>
      <c r="N295" s="168">
        <f t="shared" si="60"/>
        <v>81.005766384377864</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25">
      <c r="F296" s="101" t="s">
        <v>410</v>
      </c>
      <c r="G296" s="101" t="s">
        <v>251</v>
      </c>
      <c r="H296" s="96"/>
      <c r="I296" s="96"/>
      <c r="J296" s="173">
        <f t="shared" ref="J296:Y296" si="61">J292 * (1 - J294)</f>
        <v>0</v>
      </c>
      <c r="K296" s="173">
        <f t="shared" si="61"/>
        <v>0</v>
      </c>
      <c r="L296" s="173">
        <f t="shared" si="61"/>
        <v>0</v>
      </c>
      <c r="M296" s="173">
        <f t="shared" si="61"/>
        <v>0</v>
      </c>
      <c r="N296" s="173">
        <f t="shared" si="61"/>
        <v>121.0326761738703</v>
      </c>
      <c r="O296" s="173">
        <f t="shared" si="61"/>
        <v>0</v>
      </c>
      <c r="P296" s="173">
        <f t="shared" si="61"/>
        <v>0</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25">
      <c r="F297" s="94" t="s">
        <v>411</v>
      </c>
      <c r="G297" s="94" t="s">
        <v>251</v>
      </c>
      <c r="J297" s="151">
        <f t="shared" ref="J297:Y297" si="62">J290 + J295 + J296</f>
        <v>0</v>
      </c>
      <c r="K297" s="151">
        <f t="shared" si="62"/>
        <v>0</v>
      </c>
      <c r="L297" s="151">
        <f t="shared" si="62"/>
        <v>0</v>
      </c>
      <c r="M297" s="151">
        <f t="shared" si="62"/>
        <v>0</v>
      </c>
      <c r="N297" s="151">
        <f t="shared" si="62"/>
        <v>24735.148031599343</v>
      </c>
      <c r="O297" s="151">
        <f t="shared" si="62"/>
        <v>4606.4986301369854</v>
      </c>
      <c r="P297" s="151">
        <f t="shared" si="62"/>
        <v>12022.446575342467</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25">
      <c r="E298" s="75"/>
      <c r="J298" s="106"/>
      <c r="K298" s="106"/>
      <c r="L298" s="106"/>
      <c r="M298" s="106"/>
      <c r="N298" s="106"/>
      <c r="O298" s="106"/>
      <c r="P298" s="106"/>
      <c r="Q298" s="106"/>
      <c r="R298" s="106"/>
      <c r="S298" s="106"/>
      <c r="T298" s="106"/>
      <c r="U298" s="106"/>
      <c r="V298" s="106"/>
      <c r="W298" s="106"/>
      <c r="X298" s="106"/>
      <c r="Y298" s="106"/>
      <c r="AQ298" s="3"/>
    </row>
    <row r="299" spans="5:43" x14ac:dyDescent="0.25">
      <c r="E299" s="75" t="s">
        <v>253</v>
      </c>
      <c r="I299" t="s">
        <v>154</v>
      </c>
      <c r="J299" s="106"/>
      <c r="K299" s="106"/>
      <c r="L299" s="106"/>
      <c r="M299" s="106"/>
      <c r="N299" s="106"/>
      <c r="O299" s="106"/>
      <c r="P299" s="106"/>
      <c r="Q299" s="106"/>
      <c r="R299" s="106"/>
      <c r="S299" s="106"/>
      <c r="T299" s="106"/>
      <c r="U299" s="106"/>
      <c r="V299" s="106"/>
      <c r="W299" s="106"/>
      <c r="X299" s="106"/>
      <c r="Y299" s="106"/>
      <c r="AA299" t="s">
        <v>309</v>
      </c>
      <c r="AQ299" s="3"/>
    </row>
    <row r="300" spans="5:43" x14ac:dyDescent="0.25">
      <c r="E300" s="75"/>
      <c r="J300" s="106"/>
      <c r="K300" s="106"/>
      <c r="L300" s="106"/>
      <c r="M300" s="106"/>
      <c r="N300" s="106"/>
      <c r="O300" s="106"/>
      <c r="P300" s="106"/>
      <c r="Q300" s="106"/>
      <c r="R300" s="106"/>
      <c r="S300" s="106"/>
      <c r="T300" s="106"/>
      <c r="U300" s="106"/>
      <c r="V300" s="106"/>
      <c r="W300" s="106"/>
      <c r="X300" s="106"/>
      <c r="Y300" s="106"/>
      <c r="AQ300" s="3"/>
    </row>
    <row r="301" spans="5:43" x14ac:dyDescent="0.25">
      <c r="F301" s="94" t="s">
        <v>404</v>
      </c>
      <c r="G301" s="94" t="s">
        <v>254</v>
      </c>
      <c r="J301" s="168">
        <f t="shared" ref="J301:Y301" si="63">J205</f>
        <v>0</v>
      </c>
      <c r="K301" s="168">
        <f t="shared" si="63"/>
        <v>0</v>
      </c>
      <c r="L301" s="168">
        <f t="shared" si="63"/>
        <v>0</v>
      </c>
      <c r="M301" s="168">
        <f t="shared" si="63"/>
        <v>0</v>
      </c>
      <c r="N301" s="168">
        <f t="shared" si="63"/>
        <v>100196.57600000002</v>
      </c>
      <c r="O301" s="168">
        <f t="shared" si="63"/>
        <v>59056.909999999989</v>
      </c>
      <c r="P301" s="168">
        <f t="shared" si="63"/>
        <v>152148.94899999999</v>
      </c>
      <c r="Q301" s="168">
        <f t="shared" si="63"/>
        <v>0</v>
      </c>
      <c r="R301" s="168">
        <f t="shared" si="63"/>
        <v>0</v>
      </c>
      <c r="S301" s="168">
        <f t="shared" si="63"/>
        <v>0</v>
      </c>
      <c r="T301" s="168">
        <f t="shared" si="63"/>
        <v>6042.679000000001</v>
      </c>
      <c r="U301" s="168">
        <f t="shared" si="63"/>
        <v>0</v>
      </c>
      <c r="V301" s="168">
        <f t="shared" si="63"/>
        <v>0</v>
      </c>
      <c r="W301" s="168">
        <f t="shared" si="63"/>
        <v>0</v>
      </c>
      <c r="X301" s="168">
        <f t="shared" si="63"/>
        <v>8398.768</v>
      </c>
      <c r="Y301" s="168">
        <f t="shared" si="63"/>
        <v>0</v>
      </c>
      <c r="AQ301" s="3"/>
    </row>
    <row r="302" spans="5:43" x14ac:dyDescent="0.25">
      <c r="F302" s="94" t="s">
        <v>405</v>
      </c>
      <c r="G302" s="94" t="s">
        <v>254</v>
      </c>
      <c r="J302" s="168">
        <f t="shared" ref="J302:Y302" si="64">J214</f>
        <v>0</v>
      </c>
      <c r="K302" s="168">
        <f t="shared" si="64"/>
        <v>0</v>
      </c>
      <c r="L302" s="168">
        <f t="shared" si="64"/>
        <v>0</v>
      </c>
      <c r="M302" s="168">
        <f t="shared" si="64"/>
        <v>0</v>
      </c>
      <c r="N302" s="168">
        <f t="shared" si="64"/>
        <v>1263.4976027064799</v>
      </c>
      <c r="O302" s="168">
        <f t="shared" si="64"/>
        <v>0</v>
      </c>
      <c r="P302" s="168">
        <f t="shared" si="64"/>
        <v>0</v>
      </c>
      <c r="Q302" s="168">
        <f t="shared" si="64"/>
        <v>0</v>
      </c>
      <c r="R302" s="168">
        <f t="shared" si="64"/>
        <v>0</v>
      </c>
      <c r="S302" s="168">
        <f t="shared" si="64"/>
        <v>0</v>
      </c>
      <c r="T302" s="168">
        <f t="shared" si="64"/>
        <v>0</v>
      </c>
      <c r="U302" s="168">
        <f t="shared" si="64"/>
        <v>0</v>
      </c>
      <c r="V302" s="168">
        <f t="shared" si="64"/>
        <v>0</v>
      </c>
      <c r="W302" s="168">
        <f t="shared" si="64"/>
        <v>0</v>
      </c>
      <c r="X302" s="168">
        <f t="shared" si="64"/>
        <v>0</v>
      </c>
      <c r="Y302" s="168">
        <f t="shared" si="64"/>
        <v>0</v>
      </c>
      <c r="AQ302" s="3"/>
    </row>
    <row r="303" spans="5:43" x14ac:dyDescent="0.25">
      <c r="F303" s="94" t="s">
        <v>406</v>
      </c>
      <c r="G303" s="94" t="s">
        <v>254</v>
      </c>
      <c r="J303" s="168">
        <f t="shared" ref="J303:Y303" si="65">J223</f>
        <v>0</v>
      </c>
      <c r="K303" s="168">
        <f t="shared" si="65"/>
        <v>0</v>
      </c>
      <c r="L303" s="168">
        <f t="shared" si="65"/>
        <v>0</v>
      </c>
      <c r="M303" s="168">
        <f t="shared" si="65"/>
        <v>0</v>
      </c>
      <c r="N303" s="168">
        <f t="shared" si="65"/>
        <v>6602.5923584288757</v>
      </c>
      <c r="O303" s="168">
        <f t="shared" si="65"/>
        <v>690.28835187464824</v>
      </c>
      <c r="P303" s="168">
        <f t="shared" si="65"/>
        <v>279.91140468052561</v>
      </c>
      <c r="Q303" s="168">
        <f t="shared" si="65"/>
        <v>0</v>
      </c>
      <c r="R303" s="168">
        <f t="shared" si="65"/>
        <v>0</v>
      </c>
      <c r="S303" s="168">
        <f t="shared" si="65"/>
        <v>0</v>
      </c>
      <c r="T303" s="168">
        <f t="shared" si="65"/>
        <v>5.8391330320959867</v>
      </c>
      <c r="U303" s="168">
        <f t="shared" si="65"/>
        <v>0</v>
      </c>
      <c r="V303" s="168">
        <f t="shared" si="65"/>
        <v>0</v>
      </c>
      <c r="W303" s="168">
        <f t="shared" si="65"/>
        <v>0</v>
      </c>
      <c r="X303" s="168">
        <f t="shared" si="65"/>
        <v>0</v>
      </c>
      <c r="Y303" s="168">
        <f t="shared" si="65"/>
        <v>0</v>
      </c>
      <c r="AQ303" s="3"/>
    </row>
    <row r="304" spans="5:43" x14ac:dyDescent="0.25">
      <c r="F304" s="94" t="s">
        <v>407</v>
      </c>
      <c r="G304" s="94" t="s">
        <v>167</v>
      </c>
      <c r="J304" s="198">
        <f t="shared" ref="J304:Y304" si="66">IF(J$43, J$49, J$34)</f>
        <v>0.38335161514577376</v>
      </c>
      <c r="K304" s="198">
        <f t="shared" si="66"/>
        <v>0.38335161514577376</v>
      </c>
      <c r="L304" s="198">
        <f t="shared" si="66"/>
        <v>0.38335161514577376</v>
      </c>
      <c r="M304" s="198">
        <f t="shared" si="66"/>
        <v>0.38335161514577376</v>
      </c>
      <c r="N304" s="198">
        <f t="shared" si="66"/>
        <v>0.38335161514577376</v>
      </c>
      <c r="O304" s="198">
        <f t="shared" si="66"/>
        <v>0</v>
      </c>
      <c r="P304" s="198">
        <f t="shared" si="66"/>
        <v>0</v>
      </c>
      <c r="Q304" s="198">
        <f t="shared" si="66"/>
        <v>0.38335161514577376</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25">
      <c r="F305" s="94" t="s">
        <v>408</v>
      </c>
      <c r="G305" s="94" t="s">
        <v>167</v>
      </c>
      <c r="J305" s="198">
        <f t="shared" ref="J305:Y305" si="67">IF(J$43, J$49, J$35)</f>
        <v>0.58826186187526186</v>
      </c>
      <c r="K305" s="198">
        <f t="shared" si="67"/>
        <v>0.58826186187526186</v>
      </c>
      <c r="L305" s="198">
        <f t="shared" si="67"/>
        <v>0.58826186187526186</v>
      </c>
      <c r="M305" s="198">
        <f t="shared" si="67"/>
        <v>0.58826186187526186</v>
      </c>
      <c r="N305" s="198">
        <f t="shared" si="67"/>
        <v>0.58826186187526186</v>
      </c>
      <c r="O305" s="198">
        <f t="shared" si="67"/>
        <v>0.31100226640485212</v>
      </c>
      <c r="P305" s="198">
        <f t="shared" si="67"/>
        <v>0.17999797646529783</v>
      </c>
      <c r="Q305" s="198">
        <f t="shared" si="67"/>
        <v>0.58826186187526186</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25">
      <c r="F306" s="94" t="s">
        <v>409</v>
      </c>
      <c r="G306" s="94" t="s">
        <v>254</v>
      </c>
      <c r="J306" s="168">
        <f t="shared" ref="J306:Y306" si="68">J302 * (1 - J304)</f>
        <v>0</v>
      </c>
      <c r="K306" s="168">
        <f t="shared" si="68"/>
        <v>0</v>
      </c>
      <c r="L306" s="168">
        <f t="shared" si="68"/>
        <v>0</v>
      </c>
      <c r="M306" s="168">
        <f t="shared" si="68"/>
        <v>0</v>
      </c>
      <c r="N306" s="168">
        <f t="shared" si="68"/>
        <v>779.13375597613765</v>
      </c>
      <c r="O306" s="168">
        <f t="shared" si="68"/>
        <v>0</v>
      </c>
      <c r="P306" s="168">
        <f t="shared" si="68"/>
        <v>0</v>
      </c>
      <c r="Q306" s="168">
        <f t="shared" si="68"/>
        <v>0</v>
      </c>
      <c r="R306" s="168">
        <f t="shared" si="68"/>
        <v>0</v>
      </c>
      <c r="S306" s="168">
        <f t="shared" si="68"/>
        <v>0</v>
      </c>
      <c r="T306" s="168">
        <f t="shared" si="68"/>
        <v>0</v>
      </c>
      <c r="U306" s="168">
        <f t="shared" si="68"/>
        <v>0</v>
      </c>
      <c r="V306" s="168">
        <f t="shared" si="68"/>
        <v>0</v>
      </c>
      <c r="W306" s="168">
        <f t="shared" si="68"/>
        <v>0</v>
      </c>
      <c r="X306" s="168">
        <f t="shared" si="68"/>
        <v>0</v>
      </c>
      <c r="Y306" s="168">
        <f t="shared" si="68"/>
        <v>0</v>
      </c>
      <c r="AQ306" s="3"/>
    </row>
    <row r="307" spans="2:43" x14ac:dyDescent="0.25">
      <c r="F307" s="101" t="s">
        <v>410</v>
      </c>
      <c r="G307" s="101" t="s">
        <v>254</v>
      </c>
      <c r="H307" s="96"/>
      <c r="I307" s="96"/>
      <c r="J307" s="173">
        <f t="shared" ref="J307:Y307" si="69">J303 * (1 - J305)</f>
        <v>0</v>
      </c>
      <c r="K307" s="173">
        <f t="shared" si="69"/>
        <v>0</v>
      </c>
      <c r="L307" s="173">
        <f t="shared" si="69"/>
        <v>0</v>
      </c>
      <c r="M307" s="173">
        <f t="shared" si="69"/>
        <v>0</v>
      </c>
      <c r="N307" s="173">
        <f t="shared" si="69"/>
        <v>2718.5390844561289</v>
      </c>
      <c r="O307" s="173">
        <f t="shared" si="69"/>
        <v>475.60710996876253</v>
      </c>
      <c r="P307" s="173">
        <f t="shared" si="69"/>
        <v>229.52791824847191</v>
      </c>
      <c r="Q307" s="173">
        <f t="shared" si="69"/>
        <v>0</v>
      </c>
      <c r="R307" s="173">
        <f t="shared" si="69"/>
        <v>0</v>
      </c>
      <c r="S307" s="173">
        <f t="shared" si="69"/>
        <v>0</v>
      </c>
      <c r="T307" s="173">
        <f t="shared" si="69"/>
        <v>5.8391330320959867</v>
      </c>
      <c r="U307" s="173">
        <f t="shared" si="69"/>
        <v>0</v>
      </c>
      <c r="V307" s="173">
        <f t="shared" si="69"/>
        <v>0</v>
      </c>
      <c r="W307" s="173">
        <f t="shared" si="69"/>
        <v>0</v>
      </c>
      <c r="X307" s="173">
        <f t="shared" si="69"/>
        <v>0</v>
      </c>
      <c r="Y307" s="173">
        <f t="shared" si="69"/>
        <v>0</v>
      </c>
      <c r="AQ307" s="3"/>
    </row>
    <row r="308" spans="2:43" x14ac:dyDescent="0.25">
      <c r="F308" s="94" t="s">
        <v>411</v>
      </c>
      <c r="G308" s="94" t="s">
        <v>254</v>
      </c>
      <c r="J308" s="151">
        <f t="shared" ref="J308:Y308" si="70">J301 + J306 + J307</f>
        <v>0</v>
      </c>
      <c r="K308" s="151">
        <f t="shared" si="70"/>
        <v>0</v>
      </c>
      <c r="L308" s="151">
        <f t="shared" si="70"/>
        <v>0</v>
      </c>
      <c r="M308" s="151">
        <f t="shared" si="70"/>
        <v>0</v>
      </c>
      <c r="N308" s="151">
        <f t="shared" si="70"/>
        <v>103694.24884043228</v>
      </c>
      <c r="O308" s="151">
        <f t="shared" si="70"/>
        <v>59532.51710996875</v>
      </c>
      <c r="P308" s="151">
        <f t="shared" si="70"/>
        <v>152378.47691824846</v>
      </c>
      <c r="Q308" s="151">
        <f t="shared" si="70"/>
        <v>0</v>
      </c>
      <c r="R308" s="151">
        <f t="shared" si="70"/>
        <v>0</v>
      </c>
      <c r="S308" s="151">
        <f t="shared" si="70"/>
        <v>0</v>
      </c>
      <c r="T308" s="151">
        <f t="shared" si="70"/>
        <v>6048.5181330320966</v>
      </c>
      <c r="U308" s="151">
        <f t="shared" si="70"/>
        <v>0</v>
      </c>
      <c r="V308" s="151">
        <f t="shared" si="70"/>
        <v>0</v>
      </c>
      <c r="W308" s="151">
        <f t="shared" si="70"/>
        <v>0</v>
      </c>
      <c r="X308" s="151">
        <f t="shared" si="70"/>
        <v>8398.768</v>
      </c>
      <c r="Y308" s="151">
        <f t="shared" si="70"/>
        <v>0</v>
      </c>
      <c r="AQ308" s="3"/>
    </row>
    <row r="309" spans="2:43" x14ac:dyDescent="0.25">
      <c r="D309" s="75"/>
      <c r="AQ309" s="3"/>
    </row>
    <row r="310" spans="2:43" x14ac:dyDescent="0.25">
      <c r="B310" s="85" t="s">
        <v>877</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25">
      <c r="C311" s="75"/>
      <c r="AQ311" s="3"/>
    </row>
    <row r="312" spans="2:43" x14ac:dyDescent="0.25">
      <c r="C312" s="86" t="s">
        <v>981</v>
      </c>
      <c r="AQ312" s="3"/>
    </row>
    <row r="313" spans="2:43" x14ac:dyDescent="0.25">
      <c r="C313" s="75"/>
      <c r="AQ313" s="3"/>
    </row>
    <row r="314" spans="2:43" x14ac:dyDescent="0.25">
      <c r="C314" s="75"/>
      <c r="E314" s="75" t="s">
        <v>407</v>
      </c>
      <c r="AQ314" s="3"/>
    </row>
    <row r="315" spans="2:43" x14ac:dyDescent="0.25">
      <c r="C315" s="75"/>
      <c r="F315" s="116" t="s">
        <v>247</v>
      </c>
      <c r="G315" s="95" t="s">
        <v>167</v>
      </c>
      <c r="H315" s="95"/>
      <c r="I315" s="95"/>
      <c r="J315" s="199">
        <f>IF(J$39, J$45, J$34)</f>
        <v>0.38335161514577376</v>
      </c>
      <c r="K315" s="199">
        <f t="shared" ref="K315:Y315" si="71">IF(K$39, K$45, K$34)</f>
        <v>0.38335161514577376</v>
      </c>
      <c r="L315" s="199">
        <f t="shared" si="71"/>
        <v>0.38335161514577376</v>
      </c>
      <c r="M315" s="199">
        <f t="shared" si="71"/>
        <v>0.38335161514577376</v>
      </c>
      <c r="N315" s="199">
        <f t="shared" si="71"/>
        <v>0.38335161514577376</v>
      </c>
      <c r="O315" s="199">
        <f t="shared" si="71"/>
        <v>0</v>
      </c>
      <c r="P315" s="199">
        <f t="shared" si="71"/>
        <v>0</v>
      </c>
      <c r="Q315" s="199">
        <f t="shared" si="71"/>
        <v>0.38335161514577376</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25">
      <c r="C316" s="75"/>
      <c r="F316" s="118" t="s">
        <v>248</v>
      </c>
      <c r="G316" t="s">
        <v>167</v>
      </c>
      <c r="J316" s="197">
        <f t="shared" ref="J316:Y317" si="72">IF(J$39, J$45, J$34)</f>
        <v>0.38335161514577376</v>
      </c>
      <c r="K316" s="197">
        <f t="shared" si="72"/>
        <v>0.38335161514577376</v>
      </c>
      <c r="L316" s="197">
        <f t="shared" si="72"/>
        <v>0.38335161514577376</v>
      </c>
      <c r="M316" s="197">
        <f t="shared" si="72"/>
        <v>0.38335161514577376</v>
      </c>
      <c r="N316" s="197">
        <f t="shared" si="72"/>
        <v>0.38335161514577376</v>
      </c>
      <c r="O316" s="197">
        <f t="shared" si="72"/>
        <v>0</v>
      </c>
      <c r="P316" s="197">
        <f t="shared" si="72"/>
        <v>0</v>
      </c>
      <c r="Q316" s="197">
        <f t="shared" si="72"/>
        <v>0.38335161514577376</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25">
      <c r="C317" s="75"/>
      <c r="F317" s="120" t="s">
        <v>249</v>
      </c>
      <c r="G317" s="96" t="s">
        <v>167</v>
      </c>
      <c r="H317" s="96"/>
      <c r="I317" s="96"/>
      <c r="J317" s="200">
        <f t="shared" si="72"/>
        <v>0.38335161514577376</v>
      </c>
      <c r="K317" s="200">
        <f t="shared" si="72"/>
        <v>0.38335161514577376</v>
      </c>
      <c r="L317" s="200">
        <f t="shared" si="72"/>
        <v>0.38335161514577376</v>
      </c>
      <c r="M317" s="200">
        <f t="shared" si="72"/>
        <v>0.38335161514577376</v>
      </c>
      <c r="N317" s="200">
        <f t="shared" si="72"/>
        <v>0.38335161514577376</v>
      </c>
      <c r="O317" s="200">
        <f t="shared" si="72"/>
        <v>0</v>
      </c>
      <c r="P317" s="200">
        <f t="shared" si="72"/>
        <v>0</v>
      </c>
      <c r="Q317" s="200">
        <f t="shared" si="72"/>
        <v>0.38335161514577376</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25">
      <c r="C318" s="75"/>
      <c r="F318" s="118" t="s">
        <v>212</v>
      </c>
      <c r="G318" t="s">
        <v>167</v>
      </c>
      <c r="J318" s="197">
        <f t="shared" ref="J318:Y318" si="73">IF(J$39, J46, J$34)</f>
        <v>0.38335161514577376</v>
      </c>
      <c r="K318" s="197">
        <f t="shared" si="73"/>
        <v>0.38335161514577376</v>
      </c>
      <c r="L318" s="197">
        <f t="shared" si="73"/>
        <v>0.38335161514577376</v>
      </c>
      <c r="M318" s="197">
        <f t="shared" si="73"/>
        <v>0.38335161514577376</v>
      </c>
      <c r="N318" s="197">
        <f t="shared" si="73"/>
        <v>0.38335161514577376</v>
      </c>
      <c r="O318" s="197">
        <f t="shared" si="73"/>
        <v>0</v>
      </c>
      <c r="P318" s="197">
        <f t="shared" si="73"/>
        <v>0</v>
      </c>
      <c r="Q318" s="197">
        <f t="shared" si="73"/>
        <v>0.38335161514577376</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25">
      <c r="C319" s="75"/>
      <c r="F319" s="118" t="s">
        <v>250</v>
      </c>
      <c r="G319" t="s">
        <v>167</v>
      </c>
      <c r="J319" s="197">
        <f t="shared" ref="J319:Y319" si="74">IF(J$39, J47, J$34)</f>
        <v>0.38335161514577376</v>
      </c>
      <c r="K319" s="197">
        <f t="shared" si="74"/>
        <v>0.38335161514577376</v>
      </c>
      <c r="L319" s="197">
        <f t="shared" si="74"/>
        <v>0.38335161514577376</v>
      </c>
      <c r="M319" s="197">
        <f t="shared" si="74"/>
        <v>0.38335161514577376</v>
      </c>
      <c r="N319" s="197">
        <f t="shared" si="74"/>
        <v>0.38335161514577376</v>
      </c>
      <c r="O319" s="197">
        <f t="shared" si="74"/>
        <v>0</v>
      </c>
      <c r="P319" s="197">
        <f t="shared" si="74"/>
        <v>0</v>
      </c>
      <c r="Q319" s="197">
        <f t="shared" si="74"/>
        <v>0.38335161514577376</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25">
      <c r="C320" s="75"/>
      <c r="F320" s="118" t="s">
        <v>252</v>
      </c>
      <c r="G320" t="s">
        <v>167</v>
      </c>
      <c r="J320" s="197">
        <f t="shared" ref="J320:Y320" si="75">IF(J$39, J48, J$34)</f>
        <v>0.38335161514577376</v>
      </c>
      <c r="K320" s="197">
        <f t="shared" si="75"/>
        <v>0.38335161514577376</v>
      </c>
      <c r="L320" s="197">
        <f t="shared" si="75"/>
        <v>0.38335161514577376</v>
      </c>
      <c r="M320" s="197">
        <f t="shared" si="75"/>
        <v>0.38335161514577376</v>
      </c>
      <c r="N320" s="197">
        <f t="shared" si="75"/>
        <v>0.38335161514577376</v>
      </c>
      <c r="O320" s="197">
        <f t="shared" si="75"/>
        <v>0</v>
      </c>
      <c r="P320" s="197">
        <f t="shared" si="75"/>
        <v>0</v>
      </c>
      <c r="Q320" s="197">
        <f t="shared" si="75"/>
        <v>0.38335161514577376</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25">
      <c r="C321" s="75"/>
      <c r="F321" s="120" t="s">
        <v>253</v>
      </c>
      <c r="G321" s="96" t="s">
        <v>167</v>
      </c>
      <c r="H321" s="96"/>
      <c r="I321" s="96"/>
      <c r="J321" s="200">
        <f t="shared" ref="J321:Y321" si="76">IF(J$39, J49, J$34)</f>
        <v>0.38335161514577376</v>
      </c>
      <c r="K321" s="200">
        <f t="shared" si="76"/>
        <v>0.38335161514577376</v>
      </c>
      <c r="L321" s="200">
        <f t="shared" si="76"/>
        <v>0.38335161514577376</v>
      </c>
      <c r="M321" s="200">
        <f t="shared" si="76"/>
        <v>0.38335161514577376</v>
      </c>
      <c r="N321" s="200">
        <f t="shared" si="76"/>
        <v>0.38335161514577376</v>
      </c>
      <c r="O321" s="200">
        <f t="shared" si="76"/>
        <v>0</v>
      </c>
      <c r="P321" s="200">
        <f t="shared" si="76"/>
        <v>0</v>
      </c>
      <c r="Q321" s="200">
        <f t="shared" si="76"/>
        <v>0.38335161514577376</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25">
      <c r="C322" s="75"/>
      <c r="AQ322" s="3"/>
    </row>
    <row r="323" spans="3:43" x14ac:dyDescent="0.25">
      <c r="C323" s="75"/>
      <c r="E323" s="75" t="s">
        <v>408</v>
      </c>
      <c r="AQ323" s="3"/>
    </row>
    <row r="324" spans="3:43" x14ac:dyDescent="0.25">
      <c r="C324" s="75"/>
      <c r="F324" s="116" t="s">
        <v>247</v>
      </c>
      <c r="G324" s="95" t="s">
        <v>167</v>
      </c>
      <c r="H324" s="95"/>
      <c r="I324" s="95"/>
      <c r="J324" s="199">
        <f>IF(J$39, J$45, J$35)</f>
        <v>0.58826186187526186</v>
      </c>
      <c r="K324" s="199">
        <f t="shared" ref="K324:Y326" si="77">IF(K$39, K$45, K$35)</f>
        <v>0.58826186187526186</v>
      </c>
      <c r="L324" s="199">
        <f t="shared" si="77"/>
        <v>0.58826186187526186</v>
      </c>
      <c r="M324" s="199">
        <f t="shared" si="77"/>
        <v>0.58826186187526186</v>
      </c>
      <c r="N324" s="199">
        <f t="shared" si="77"/>
        <v>0.58826186187526186</v>
      </c>
      <c r="O324" s="199">
        <f t="shared" si="77"/>
        <v>0.31100226640485212</v>
      </c>
      <c r="P324" s="199">
        <f t="shared" si="77"/>
        <v>0.17999797646529783</v>
      </c>
      <c r="Q324" s="199">
        <f t="shared" si="77"/>
        <v>0.58826186187526186</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25">
      <c r="C325" s="75"/>
      <c r="F325" s="118" t="s">
        <v>248</v>
      </c>
      <c r="G325" t="s">
        <v>167</v>
      </c>
      <c r="J325" s="197">
        <f t="shared" ref="J325:J326" si="78">IF(J$39, J$45, J$35)</f>
        <v>0.58826186187526186</v>
      </c>
      <c r="K325" s="197">
        <f t="shared" si="77"/>
        <v>0.58826186187526186</v>
      </c>
      <c r="L325" s="197">
        <f t="shared" si="77"/>
        <v>0.58826186187526186</v>
      </c>
      <c r="M325" s="197">
        <f t="shared" si="77"/>
        <v>0.58826186187526186</v>
      </c>
      <c r="N325" s="197">
        <f t="shared" si="77"/>
        <v>0.58826186187526186</v>
      </c>
      <c r="O325" s="197">
        <f t="shared" si="77"/>
        <v>0.31100226640485212</v>
      </c>
      <c r="P325" s="197">
        <f t="shared" si="77"/>
        <v>0.17999797646529783</v>
      </c>
      <c r="Q325" s="197">
        <f t="shared" si="77"/>
        <v>0.58826186187526186</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25">
      <c r="C326" s="75"/>
      <c r="F326" s="120" t="s">
        <v>249</v>
      </c>
      <c r="G326" s="96" t="s">
        <v>167</v>
      </c>
      <c r="H326" s="96"/>
      <c r="I326" s="96"/>
      <c r="J326" s="200">
        <f t="shared" si="78"/>
        <v>0.58826186187526186</v>
      </c>
      <c r="K326" s="200">
        <f t="shared" si="77"/>
        <v>0.58826186187526186</v>
      </c>
      <c r="L326" s="200">
        <f t="shared" si="77"/>
        <v>0.58826186187526186</v>
      </c>
      <c r="M326" s="200">
        <f t="shared" si="77"/>
        <v>0.58826186187526186</v>
      </c>
      <c r="N326" s="200">
        <f t="shared" si="77"/>
        <v>0.58826186187526186</v>
      </c>
      <c r="O326" s="200">
        <f t="shared" si="77"/>
        <v>0.31100226640485212</v>
      </c>
      <c r="P326" s="200">
        <f t="shared" si="77"/>
        <v>0.17999797646529783</v>
      </c>
      <c r="Q326" s="200">
        <f t="shared" si="77"/>
        <v>0.58826186187526186</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25">
      <c r="C327" s="75"/>
      <c r="F327" s="118" t="s">
        <v>212</v>
      </c>
      <c r="G327" t="s">
        <v>167</v>
      </c>
      <c r="J327" s="197">
        <f t="shared" ref="J327:Y327" si="79">IF(J$39, J46, J$35)</f>
        <v>0.58826186187526186</v>
      </c>
      <c r="K327" s="197">
        <f t="shared" si="79"/>
        <v>0.58826186187526186</v>
      </c>
      <c r="L327" s="197">
        <f t="shared" si="79"/>
        <v>0.58826186187526186</v>
      </c>
      <c r="M327" s="197">
        <f t="shared" si="79"/>
        <v>0.58826186187526186</v>
      </c>
      <c r="N327" s="197">
        <f t="shared" si="79"/>
        <v>0.58826186187526186</v>
      </c>
      <c r="O327" s="197">
        <f t="shared" si="79"/>
        <v>0.31100226640485212</v>
      </c>
      <c r="P327" s="197">
        <f t="shared" si="79"/>
        <v>0.17999797646529783</v>
      </c>
      <c r="Q327" s="197">
        <f t="shared" si="79"/>
        <v>0.58826186187526186</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25">
      <c r="C328" s="75"/>
      <c r="F328" s="118" t="s">
        <v>250</v>
      </c>
      <c r="G328" t="s">
        <v>167</v>
      </c>
      <c r="J328" s="197">
        <f t="shared" ref="J328:Y328" si="80">IF(J$39, J47, J$35)</f>
        <v>0.58826186187526186</v>
      </c>
      <c r="K328" s="197">
        <f t="shared" si="80"/>
        <v>0.58826186187526186</v>
      </c>
      <c r="L328" s="197">
        <f t="shared" si="80"/>
        <v>0.58826186187526186</v>
      </c>
      <c r="M328" s="197">
        <f t="shared" si="80"/>
        <v>0.58826186187526186</v>
      </c>
      <c r="N328" s="197">
        <f t="shared" si="80"/>
        <v>0.58826186187526186</v>
      </c>
      <c r="O328" s="197">
        <f t="shared" si="80"/>
        <v>0.31100226640485212</v>
      </c>
      <c r="P328" s="197">
        <f t="shared" si="80"/>
        <v>0.17999797646529783</v>
      </c>
      <c r="Q328" s="197">
        <f t="shared" si="80"/>
        <v>0.58826186187526186</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25">
      <c r="C329" s="75"/>
      <c r="F329" s="118" t="s">
        <v>252</v>
      </c>
      <c r="G329" t="s">
        <v>167</v>
      </c>
      <c r="J329" s="197">
        <f t="shared" ref="J329:Y329" si="81">IF(J$39, J48, J$35)</f>
        <v>0.58826186187526186</v>
      </c>
      <c r="K329" s="197">
        <f t="shared" si="81"/>
        <v>0.58826186187526186</v>
      </c>
      <c r="L329" s="197">
        <f t="shared" si="81"/>
        <v>0.58826186187526186</v>
      </c>
      <c r="M329" s="197">
        <f t="shared" si="81"/>
        <v>0.58826186187526186</v>
      </c>
      <c r="N329" s="197">
        <f t="shared" si="81"/>
        <v>0.58826186187526186</v>
      </c>
      <c r="O329" s="197">
        <f t="shared" si="81"/>
        <v>0.31100226640485212</v>
      </c>
      <c r="P329" s="197">
        <f t="shared" si="81"/>
        <v>0.17999797646529783</v>
      </c>
      <c r="Q329" s="197">
        <f t="shared" si="81"/>
        <v>0.58826186187526186</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25">
      <c r="C330" s="75"/>
      <c r="F330" s="120" t="s">
        <v>253</v>
      </c>
      <c r="G330" s="96" t="s">
        <v>167</v>
      </c>
      <c r="H330" s="96"/>
      <c r="I330" s="96"/>
      <c r="J330" s="200">
        <f t="shared" ref="J330:Y330" si="82">IF(J$39, J49, J$35)</f>
        <v>0.58826186187526186</v>
      </c>
      <c r="K330" s="200">
        <f t="shared" si="82"/>
        <v>0.58826186187526186</v>
      </c>
      <c r="L330" s="200">
        <f t="shared" si="82"/>
        <v>0.58826186187526186</v>
      </c>
      <c r="M330" s="200">
        <f t="shared" si="82"/>
        <v>0.58826186187526186</v>
      </c>
      <c r="N330" s="200">
        <f t="shared" si="82"/>
        <v>0.58826186187526186</v>
      </c>
      <c r="O330" s="200">
        <f t="shared" si="82"/>
        <v>0.31100226640485212</v>
      </c>
      <c r="P330" s="200">
        <f t="shared" si="82"/>
        <v>0.17999797646529783</v>
      </c>
      <c r="Q330" s="200">
        <f t="shared" si="82"/>
        <v>0.58826186187526186</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25">
      <c r="C331" s="75"/>
      <c r="AQ331" s="3"/>
    </row>
    <row r="332" spans="3:43" x14ac:dyDescent="0.25">
      <c r="C332" s="93" t="str">
        <f ca="1">INDEX('Version control'!$H$41:$H$64,MATCH($A$1,'Version control'!$F$41:$F$64,0),1)&amp;"-D: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25">
      <c r="C333" s="75"/>
      <c r="AQ333" s="3"/>
    </row>
    <row r="334" spans="3:43" x14ac:dyDescent="0.25">
      <c r="E334" s="75" t="s">
        <v>914</v>
      </c>
      <c r="G334" s="61"/>
      <c r="I334" t="s">
        <v>154</v>
      </c>
      <c r="AQ334" s="3"/>
    </row>
    <row r="335" spans="3:43" x14ac:dyDescent="0.25">
      <c r="E335" s="75"/>
      <c r="F335" s="116" t="s">
        <v>247</v>
      </c>
      <c r="G335" s="116" t="s">
        <v>207</v>
      </c>
      <c r="H335" s="95"/>
      <c r="I335" s="95"/>
      <c r="J335" s="117"/>
      <c r="K335" s="147">
        <f t="shared" ref="K335:P341" si="83">(1 - K315) * K105</f>
        <v>0</v>
      </c>
      <c r="L335" s="147">
        <f t="shared" si="83"/>
        <v>31.876054004852215</v>
      </c>
      <c r="M335" s="147">
        <f t="shared" si="83"/>
        <v>0</v>
      </c>
      <c r="N335" s="147">
        <f t="shared" si="83"/>
        <v>0</v>
      </c>
      <c r="O335" s="147">
        <f t="shared" si="83"/>
        <v>0</v>
      </c>
      <c r="P335" s="147">
        <f t="shared" si="83"/>
        <v>0</v>
      </c>
      <c r="Q335" s="117"/>
      <c r="R335" s="147">
        <f t="shared" ref="R335:Y341" si="84">(1 - R315) * R105</f>
        <v>135.12309960616332</v>
      </c>
      <c r="S335" s="147">
        <f t="shared" si="84"/>
        <v>0</v>
      </c>
      <c r="T335" s="147">
        <f t="shared" si="84"/>
        <v>0</v>
      </c>
      <c r="U335" s="147">
        <f t="shared" si="84"/>
        <v>0</v>
      </c>
      <c r="V335" s="147">
        <f t="shared" si="84"/>
        <v>0</v>
      </c>
      <c r="W335" s="147">
        <f t="shared" si="84"/>
        <v>0</v>
      </c>
      <c r="X335" s="147">
        <f t="shared" si="84"/>
        <v>0</v>
      </c>
      <c r="Y335" s="147">
        <f t="shared" si="84"/>
        <v>0</v>
      </c>
      <c r="AQ335" s="3"/>
    </row>
    <row r="336" spans="3:43" x14ac:dyDescent="0.25">
      <c r="E336" s="75"/>
      <c r="F336" s="118" t="s">
        <v>248</v>
      </c>
      <c r="G336" s="118" t="s">
        <v>207</v>
      </c>
      <c r="J336" s="126"/>
      <c r="K336" s="194">
        <f t="shared" si="83"/>
        <v>0</v>
      </c>
      <c r="L336" s="194">
        <f t="shared" si="83"/>
        <v>272.62897189770553</v>
      </c>
      <c r="M336" s="194">
        <f t="shared" si="83"/>
        <v>0</v>
      </c>
      <c r="N336" s="194">
        <f t="shared" si="83"/>
        <v>0</v>
      </c>
      <c r="O336" s="194">
        <f t="shared" si="83"/>
        <v>0</v>
      </c>
      <c r="P336" s="194">
        <f t="shared" si="83"/>
        <v>0</v>
      </c>
      <c r="Q336" s="126"/>
      <c r="R336" s="194">
        <f t="shared" si="84"/>
        <v>1233.0122325268569</v>
      </c>
      <c r="S336" s="194">
        <f t="shared" si="84"/>
        <v>0</v>
      </c>
      <c r="T336" s="194">
        <f t="shared" si="84"/>
        <v>0</v>
      </c>
      <c r="U336" s="194">
        <f t="shared" si="84"/>
        <v>0</v>
      </c>
      <c r="V336" s="194">
        <f t="shared" si="84"/>
        <v>0</v>
      </c>
      <c r="W336" s="194">
        <f t="shared" si="84"/>
        <v>0</v>
      </c>
      <c r="X336" s="194">
        <f t="shared" si="84"/>
        <v>0</v>
      </c>
      <c r="Y336" s="194">
        <f t="shared" si="84"/>
        <v>0</v>
      </c>
      <c r="AQ336" s="3"/>
    </row>
    <row r="337" spans="5:43" x14ac:dyDescent="0.25">
      <c r="E337" s="75"/>
      <c r="F337" s="118" t="s">
        <v>249</v>
      </c>
      <c r="G337" s="118" t="s">
        <v>207</v>
      </c>
      <c r="J337" s="126"/>
      <c r="K337" s="194">
        <f t="shared" si="83"/>
        <v>0</v>
      </c>
      <c r="L337" s="194">
        <f t="shared" si="83"/>
        <v>203.47258811211145</v>
      </c>
      <c r="M337" s="194">
        <f t="shared" si="83"/>
        <v>0</v>
      </c>
      <c r="N337" s="194">
        <f t="shared" si="83"/>
        <v>0</v>
      </c>
      <c r="O337" s="194">
        <f t="shared" si="83"/>
        <v>0</v>
      </c>
      <c r="P337" s="194">
        <f t="shared" si="83"/>
        <v>0</v>
      </c>
      <c r="Q337" s="126"/>
      <c r="R337" s="194">
        <f t="shared" si="84"/>
        <v>536.82082476268477</v>
      </c>
      <c r="S337" s="194">
        <f t="shared" si="84"/>
        <v>0</v>
      </c>
      <c r="T337" s="194">
        <f t="shared" si="84"/>
        <v>0</v>
      </c>
      <c r="U337" s="194">
        <f t="shared" si="84"/>
        <v>0</v>
      </c>
      <c r="V337" s="194">
        <f t="shared" si="84"/>
        <v>0</v>
      </c>
      <c r="W337" s="194">
        <f t="shared" si="84"/>
        <v>0</v>
      </c>
      <c r="X337" s="194">
        <f t="shared" si="84"/>
        <v>0</v>
      </c>
      <c r="Y337" s="194">
        <f t="shared" si="84"/>
        <v>0</v>
      </c>
      <c r="AQ337" s="3"/>
    </row>
    <row r="338" spans="5:43" x14ac:dyDescent="0.25">
      <c r="E338" s="75"/>
      <c r="F338" s="118" t="s">
        <v>212</v>
      </c>
      <c r="G338" s="118" t="s">
        <v>212</v>
      </c>
      <c r="J338" s="126"/>
      <c r="K338" s="194">
        <f t="shared" si="83"/>
        <v>0</v>
      </c>
      <c r="L338" s="194">
        <f t="shared" si="83"/>
        <v>74.405977583297599</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25">
      <c r="E339" s="75"/>
      <c r="F339" s="118" t="s">
        <v>250</v>
      </c>
      <c r="G339" s="118" t="s">
        <v>251</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25">
      <c r="E340" s="75"/>
      <c r="F340" s="118" t="s">
        <v>252</v>
      </c>
      <c r="G340" s="118" t="s">
        <v>251</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25">
      <c r="E341" s="75"/>
      <c r="F341" s="120" t="s">
        <v>253</v>
      </c>
      <c r="G341" s="120" t="s">
        <v>254</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0</v>
      </c>
      <c r="U341" s="173">
        <f t="shared" si="84"/>
        <v>0</v>
      </c>
      <c r="V341" s="173">
        <f t="shared" si="84"/>
        <v>0</v>
      </c>
      <c r="W341" s="173">
        <f t="shared" si="84"/>
        <v>0</v>
      </c>
      <c r="X341" s="173">
        <f t="shared" si="84"/>
        <v>0</v>
      </c>
      <c r="Y341" s="173">
        <f t="shared" si="84"/>
        <v>0</v>
      </c>
      <c r="AQ341" s="3"/>
    </row>
    <row r="342" spans="5:43" x14ac:dyDescent="0.25">
      <c r="AQ342" s="3"/>
    </row>
    <row r="343" spans="5:43" x14ac:dyDescent="0.25">
      <c r="E343" s="75" t="s">
        <v>915</v>
      </c>
      <c r="G343" s="61"/>
      <c r="I343" t="s">
        <v>154</v>
      </c>
      <c r="AQ343" s="3"/>
    </row>
    <row r="344" spans="5:43" x14ac:dyDescent="0.25">
      <c r="E344" s="75"/>
      <c r="F344" s="116" t="s">
        <v>247</v>
      </c>
      <c r="G344" s="116" t="s">
        <v>207</v>
      </c>
      <c r="H344" s="95"/>
      <c r="I344" s="95"/>
      <c r="J344" s="117"/>
      <c r="K344" s="147">
        <f t="shared" ref="K344:P350" si="85">(1 - K324) * K152</f>
        <v>0</v>
      </c>
      <c r="L344" s="147">
        <f t="shared" si="85"/>
        <v>29.227434946720432</v>
      </c>
      <c r="M344" s="147">
        <f t="shared" si="85"/>
        <v>0</v>
      </c>
      <c r="N344" s="147">
        <f t="shared" si="85"/>
        <v>4.9597032813953437</v>
      </c>
      <c r="O344" s="147">
        <f t="shared" si="85"/>
        <v>0</v>
      </c>
      <c r="P344" s="147">
        <f t="shared" si="85"/>
        <v>0</v>
      </c>
      <c r="Q344" s="117"/>
      <c r="R344" s="147">
        <f t="shared" ref="R344:Y350" si="86">(1 - R324) * R152</f>
        <v>288.39483167076304</v>
      </c>
      <c r="S344" s="147">
        <f t="shared" si="86"/>
        <v>0</v>
      </c>
      <c r="T344" s="147">
        <f t="shared" si="86"/>
        <v>2.3230095129862165</v>
      </c>
      <c r="U344" s="147">
        <f t="shared" si="86"/>
        <v>0</v>
      </c>
      <c r="V344" s="147">
        <f t="shared" si="86"/>
        <v>0</v>
      </c>
      <c r="W344" s="147">
        <f t="shared" si="86"/>
        <v>0</v>
      </c>
      <c r="X344" s="147">
        <f t="shared" si="86"/>
        <v>0</v>
      </c>
      <c r="Y344" s="147">
        <f t="shared" si="86"/>
        <v>0</v>
      </c>
      <c r="AQ344" s="3"/>
    </row>
    <row r="345" spans="5:43" x14ac:dyDescent="0.25">
      <c r="E345" s="75"/>
      <c r="F345" s="118" t="s">
        <v>248</v>
      </c>
      <c r="G345" s="118" t="s">
        <v>207</v>
      </c>
      <c r="J345" s="126"/>
      <c r="K345" s="194">
        <f t="shared" si="85"/>
        <v>0</v>
      </c>
      <c r="L345" s="194">
        <f t="shared" si="85"/>
        <v>243.77262148973054</v>
      </c>
      <c r="M345" s="194">
        <f t="shared" si="85"/>
        <v>0</v>
      </c>
      <c r="N345" s="194">
        <f t="shared" si="85"/>
        <v>43.199146044351686</v>
      </c>
      <c r="O345" s="194">
        <f t="shared" si="85"/>
        <v>0</v>
      </c>
      <c r="P345" s="194">
        <f t="shared" si="85"/>
        <v>0</v>
      </c>
      <c r="Q345" s="126"/>
      <c r="R345" s="194">
        <f t="shared" si="86"/>
        <v>2734.4347752387589</v>
      </c>
      <c r="S345" s="194">
        <f t="shared" si="86"/>
        <v>0</v>
      </c>
      <c r="T345" s="194">
        <f t="shared" si="86"/>
        <v>28.767744483149521</v>
      </c>
      <c r="U345" s="194">
        <f t="shared" si="86"/>
        <v>0</v>
      </c>
      <c r="V345" s="194">
        <f t="shared" si="86"/>
        <v>0</v>
      </c>
      <c r="W345" s="194">
        <f t="shared" si="86"/>
        <v>0</v>
      </c>
      <c r="X345" s="194">
        <f t="shared" si="86"/>
        <v>0</v>
      </c>
      <c r="Y345" s="194">
        <f t="shared" si="86"/>
        <v>0</v>
      </c>
      <c r="AQ345" s="3"/>
    </row>
    <row r="346" spans="5:43" x14ac:dyDescent="0.25">
      <c r="E346" s="75"/>
      <c r="F346" s="118" t="s">
        <v>249</v>
      </c>
      <c r="G346" s="118" t="s">
        <v>207</v>
      </c>
      <c r="J346" s="126"/>
      <c r="K346" s="194">
        <f t="shared" si="85"/>
        <v>0</v>
      </c>
      <c r="L346" s="194">
        <f t="shared" si="85"/>
        <v>195.80080603201745</v>
      </c>
      <c r="M346" s="194">
        <f t="shared" si="85"/>
        <v>0</v>
      </c>
      <c r="N346" s="194">
        <f t="shared" si="85"/>
        <v>26.641460747080881</v>
      </c>
      <c r="O346" s="194">
        <f t="shared" si="85"/>
        <v>0</v>
      </c>
      <c r="P346" s="194">
        <f t="shared" si="85"/>
        <v>0</v>
      </c>
      <c r="Q346" s="126"/>
      <c r="R346" s="194">
        <f t="shared" si="86"/>
        <v>1119.1280628397724</v>
      </c>
      <c r="S346" s="194">
        <f t="shared" si="86"/>
        <v>0</v>
      </c>
      <c r="T346" s="194">
        <f t="shared" si="86"/>
        <v>21.818802192518774</v>
      </c>
      <c r="U346" s="194">
        <f t="shared" si="86"/>
        <v>0</v>
      </c>
      <c r="V346" s="194">
        <f t="shared" si="86"/>
        <v>0</v>
      </c>
      <c r="W346" s="194">
        <f t="shared" si="86"/>
        <v>0</v>
      </c>
      <c r="X346" s="194">
        <f t="shared" si="86"/>
        <v>0</v>
      </c>
      <c r="Y346" s="194">
        <f t="shared" si="86"/>
        <v>0</v>
      </c>
      <c r="AQ346" s="3"/>
    </row>
    <row r="347" spans="5:43" x14ac:dyDescent="0.25">
      <c r="E347" s="75"/>
      <c r="F347" s="118" t="s">
        <v>212</v>
      </c>
      <c r="G347" s="118" t="s">
        <v>212</v>
      </c>
      <c r="J347" s="126"/>
      <c r="K347" s="194">
        <f t="shared" si="85"/>
        <v>0</v>
      </c>
      <c r="L347" s="194">
        <f t="shared" si="85"/>
        <v>54.966338839144164</v>
      </c>
      <c r="M347" s="194">
        <f t="shared" si="85"/>
        <v>0</v>
      </c>
      <c r="N347" s="194">
        <f t="shared" si="85"/>
        <v>1.5855674665137738</v>
      </c>
      <c r="O347" s="194">
        <f t="shared" si="85"/>
        <v>0</v>
      </c>
      <c r="P347" s="194">
        <f t="shared" si="85"/>
        <v>0</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25">
      <c r="E348" s="75"/>
      <c r="F348" s="118" t="s">
        <v>250</v>
      </c>
      <c r="G348" s="118" t="s">
        <v>251</v>
      </c>
      <c r="J348" s="126"/>
      <c r="K348" s="194">
        <f t="shared" si="85"/>
        <v>0</v>
      </c>
      <c r="L348" s="194">
        <f t="shared" si="85"/>
        <v>0</v>
      </c>
      <c r="M348" s="194">
        <f t="shared" si="85"/>
        <v>0</v>
      </c>
      <c r="N348" s="194">
        <f t="shared" si="85"/>
        <v>317.1134933027547</v>
      </c>
      <c r="O348" s="194">
        <f t="shared" si="85"/>
        <v>0</v>
      </c>
      <c r="P348" s="194">
        <f t="shared" si="85"/>
        <v>0</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25">
      <c r="E349" s="75"/>
      <c r="F349" s="118" t="s">
        <v>252</v>
      </c>
      <c r="G349" s="118" t="s">
        <v>251</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25">
      <c r="E350" s="75"/>
      <c r="F350" s="120" t="s">
        <v>253</v>
      </c>
      <c r="G350" s="120" t="s">
        <v>254</v>
      </c>
      <c r="H350" s="96"/>
      <c r="I350" s="96"/>
      <c r="J350" s="121"/>
      <c r="K350" s="173">
        <f t="shared" si="85"/>
        <v>0</v>
      </c>
      <c r="L350" s="173">
        <f t="shared" si="85"/>
        <v>0</v>
      </c>
      <c r="M350" s="173">
        <f t="shared" si="85"/>
        <v>0</v>
      </c>
      <c r="N350" s="173">
        <f t="shared" si="85"/>
        <v>1.6184495129249901</v>
      </c>
      <c r="O350" s="173">
        <f t="shared" si="85"/>
        <v>0</v>
      </c>
      <c r="P350" s="173">
        <f t="shared" si="85"/>
        <v>0</v>
      </c>
      <c r="Q350" s="121"/>
      <c r="R350" s="173">
        <f t="shared" si="86"/>
        <v>0</v>
      </c>
      <c r="S350" s="173">
        <f t="shared" si="86"/>
        <v>0</v>
      </c>
      <c r="T350" s="173">
        <f t="shared" si="86"/>
        <v>5.8391330320959867</v>
      </c>
      <c r="U350" s="173">
        <f t="shared" si="86"/>
        <v>0</v>
      </c>
      <c r="V350" s="173">
        <f t="shared" si="86"/>
        <v>0</v>
      </c>
      <c r="W350" s="173">
        <f t="shared" si="86"/>
        <v>0</v>
      </c>
      <c r="X350" s="173">
        <f t="shared" si="86"/>
        <v>0</v>
      </c>
      <c r="Y350" s="173">
        <f t="shared" si="86"/>
        <v>0</v>
      </c>
      <c r="AQ350" s="3"/>
    </row>
    <row r="351" spans="5:43" x14ac:dyDescent="0.25">
      <c r="AQ351" s="3"/>
    </row>
    <row r="352" spans="5:43" x14ac:dyDescent="0.25">
      <c r="E352" s="75" t="s">
        <v>916</v>
      </c>
      <c r="G352" s="61"/>
      <c r="I352" t="s">
        <v>154</v>
      </c>
      <c r="AQ352" s="3"/>
    </row>
    <row r="353" spans="3:43" x14ac:dyDescent="0.25">
      <c r="E353" s="75"/>
      <c r="F353" s="116" t="s">
        <v>247</v>
      </c>
      <c r="G353" s="116" t="s">
        <v>207</v>
      </c>
      <c r="H353" s="95"/>
      <c r="I353" s="95"/>
      <c r="J353" s="117"/>
      <c r="K353" s="147">
        <f t="shared" ref="K353:P359" si="87">K58+K335+K344</f>
        <v>42.949716657044405</v>
      </c>
      <c r="L353" s="147">
        <f t="shared" si="87"/>
        <v>112.4982177210259</v>
      </c>
      <c r="M353" s="147">
        <f t="shared" si="87"/>
        <v>25.765928672816155</v>
      </c>
      <c r="N353" s="147">
        <f t="shared" si="87"/>
        <v>128.99204830251969</v>
      </c>
      <c r="O353" s="147">
        <f t="shared" si="87"/>
        <v>32.524509406872198</v>
      </c>
      <c r="P353" s="147">
        <f t="shared" si="87"/>
        <v>442.05271467460517</v>
      </c>
      <c r="Q353" s="117"/>
      <c r="R353" s="147">
        <f t="shared" ref="R353:Y359" si="88">R58+R335+R344</f>
        <v>8806.6823305226171</v>
      </c>
      <c r="S353" s="147">
        <f t="shared" si="88"/>
        <v>1036.7343209799037</v>
      </c>
      <c r="T353" s="147">
        <f t="shared" si="88"/>
        <v>4624.7476230209113</v>
      </c>
      <c r="U353" s="147">
        <f t="shared" si="88"/>
        <v>0</v>
      </c>
      <c r="V353" s="147">
        <f t="shared" si="88"/>
        <v>0</v>
      </c>
      <c r="W353" s="147">
        <f t="shared" si="88"/>
        <v>0</v>
      </c>
      <c r="X353" s="147">
        <f t="shared" si="88"/>
        <v>53814.546731455142</v>
      </c>
      <c r="Y353" s="147">
        <f t="shared" si="88"/>
        <v>0</v>
      </c>
      <c r="AQ353" s="3"/>
    </row>
    <row r="354" spans="3:43" x14ac:dyDescent="0.25">
      <c r="E354" s="75"/>
      <c r="F354" s="118" t="s">
        <v>248</v>
      </c>
      <c r="G354" s="118" t="s">
        <v>207</v>
      </c>
      <c r="J354" s="126"/>
      <c r="K354" s="194">
        <f t="shared" si="87"/>
        <v>3119.337000290659</v>
      </c>
      <c r="L354" s="194">
        <f t="shared" si="87"/>
        <v>946.30373975016607</v>
      </c>
      <c r="M354" s="194">
        <f t="shared" si="87"/>
        <v>1609.0521821484306</v>
      </c>
      <c r="N354" s="194">
        <f t="shared" si="87"/>
        <v>892.54695104115808</v>
      </c>
      <c r="O354" s="194">
        <f t="shared" si="87"/>
        <v>340.94829159017985</v>
      </c>
      <c r="P354" s="194">
        <f t="shared" si="87"/>
        <v>5891.1463199191348</v>
      </c>
      <c r="Q354" s="126"/>
      <c r="R354" s="194">
        <f t="shared" si="88"/>
        <v>80667.23392856303</v>
      </c>
      <c r="S354" s="194">
        <f t="shared" si="88"/>
        <v>8528.2795750860623</v>
      </c>
      <c r="T354" s="194">
        <f t="shared" si="88"/>
        <v>38124.074375305863</v>
      </c>
      <c r="U354" s="194">
        <f t="shared" si="88"/>
        <v>0</v>
      </c>
      <c r="V354" s="194">
        <f t="shared" si="88"/>
        <v>0</v>
      </c>
      <c r="W354" s="194">
        <f t="shared" si="88"/>
        <v>0</v>
      </c>
      <c r="X354" s="194">
        <f t="shared" si="88"/>
        <v>302507.33246507391</v>
      </c>
      <c r="Y354" s="194">
        <f t="shared" si="88"/>
        <v>0</v>
      </c>
      <c r="AQ354" s="3"/>
    </row>
    <row r="355" spans="3:43" x14ac:dyDescent="0.25">
      <c r="E355" s="75"/>
      <c r="F355" s="118" t="s">
        <v>249</v>
      </c>
      <c r="G355" s="118" t="s">
        <v>207</v>
      </c>
      <c r="J355" s="126"/>
      <c r="K355" s="194">
        <f t="shared" si="87"/>
        <v>24081.62170271924</v>
      </c>
      <c r="L355" s="194">
        <f t="shared" si="87"/>
        <v>842.34409292353155</v>
      </c>
      <c r="M355" s="194">
        <f t="shared" si="87"/>
        <v>11325.873677164167</v>
      </c>
      <c r="N355" s="194">
        <f t="shared" si="87"/>
        <v>960.42671217400857</v>
      </c>
      <c r="O355" s="194">
        <f t="shared" si="87"/>
        <v>235.83839931765723</v>
      </c>
      <c r="P355" s="194">
        <f t="shared" si="87"/>
        <v>7972.5156271940859</v>
      </c>
      <c r="Q355" s="126"/>
      <c r="R355" s="194">
        <f t="shared" si="88"/>
        <v>35020.601850964522</v>
      </c>
      <c r="S355" s="194">
        <f t="shared" si="88"/>
        <v>8832.4293538785987</v>
      </c>
      <c r="T355" s="194">
        <f t="shared" si="88"/>
        <v>44888.264832121997</v>
      </c>
      <c r="U355" s="194">
        <f t="shared" si="88"/>
        <v>0</v>
      </c>
      <c r="V355" s="194">
        <f t="shared" si="88"/>
        <v>0</v>
      </c>
      <c r="W355" s="194">
        <f t="shared" si="88"/>
        <v>0</v>
      </c>
      <c r="X355" s="194">
        <f t="shared" si="88"/>
        <v>259913.71528039253</v>
      </c>
      <c r="Y355" s="194">
        <f t="shared" si="88"/>
        <v>0</v>
      </c>
      <c r="AQ355" s="3"/>
    </row>
    <row r="356" spans="3:43" x14ac:dyDescent="0.25">
      <c r="E356" s="75"/>
      <c r="F356" s="118" t="s">
        <v>212</v>
      </c>
      <c r="G356" s="118" t="s">
        <v>212</v>
      </c>
      <c r="J356" s="126"/>
      <c r="K356" s="194">
        <f t="shared" si="87"/>
        <v>0</v>
      </c>
      <c r="L356" s="194">
        <f t="shared" si="87"/>
        <v>188.90290713974133</v>
      </c>
      <c r="M356" s="194">
        <f t="shared" si="87"/>
        <v>0</v>
      </c>
      <c r="N356" s="194">
        <f t="shared" si="87"/>
        <v>66.62123355481144</v>
      </c>
      <c r="O356" s="194">
        <f t="shared" si="87"/>
        <v>9.0043923865300144</v>
      </c>
      <c r="P356" s="194">
        <f t="shared" si="87"/>
        <v>154.99570053535271</v>
      </c>
      <c r="Q356" s="126"/>
      <c r="R356" s="194">
        <f t="shared" si="88"/>
        <v>0</v>
      </c>
      <c r="S356" s="194">
        <f t="shared" si="88"/>
        <v>0</v>
      </c>
      <c r="T356" s="194">
        <f t="shared" si="88"/>
        <v>0</v>
      </c>
      <c r="U356" s="194">
        <f t="shared" si="88"/>
        <v>0</v>
      </c>
      <c r="V356" s="194">
        <f t="shared" si="88"/>
        <v>0</v>
      </c>
      <c r="W356" s="194">
        <f t="shared" si="88"/>
        <v>0</v>
      </c>
      <c r="X356" s="194">
        <f t="shared" si="88"/>
        <v>304.24933518428963</v>
      </c>
      <c r="Y356" s="194">
        <f t="shared" si="88"/>
        <v>0</v>
      </c>
      <c r="AQ356" s="3"/>
    </row>
    <row r="357" spans="3:43" x14ac:dyDescent="0.25">
      <c r="E357" s="75"/>
      <c r="F357" s="118" t="s">
        <v>250</v>
      </c>
      <c r="G357" s="118" t="s">
        <v>251</v>
      </c>
      <c r="J357" s="126"/>
      <c r="K357" s="194">
        <f t="shared" si="87"/>
        <v>0</v>
      </c>
      <c r="L357" s="194">
        <f t="shared" si="87"/>
        <v>0</v>
      </c>
      <c r="M357" s="194">
        <f t="shared" si="87"/>
        <v>0</v>
      </c>
      <c r="N357" s="194">
        <f t="shared" si="87"/>
        <v>2446.1096322988942</v>
      </c>
      <c r="O357" s="194">
        <f t="shared" si="87"/>
        <v>704.99999999999989</v>
      </c>
      <c r="P357" s="194">
        <f t="shared" si="87"/>
        <v>25636.18581907091</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25">
      <c r="E358" s="75"/>
      <c r="F358" s="118" t="s">
        <v>252</v>
      </c>
      <c r="G358" s="118" t="s">
        <v>251</v>
      </c>
      <c r="J358" s="126"/>
      <c r="K358" s="194">
        <f t="shared" si="87"/>
        <v>0</v>
      </c>
      <c r="L358" s="194">
        <f t="shared" si="87"/>
        <v>0</v>
      </c>
      <c r="M358" s="194">
        <f t="shared" si="87"/>
        <v>0</v>
      </c>
      <c r="N358" s="194">
        <f t="shared" si="87"/>
        <v>190.2821917808219</v>
      </c>
      <c r="O358" s="194">
        <f t="shared" si="87"/>
        <v>22.958904109589042</v>
      </c>
      <c r="P358" s="194">
        <f t="shared" si="87"/>
        <v>5912.7863013698634</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25">
      <c r="E359" s="75"/>
      <c r="F359" s="120" t="s">
        <v>253</v>
      </c>
      <c r="G359" s="120" t="s">
        <v>254</v>
      </c>
      <c r="H359" s="96"/>
      <c r="I359" s="96"/>
      <c r="J359" s="121"/>
      <c r="K359" s="173">
        <f t="shared" si="87"/>
        <v>0</v>
      </c>
      <c r="L359" s="173">
        <f t="shared" si="87"/>
        <v>0</v>
      </c>
      <c r="M359" s="173">
        <f t="shared" si="87"/>
        <v>0</v>
      </c>
      <c r="N359" s="173">
        <f t="shared" si="87"/>
        <v>382.64744951292494</v>
      </c>
      <c r="O359" s="173">
        <f t="shared" si="87"/>
        <v>146.43099999999998</v>
      </c>
      <c r="P359" s="173">
        <f t="shared" si="87"/>
        <v>4654.5249999999996</v>
      </c>
      <c r="Q359" s="121"/>
      <c r="R359" s="173">
        <f t="shared" si="88"/>
        <v>0</v>
      </c>
      <c r="S359" s="173">
        <f t="shared" si="88"/>
        <v>0</v>
      </c>
      <c r="T359" s="173">
        <f t="shared" si="88"/>
        <v>6048.5181330320966</v>
      </c>
      <c r="U359" s="173">
        <f t="shared" si="88"/>
        <v>0</v>
      </c>
      <c r="V359" s="173">
        <f t="shared" si="88"/>
        <v>0</v>
      </c>
      <c r="W359" s="173">
        <f t="shared" si="88"/>
        <v>0</v>
      </c>
      <c r="X359" s="173">
        <f t="shared" si="88"/>
        <v>8398.768</v>
      </c>
      <c r="Y359" s="173">
        <f t="shared" si="88"/>
        <v>0</v>
      </c>
      <c r="AQ359" s="3"/>
    </row>
    <row r="360" spans="3:43" x14ac:dyDescent="0.25">
      <c r="AQ360" s="3"/>
    </row>
    <row r="361" spans="3:43" x14ac:dyDescent="0.25">
      <c r="C361" s="93" t="str">
        <f ca="1">INDEX('Version control'!$H$41:$H$64,MATCH($A$1,'Version control'!$F$41:$F$64,0),1)&amp;"-E: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25">
      <c r="C362" s="75"/>
      <c r="AQ362" s="3"/>
    </row>
    <row r="363" spans="3:43" x14ac:dyDescent="0.25">
      <c r="E363" s="75" t="s">
        <v>912</v>
      </c>
      <c r="G363" s="61"/>
      <c r="I363" t="s">
        <v>154</v>
      </c>
      <c r="AQ363" s="3"/>
    </row>
    <row r="364" spans="3:43" x14ac:dyDescent="0.25">
      <c r="E364" s="75"/>
      <c r="F364" s="116" t="s">
        <v>247</v>
      </c>
      <c r="G364" s="116" t="s">
        <v>207</v>
      </c>
      <c r="H364" s="95"/>
      <c r="I364" s="95"/>
      <c r="J364" s="147">
        <f t="shared" ref="J364:J370" si="89">(1 - J315) * J114</f>
        <v>2720.6539910634242</v>
      </c>
      <c r="K364" s="117"/>
      <c r="L364" s="147">
        <f t="shared" ref="L364:L370" si="90">(1 - L315) * L114</f>
        <v>12.53091087932386</v>
      </c>
      <c r="M364" s="117"/>
      <c r="N364" s="147">
        <f t="shared" ref="N364:Q370" si="91">(1 - N315) * N114</f>
        <v>27.33944059764492</v>
      </c>
      <c r="O364" s="147">
        <f t="shared" si="91"/>
        <v>0</v>
      </c>
      <c r="P364" s="147">
        <f t="shared" si="91"/>
        <v>0</v>
      </c>
      <c r="Q364" s="147">
        <f t="shared" si="91"/>
        <v>2.183107263817027</v>
      </c>
      <c r="R364" s="117"/>
      <c r="S364" s="117"/>
      <c r="T364" s="117"/>
      <c r="U364" s="117"/>
      <c r="V364" s="117"/>
      <c r="W364" s="117"/>
      <c r="X364" s="117"/>
      <c r="Y364" s="117"/>
      <c r="AQ364" s="3"/>
    </row>
    <row r="365" spans="3:43" x14ac:dyDescent="0.25">
      <c r="E365" s="75"/>
      <c r="F365" s="118" t="s">
        <v>248</v>
      </c>
      <c r="G365" s="118" t="s">
        <v>207</v>
      </c>
      <c r="J365" s="194">
        <f t="shared" si="89"/>
        <v>14528.447595980528</v>
      </c>
      <c r="K365" s="126"/>
      <c r="L365" s="194">
        <f t="shared" si="90"/>
        <v>97.391584091245932</v>
      </c>
      <c r="M365" s="126"/>
      <c r="N365" s="194">
        <f t="shared" si="91"/>
        <v>191.46345150399765</v>
      </c>
      <c r="O365" s="194">
        <f t="shared" si="91"/>
        <v>0</v>
      </c>
      <c r="P365" s="194">
        <f t="shared" si="91"/>
        <v>0</v>
      </c>
      <c r="Q365" s="194">
        <f t="shared" si="91"/>
        <v>33.768899346657278</v>
      </c>
      <c r="R365" s="126"/>
      <c r="S365" s="126"/>
      <c r="T365" s="126"/>
      <c r="U365" s="126"/>
      <c r="V365" s="126"/>
      <c r="W365" s="126"/>
      <c r="X365" s="126"/>
      <c r="Y365" s="126"/>
      <c r="AQ365" s="3"/>
    </row>
    <row r="366" spans="3:43" x14ac:dyDescent="0.25">
      <c r="E366" s="75"/>
      <c r="F366" s="118" t="s">
        <v>249</v>
      </c>
      <c r="G366" s="118" t="s">
        <v>207</v>
      </c>
      <c r="J366" s="194">
        <f t="shared" si="89"/>
        <v>14998.652214353069</v>
      </c>
      <c r="K366" s="126"/>
      <c r="L366" s="194">
        <f t="shared" si="90"/>
        <v>80.995433569996109</v>
      </c>
      <c r="M366" s="126"/>
      <c r="N366" s="194">
        <f t="shared" si="91"/>
        <v>186.26645207943915</v>
      </c>
      <c r="O366" s="194">
        <f t="shared" si="91"/>
        <v>0</v>
      </c>
      <c r="P366" s="194">
        <f t="shared" si="91"/>
        <v>0</v>
      </c>
      <c r="Q366" s="194">
        <f t="shared" si="91"/>
        <v>48.479886005125508</v>
      </c>
      <c r="R366" s="126"/>
      <c r="S366" s="126"/>
      <c r="T366" s="126"/>
      <c r="U366" s="126"/>
      <c r="V366" s="126"/>
      <c r="W366" s="126"/>
      <c r="X366" s="126"/>
      <c r="Y366" s="126"/>
      <c r="AQ366" s="3"/>
    </row>
    <row r="367" spans="3:43" x14ac:dyDescent="0.25">
      <c r="E367" s="75"/>
      <c r="F367" s="118" t="s">
        <v>212</v>
      </c>
      <c r="G367" s="118" t="s">
        <v>212</v>
      </c>
      <c r="J367" s="194">
        <f t="shared" si="89"/>
        <v>11934.243872589124</v>
      </c>
      <c r="K367" s="126"/>
      <c r="L367" s="194">
        <f t="shared" si="90"/>
        <v>49.076283086855845</v>
      </c>
      <c r="M367" s="126"/>
      <c r="N367" s="194">
        <f t="shared" si="91"/>
        <v>7.1239765771242372</v>
      </c>
      <c r="O367" s="194">
        <f t="shared" si="91"/>
        <v>0</v>
      </c>
      <c r="P367" s="194">
        <f t="shared" si="91"/>
        <v>0</v>
      </c>
      <c r="Q367" s="194">
        <f t="shared" si="91"/>
        <v>0</v>
      </c>
      <c r="R367" s="126"/>
      <c r="S367" s="126"/>
      <c r="T367" s="126"/>
      <c r="U367" s="126"/>
      <c r="V367" s="126"/>
      <c r="W367" s="126"/>
      <c r="X367" s="126"/>
      <c r="Y367" s="126"/>
      <c r="AQ367" s="3"/>
    </row>
    <row r="368" spans="3:43" x14ac:dyDescent="0.25">
      <c r="E368" s="75"/>
      <c r="F368" s="118" t="s">
        <v>250</v>
      </c>
      <c r="G368" s="118" t="s">
        <v>251</v>
      </c>
      <c r="J368" s="194">
        <f t="shared" si="89"/>
        <v>0</v>
      </c>
      <c r="K368" s="126"/>
      <c r="L368" s="194">
        <f t="shared" si="90"/>
        <v>0</v>
      </c>
      <c r="M368" s="126"/>
      <c r="N368" s="194">
        <f t="shared" si="91"/>
        <v>471.76555999622741</v>
      </c>
      <c r="O368" s="194">
        <f t="shared" si="91"/>
        <v>0</v>
      </c>
      <c r="P368" s="194">
        <f t="shared" si="91"/>
        <v>0</v>
      </c>
      <c r="Q368" s="194">
        <f t="shared" si="91"/>
        <v>0</v>
      </c>
      <c r="R368" s="126"/>
      <c r="S368" s="126"/>
      <c r="T368" s="126"/>
      <c r="U368" s="126"/>
      <c r="V368" s="126"/>
      <c r="W368" s="126"/>
      <c r="X368" s="126"/>
      <c r="Y368" s="126"/>
      <c r="AQ368" s="3"/>
    </row>
    <row r="369" spans="5:43" x14ac:dyDescent="0.25">
      <c r="E369" s="75"/>
      <c r="F369" s="118" t="s">
        <v>252</v>
      </c>
      <c r="G369" s="118" t="s">
        <v>251</v>
      </c>
      <c r="J369" s="194">
        <f t="shared" si="89"/>
        <v>0</v>
      </c>
      <c r="K369" s="126"/>
      <c r="L369" s="194">
        <f t="shared" si="90"/>
        <v>0</v>
      </c>
      <c r="M369" s="126"/>
      <c r="N369" s="194">
        <f t="shared" si="91"/>
        <v>20.245724084173325</v>
      </c>
      <c r="O369" s="194">
        <f t="shared" si="91"/>
        <v>0</v>
      </c>
      <c r="P369" s="194">
        <f t="shared" si="91"/>
        <v>0</v>
      </c>
      <c r="Q369" s="194">
        <f t="shared" si="91"/>
        <v>0</v>
      </c>
      <c r="R369" s="126"/>
      <c r="S369" s="126"/>
      <c r="T369" s="126"/>
      <c r="U369" s="126"/>
      <c r="V369" s="126"/>
      <c r="W369" s="126"/>
      <c r="X369" s="126"/>
      <c r="Y369" s="126"/>
      <c r="AQ369" s="3"/>
    </row>
    <row r="370" spans="5:43" x14ac:dyDescent="0.25">
      <c r="E370" s="75"/>
      <c r="F370" s="120" t="s">
        <v>253</v>
      </c>
      <c r="G370" s="120" t="s">
        <v>254</v>
      </c>
      <c r="H370" s="96"/>
      <c r="I370" s="96"/>
      <c r="J370" s="173">
        <f t="shared" si="89"/>
        <v>0</v>
      </c>
      <c r="K370" s="121"/>
      <c r="L370" s="173">
        <f t="shared" si="90"/>
        <v>0</v>
      </c>
      <c r="M370" s="121"/>
      <c r="N370" s="173">
        <f t="shared" si="91"/>
        <v>45.91459274577457</v>
      </c>
      <c r="O370" s="173">
        <f t="shared" si="91"/>
        <v>0</v>
      </c>
      <c r="P370" s="173">
        <f t="shared" si="91"/>
        <v>0</v>
      </c>
      <c r="Q370" s="173">
        <f t="shared" si="91"/>
        <v>0</v>
      </c>
      <c r="R370" s="121"/>
      <c r="S370" s="121"/>
      <c r="T370" s="121"/>
      <c r="U370" s="121"/>
      <c r="V370" s="121"/>
      <c r="W370" s="121"/>
      <c r="X370" s="121"/>
      <c r="Y370" s="121"/>
      <c r="AQ370" s="3"/>
    </row>
    <row r="371" spans="5:43" x14ac:dyDescent="0.25">
      <c r="AQ371" s="3"/>
    </row>
    <row r="372" spans="5:43" x14ac:dyDescent="0.25">
      <c r="E372" s="75" t="s">
        <v>913</v>
      </c>
      <c r="G372" s="61"/>
      <c r="I372" t="s">
        <v>154</v>
      </c>
      <c r="AQ372" s="3"/>
    </row>
    <row r="373" spans="5:43" x14ac:dyDescent="0.25">
      <c r="E373" s="75"/>
      <c r="F373" s="116" t="s">
        <v>247</v>
      </c>
      <c r="G373" s="116" t="s">
        <v>207</v>
      </c>
      <c r="H373" s="95"/>
      <c r="I373" s="95"/>
      <c r="J373" s="147">
        <f t="shared" ref="J373:J379" si="92">(1 - J324) * J161</f>
        <v>5750.137302311512</v>
      </c>
      <c r="K373" s="117"/>
      <c r="L373" s="147">
        <f t="shared" ref="L373:L379" si="93">(1 - L324) * L161</f>
        <v>86.898808947829821</v>
      </c>
      <c r="M373" s="117"/>
      <c r="N373" s="147">
        <f t="shared" ref="N373:Q379" si="94">(1 - N324) * N161</f>
        <v>231.43155255812152</v>
      </c>
      <c r="O373" s="147">
        <f t="shared" si="94"/>
        <v>0</v>
      </c>
      <c r="P373" s="147">
        <f t="shared" si="94"/>
        <v>0</v>
      </c>
      <c r="Q373" s="147">
        <f t="shared" si="94"/>
        <v>0</v>
      </c>
      <c r="R373" s="117"/>
      <c r="S373" s="117"/>
      <c r="T373" s="117"/>
      <c r="U373" s="117"/>
      <c r="V373" s="117"/>
      <c r="W373" s="117"/>
      <c r="X373" s="117"/>
      <c r="Y373" s="117"/>
      <c r="AQ373" s="3"/>
    </row>
    <row r="374" spans="5:43" x14ac:dyDescent="0.25">
      <c r="E374" s="75"/>
      <c r="F374" s="118" t="s">
        <v>248</v>
      </c>
      <c r="G374" s="118" t="s">
        <v>207</v>
      </c>
      <c r="J374" s="194">
        <f t="shared" si="92"/>
        <v>30640.461538970161</v>
      </c>
      <c r="K374" s="126"/>
      <c r="L374" s="194">
        <f t="shared" si="93"/>
        <v>719.50545702429667</v>
      </c>
      <c r="M374" s="126"/>
      <c r="N374" s="194">
        <f t="shared" si="94"/>
        <v>1459.0901036127032</v>
      </c>
      <c r="O374" s="194">
        <f t="shared" si="94"/>
        <v>0</v>
      </c>
      <c r="P374" s="194">
        <f t="shared" si="94"/>
        <v>0</v>
      </c>
      <c r="Q374" s="194">
        <f t="shared" si="94"/>
        <v>0</v>
      </c>
      <c r="R374" s="126"/>
      <c r="S374" s="126"/>
      <c r="T374" s="126"/>
      <c r="U374" s="126"/>
      <c r="V374" s="126"/>
      <c r="W374" s="126"/>
      <c r="X374" s="126"/>
      <c r="Y374" s="126"/>
      <c r="AQ374" s="3"/>
    </row>
    <row r="375" spans="5:43" x14ac:dyDescent="0.25">
      <c r="E375" s="75"/>
      <c r="F375" s="118" t="s">
        <v>249</v>
      </c>
      <c r="G375" s="118" t="s">
        <v>207</v>
      </c>
      <c r="J375" s="194">
        <f t="shared" si="92"/>
        <v>31521.188962184282</v>
      </c>
      <c r="K375" s="126"/>
      <c r="L375" s="194">
        <f t="shared" si="93"/>
        <v>549.18677806172354</v>
      </c>
      <c r="M375" s="126"/>
      <c r="N375" s="194">
        <f t="shared" si="94"/>
        <v>1202.711272657602</v>
      </c>
      <c r="O375" s="194">
        <f t="shared" si="94"/>
        <v>0</v>
      </c>
      <c r="P375" s="194">
        <f t="shared" si="94"/>
        <v>0</v>
      </c>
      <c r="Q375" s="194">
        <f t="shared" si="94"/>
        <v>0</v>
      </c>
      <c r="R375" s="126"/>
      <c r="S375" s="126"/>
      <c r="T375" s="126"/>
      <c r="U375" s="126"/>
      <c r="V375" s="126"/>
      <c r="W375" s="126"/>
      <c r="X375" s="126"/>
      <c r="Y375" s="126"/>
      <c r="AQ375" s="3"/>
    </row>
    <row r="376" spans="5:43" x14ac:dyDescent="0.25">
      <c r="E376" s="75"/>
      <c r="F376" s="118" t="s">
        <v>212</v>
      </c>
      <c r="G376" s="118" t="s">
        <v>212</v>
      </c>
      <c r="J376" s="194">
        <f t="shared" si="92"/>
        <v>25351.109699599892</v>
      </c>
      <c r="K376" s="126"/>
      <c r="L376" s="194">
        <f t="shared" si="93"/>
        <v>230.96432762217304</v>
      </c>
      <c r="M376" s="126"/>
      <c r="N376" s="194">
        <f t="shared" si="94"/>
        <v>30.654304352599638</v>
      </c>
      <c r="O376" s="194">
        <f t="shared" si="94"/>
        <v>0</v>
      </c>
      <c r="P376" s="194">
        <f t="shared" si="94"/>
        <v>0</v>
      </c>
      <c r="Q376" s="194">
        <f t="shared" si="94"/>
        <v>0</v>
      </c>
      <c r="R376" s="126"/>
      <c r="S376" s="126"/>
      <c r="T376" s="126"/>
      <c r="U376" s="126"/>
      <c r="V376" s="126"/>
      <c r="W376" s="126"/>
      <c r="X376" s="126"/>
      <c r="Y376" s="126"/>
      <c r="AQ376" s="3"/>
    </row>
    <row r="377" spans="5:43" x14ac:dyDescent="0.25">
      <c r="E377" s="75"/>
      <c r="F377" s="118" t="s">
        <v>250</v>
      </c>
      <c r="G377" s="118" t="s">
        <v>251</v>
      </c>
      <c r="J377" s="194">
        <f t="shared" si="92"/>
        <v>0</v>
      </c>
      <c r="K377" s="126"/>
      <c r="L377" s="194">
        <f t="shared" si="93"/>
        <v>0</v>
      </c>
      <c r="M377" s="126"/>
      <c r="N377" s="194">
        <f t="shared" si="94"/>
        <v>1763.1510227633162</v>
      </c>
      <c r="O377" s="194">
        <f t="shared" si="94"/>
        <v>0</v>
      </c>
      <c r="P377" s="194">
        <f t="shared" si="94"/>
        <v>0</v>
      </c>
      <c r="Q377" s="194">
        <f t="shared" si="94"/>
        <v>0</v>
      </c>
      <c r="R377" s="126"/>
      <c r="S377" s="126"/>
      <c r="T377" s="126"/>
      <c r="U377" s="126"/>
      <c r="V377" s="126"/>
      <c r="W377" s="126"/>
      <c r="X377" s="126"/>
      <c r="Y377" s="126"/>
      <c r="AQ377" s="3"/>
    </row>
    <row r="378" spans="5:43" x14ac:dyDescent="0.25">
      <c r="E378" s="75"/>
      <c r="F378" s="118" t="s">
        <v>252</v>
      </c>
      <c r="G378" s="118" t="s">
        <v>251</v>
      </c>
      <c r="J378" s="194">
        <f t="shared" si="92"/>
        <v>0</v>
      </c>
      <c r="K378" s="126"/>
      <c r="L378" s="194">
        <f t="shared" si="93"/>
        <v>0</v>
      </c>
      <c r="M378" s="126"/>
      <c r="N378" s="194">
        <f t="shared" si="94"/>
        <v>55.786388632112633</v>
      </c>
      <c r="O378" s="194">
        <f t="shared" si="94"/>
        <v>0</v>
      </c>
      <c r="P378" s="194">
        <f t="shared" si="94"/>
        <v>0</v>
      </c>
      <c r="Q378" s="194">
        <f t="shared" si="94"/>
        <v>0</v>
      </c>
      <c r="R378" s="126"/>
      <c r="S378" s="126"/>
      <c r="T378" s="126"/>
      <c r="U378" s="126"/>
      <c r="V378" s="126"/>
      <c r="W378" s="126"/>
      <c r="X378" s="126"/>
      <c r="Y378" s="126"/>
      <c r="AQ378" s="3"/>
    </row>
    <row r="379" spans="5:43" x14ac:dyDescent="0.25">
      <c r="E379" s="75"/>
      <c r="F379" s="120" t="s">
        <v>253</v>
      </c>
      <c r="G379" s="120" t="s">
        <v>254</v>
      </c>
      <c r="H379" s="96"/>
      <c r="I379" s="96"/>
      <c r="J379" s="173">
        <f t="shared" si="92"/>
        <v>0</v>
      </c>
      <c r="K379" s="121"/>
      <c r="L379" s="173">
        <f t="shared" si="93"/>
        <v>0</v>
      </c>
      <c r="M379" s="121"/>
      <c r="N379" s="173">
        <f t="shared" si="94"/>
        <v>153.62026429806258</v>
      </c>
      <c r="O379" s="173">
        <f t="shared" si="94"/>
        <v>0</v>
      </c>
      <c r="P379" s="173">
        <f t="shared" si="94"/>
        <v>0</v>
      </c>
      <c r="Q379" s="173">
        <f t="shared" si="94"/>
        <v>0</v>
      </c>
      <c r="R379" s="121"/>
      <c r="S379" s="121"/>
      <c r="T379" s="121"/>
      <c r="U379" s="121"/>
      <c r="V379" s="121"/>
      <c r="W379" s="121"/>
      <c r="X379" s="121"/>
      <c r="Y379" s="121"/>
      <c r="AQ379" s="3"/>
    </row>
    <row r="380" spans="5:43" x14ac:dyDescent="0.25">
      <c r="AQ380" s="3"/>
    </row>
    <row r="381" spans="5:43" x14ac:dyDescent="0.25">
      <c r="E381" s="75" t="s">
        <v>911</v>
      </c>
      <c r="G381" s="61"/>
      <c r="I381" t="s">
        <v>154</v>
      </c>
      <c r="AQ381" s="3"/>
    </row>
    <row r="382" spans="5:43" x14ac:dyDescent="0.25">
      <c r="E382" s="75"/>
      <c r="F382" s="116" t="s">
        <v>247</v>
      </c>
      <c r="G382" s="116" t="s">
        <v>207</v>
      </c>
      <c r="H382" s="95"/>
      <c r="I382" s="95"/>
      <c r="J382" s="147">
        <f t="shared" ref="J382:J388" si="95">J67+J364+J373</f>
        <v>422507.98433825071</v>
      </c>
      <c r="K382" s="117"/>
      <c r="L382" s="147">
        <f t="shared" ref="L382:L388" si="96">L67+L364+L373</f>
        <v>8941.6044838200287</v>
      </c>
      <c r="M382" s="117"/>
      <c r="N382" s="147">
        <f t="shared" ref="N382:Q388" si="97">N67+N364+N373</f>
        <v>28627.047770951878</v>
      </c>
      <c r="O382" s="147">
        <f t="shared" si="97"/>
        <v>3068.499121163622</v>
      </c>
      <c r="P382" s="147">
        <f t="shared" si="97"/>
        <v>16832.080446901444</v>
      </c>
      <c r="Q382" s="147">
        <f t="shared" si="97"/>
        <v>3122.9507279534723</v>
      </c>
      <c r="R382" s="117"/>
      <c r="S382" s="117"/>
      <c r="T382" s="117"/>
      <c r="U382" s="117"/>
      <c r="V382" s="117"/>
      <c r="W382" s="117"/>
      <c r="X382" s="117"/>
      <c r="Y382" s="117"/>
      <c r="AQ382" s="3"/>
    </row>
    <row r="383" spans="5:43" x14ac:dyDescent="0.25">
      <c r="E383" s="75"/>
      <c r="F383" s="118" t="s">
        <v>248</v>
      </c>
      <c r="G383" s="118" t="s">
        <v>207</v>
      </c>
      <c r="J383" s="194">
        <f t="shared" si="95"/>
        <v>2266046.5649797935</v>
      </c>
      <c r="K383" s="126"/>
      <c r="L383" s="194">
        <f t="shared" si="96"/>
        <v>75144.766792114504</v>
      </c>
      <c r="M383" s="126"/>
      <c r="N383" s="194">
        <f t="shared" si="97"/>
        <v>206625.02477396483</v>
      </c>
      <c r="O383" s="194">
        <f t="shared" si="97"/>
        <v>22166.959347146436</v>
      </c>
      <c r="P383" s="194">
        <f t="shared" si="97"/>
        <v>118085.4722621204</v>
      </c>
      <c r="Q383" s="194">
        <f t="shared" si="97"/>
        <v>32473.298761415626</v>
      </c>
      <c r="R383" s="126"/>
      <c r="S383" s="126"/>
      <c r="T383" s="126"/>
      <c r="U383" s="126"/>
      <c r="V383" s="126"/>
      <c r="W383" s="126"/>
      <c r="X383" s="126"/>
      <c r="Y383" s="126"/>
      <c r="AQ383" s="3"/>
    </row>
    <row r="384" spans="5:43" x14ac:dyDescent="0.25">
      <c r="E384" s="75"/>
      <c r="F384" s="118" t="s">
        <v>249</v>
      </c>
      <c r="G384" s="118" t="s">
        <v>207</v>
      </c>
      <c r="J384" s="194">
        <f t="shared" si="95"/>
        <v>2587588.3037086395</v>
      </c>
      <c r="K384" s="126"/>
      <c r="L384" s="194">
        <f t="shared" si="96"/>
        <v>62116.447729261352</v>
      </c>
      <c r="M384" s="126"/>
      <c r="N384" s="194">
        <f t="shared" si="97"/>
        <v>184189.06103280824</v>
      </c>
      <c r="O384" s="194">
        <f t="shared" si="97"/>
        <v>22105.819031526087</v>
      </c>
      <c r="P384" s="194">
        <f t="shared" si="97"/>
        <v>134606.7008119339</v>
      </c>
      <c r="Q384" s="194">
        <f t="shared" si="97"/>
        <v>72099.552886005127</v>
      </c>
      <c r="R384" s="126"/>
      <c r="S384" s="126"/>
      <c r="T384" s="126"/>
      <c r="U384" s="126"/>
      <c r="V384" s="126"/>
      <c r="W384" s="126"/>
      <c r="X384" s="126"/>
      <c r="Y384" s="126"/>
      <c r="AQ384" s="3"/>
    </row>
    <row r="385" spans="3:43" x14ac:dyDescent="0.25">
      <c r="E385" s="75"/>
      <c r="F385" s="118" t="s">
        <v>212</v>
      </c>
      <c r="G385" s="118" t="s">
        <v>212</v>
      </c>
      <c r="J385" s="194">
        <f t="shared" si="95"/>
        <v>1555970.1026352285</v>
      </c>
      <c r="K385" s="126"/>
      <c r="L385" s="194">
        <f t="shared" si="96"/>
        <v>61663.482416823586</v>
      </c>
      <c r="M385" s="126"/>
      <c r="N385" s="194">
        <f t="shared" si="97"/>
        <v>4593.1832479625091</v>
      </c>
      <c r="O385" s="194">
        <f t="shared" si="97"/>
        <v>384.75674552999504</v>
      </c>
      <c r="P385" s="194">
        <f t="shared" si="97"/>
        <v>400.05973308576057</v>
      </c>
      <c r="Q385" s="194">
        <f t="shared" si="97"/>
        <v>2437</v>
      </c>
      <c r="R385" s="126"/>
      <c r="S385" s="126"/>
      <c r="T385" s="126"/>
      <c r="U385" s="126"/>
      <c r="V385" s="126"/>
      <c r="W385" s="126"/>
      <c r="X385" s="126"/>
      <c r="Y385" s="126"/>
      <c r="AQ385" s="3"/>
    </row>
    <row r="386" spans="3:43" x14ac:dyDescent="0.25">
      <c r="E386" s="75"/>
      <c r="F386" s="118" t="s">
        <v>250</v>
      </c>
      <c r="G386" s="118" t="s">
        <v>251</v>
      </c>
      <c r="J386" s="194">
        <f t="shared" si="95"/>
        <v>0</v>
      </c>
      <c r="K386" s="126"/>
      <c r="L386" s="194">
        <f t="shared" si="96"/>
        <v>0</v>
      </c>
      <c r="M386" s="126"/>
      <c r="N386" s="194">
        <f t="shared" si="97"/>
        <v>211324.83710352829</v>
      </c>
      <c r="O386" s="194">
        <f t="shared" si="97"/>
        <v>20989.350003962496</v>
      </c>
      <c r="P386" s="194">
        <f t="shared" si="97"/>
        <v>109776.54037156513</v>
      </c>
      <c r="Q386" s="194">
        <f t="shared" si="97"/>
        <v>0</v>
      </c>
      <c r="R386" s="126"/>
      <c r="S386" s="126"/>
      <c r="T386" s="126"/>
      <c r="U386" s="126"/>
      <c r="V386" s="126"/>
      <c r="W386" s="126"/>
      <c r="X386" s="126"/>
      <c r="Y386" s="126"/>
      <c r="AQ386" s="3"/>
    </row>
    <row r="387" spans="3:43" x14ac:dyDescent="0.25">
      <c r="E387" s="75"/>
      <c r="F387" s="118" t="s">
        <v>252</v>
      </c>
      <c r="G387" s="118" t="s">
        <v>251</v>
      </c>
      <c r="J387" s="194">
        <f t="shared" si="95"/>
        <v>0</v>
      </c>
      <c r="K387" s="126"/>
      <c r="L387" s="194">
        <f t="shared" si="96"/>
        <v>0</v>
      </c>
      <c r="M387" s="126"/>
      <c r="N387" s="194">
        <f t="shared" si="97"/>
        <v>6092.9677973935813</v>
      </c>
      <c r="O387" s="194">
        <f t="shared" si="97"/>
        <v>255.34567876429412</v>
      </c>
      <c r="P387" s="194">
        <f t="shared" si="97"/>
        <v>715.30805909984042</v>
      </c>
      <c r="Q387" s="194">
        <f t="shared" si="97"/>
        <v>0</v>
      </c>
      <c r="R387" s="126"/>
      <c r="S387" s="126"/>
      <c r="T387" s="126"/>
      <c r="U387" s="126"/>
      <c r="V387" s="126"/>
      <c r="W387" s="126"/>
      <c r="X387" s="126"/>
      <c r="Y387" s="126"/>
      <c r="AQ387" s="3"/>
    </row>
    <row r="388" spans="3:43" x14ac:dyDescent="0.25">
      <c r="E388" s="75"/>
      <c r="F388" s="120" t="s">
        <v>253</v>
      </c>
      <c r="G388" s="120" t="s">
        <v>254</v>
      </c>
      <c r="H388" s="96"/>
      <c r="I388" s="96"/>
      <c r="J388" s="173">
        <f t="shared" si="95"/>
        <v>0</v>
      </c>
      <c r="K388" s="121"/>
      <c r="L388" s="173">
        <f t="shared" si="96"/>
        <v>0</v>
      </c>
      <c r="M388" s="121"/>
      <c r="N388" s="173">
        <f t="shared" si="97"/>
        <v>33481.783027951446</v>
      </c>
      <c r="O388" s="173">
        <f t="shared" si="97"/>
        <v>4331.7769063989854</v>
      </c>
      <c r="P388" s="173">
        <f t="shared" si="97"/>
        <v>19591.499015199184</v>
      </c>
      <c r="Q388" s="173">
        <f t="shared" si="97"/>
        <v>0</v>
      </c>
      <c r="R388" s="121"/>
      <c r="S388" s="121"/>
      <c r="T388" s="121"/>
      <c r="U388" s="121"/>
      <c r="V388" s="121"/>
      <c r="W388" s="121"/>
      <c r="X388" s="121"/>
      <c r="Y388" s="121"/>
      <c r="AQ388" s="3"/>
    </row>
    <row r="389" spans="3:43" x14ac:dyDescent="0.25">
      <c r="AQ389" s="3"/>
    </row>
    <row r="390" spans="3:43" x14ac:dyDescent="0.25">
      <c r="C390" s="93" t="str">
        <f ca="1">INDEX('Version control'!$H$41:$H$64,MATCH($A$1,'Version control'!$F$41:$F$64,0),1)&amp;"-F: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25">
      <c r="C391" s="75"/>
      <c r="AQ391" s="3"/>
    </row>
    <row r="392" spans="3:43" x14ac:dyDescent="0.25">
      <c r="E392" s="75" t="s">
        <v>923</v>
      </c>
      <c r="G392" s="61"/>
      <c r="I392" t="s">
        <v>154</v>
      </c>
      <c r="AQ392" s="3"/>
    </row>
    <row r="393" spans="3:43" x14ac:dyDescent="0.25">
      <c r="E393" s="75"/>
      <c r="F393" s="116" t="s">
        <v>247</v>
      </c>
      <c r="G393" s="116" t="s">
        <v>207</v>
      </c>
      <c r="H393" s="95"/>
      <c r="I393" s="95"/>
      <c r="J393" s="117"/>
      <c r="K393" s="117"/>
      <c r="L393" s="147">
        <f t="shared" ref="L393:L399" si="98">(1 - L315) * L123</f>
        <v>8.0981361070280666</v>
      </c>
      <c r="M393" s="117"/>
      <c r="N393" s="147">
        <f t="shared" ref="N393:P399" si="99">(1 - N315) * N123</f>
        <v>127.96888034844069</v>
      </c>
      <c r="O393" s="147">
        <f t="shared" si="99"/>
        <v>0</v>
      </c>
      <c r="P393" s="147">
        <f t="shared" si="99"/>
        <v>0</v>
      </c>
      <c r="Q393" s="117"/>
      <c r="R393" s="117"/>
      <c r="S393" s="117"/>
      <c r="T393" s="117"/>
      <c r="U393" s="117"/>
      <c r="V393" s="117"/>
      <c r="W393" s="117"/>
      <c r="X393" s="117"/>
      <c r="Y393" s="117"/>
      <c r="AQ393" s="3"/>
    </row>
    <row r="394" spans="3:43" x14ac:dyDescent="0.25">
      <c r="E394" s="75"/>
      <c r="F394" s="118" t="s">
        <v>248</v>
      </c>
      <c r="G394" s="118" t="s">
        <v>207</v>
      </c>
      <c r="J394" s="126"/>
      <c r="K394" s="126"/>
      <c r="L394" s="194">
        <f t="shared" si="98"/>
        <v>68.961977677378144</v>
      </c>
      <c r="M394" s="126"/>
      <c r="N394" s="194">
        <f t="shared" si="99"/>
        <v>911.41119428764068</v>
      </c>
      <c r="O394" s="194">
        <f t="shared" si="99"/>
        <v>0</v>
      </c>
      <c r="P394" s="194">
        <f t="shared" si="99"/>
        <v>0</v>
      </c>
      <c r="Q394" s="126"/>
      <c r="R394" s="126"/>
      <c r="S394" s="126"/>
      <c r="T394" s="126"/>
      <c r="U394" s="126"/>
      <c r="V394" s="126"/>
      <c r="W394" s="126"/>
      <c r="X394" s="126"/>
      <c r="Y394" s="126"/>
      <c r="AQ394" s="3"/>
    </row>
    <row r="395" spans="3:43" x14ac:dyDescent="0.25">
      <c r="E395" s="75"/>
      <c r="F395" s="118" t="s">
        <v>249</v>
      </c>
      <c r="G395" s="118" t="s">
        <v>207</v>
      </c>
      <c r="J395" s="126"/>
      <c r="K395" s="126"/>
      <c r="L395" s="194">
        <f t="shared" si="98"/>
        <v>51.08561487496921</v>
      </c>
      <c r="M395" s="126"/>
      <c r="N395" s="194">
        <f t="shared" si="99"/>
        <v>736.85534227110975</v>
      </c>
      <c r="O395" s="194">
        <f t="shared" si="99"/>
        <v>0</v>
      </c>
      <c r="P395" s="194">
        <f t="shared" si="99"/>
        <v>0</v>
      </c>
      <c r="Q395" s="126"/>
      <c r="R395" s="126"/>
      <c r="S395" s="126"/>
      <c r="T395" s="126"/>
      <c r="U395" s="126"/>
      <c r="V395" s="126"/>
      <c r="W395" s="126"/>
      <c r="X395" s="126"/>
      <c r="Y395" s="126"/>
      <c r="AQ395" s="3"/>
    </row>
    <row r="396" spans="3:43" x14ac:dyDescent="0.25">
      <c r="E396" s="75"/>
      <c r="F396" s="118" t="s">
        <v>212</v>
      </c>
      <c r="G396" s="118" t="s">
        <v>212</v>
      </c>
      <c r="J396" s="126"/>
      <c r="K396" s="126"/>
      <c r="L396" s="194">
        <f t="shared" si="98"/>
        <v>32.453671073565971</v>
      </c>
      <c r="M396" s="126"/>
      <c r="N396" s="194">
        <f t="shared" si="99"/>
        <v>30.870565167538356</v>
      </c>
      <c r="O396" s="194">
        <f t="shared" si="99"/>
        <v>0</v>
      </c>
      <c r="P396" s="194">
        <f t="shared" si="99"/>
        <v>0</v>
      </c>
      <c r="Q396" s="126"/>
      <c r="R396" s="126"/>
      <c r="S396" s="126"/>
      <c r="T396" s="126"/>
      <c r="U396" s="126"/>
      <c r="V396" s="126"/>
      <c r="W396" s="126"/>
      <c r="X396" s="126"/>
      <c r="Y396" s="126"/>
      <c r="AQ396" s="3"/>
    </row>
    <row r="397" spans="3:43" x14ac:dyDescent="0.25">
      <c r="E397" s="75"/>
      <c r="F397" s="118" t="s">
        <v>250</v>
      </c>
      <c r="G397" s="118" t="s">
        <v>251</v>
      </c>
      <c r="J397" s="126"/>
      <c r="K397" s="126"/>
      <c r="L397" s="194">
        <f t="shared" si="98"/>
        <v>0</v>
      </c>
      <c r="M397" s="126"/>
      <c r="N397" s="194">
        <f t="shared" si="99"/>
        <v>3603.9405950718506</v>
      </c>
      <c r="O397" s="194">
        <f t="shared" si="99"/>
        <v>0</v>
      </c>
      <c r="P397" s="194">
        <f t="shared" si="99"/>
        <v>0</v>
      </c>
      <c r="Q397" s="126"/>
      <c r="R397" s="126"/>
      <c r="S397" s="126"/>
      <c r="T397" s="126"/>
      <c r="U397" s="126"/>
      <c r="V397" s="126"/>
      <c r="W397" s="126"/>
      <c r="X397" s="126"/>
      <c r="Y397" s="126"/>
      <c r="AQ397" s="3"/>
    </row>
    <row r="398" spans="3:43" x14ac:dyDescent="0.25">
      <c r="E398" s="75"/>
      <c r="F398" s="118" t="s">
        <v>252</v>
      </c>
      <c r="G398" s="118" t="s">
        <v>251</v>
      </c>
      <c r="J398" s="126"/>
      <c r="K398" s="126"/>
      <c r="L398" s="194">
        <f t="shared" si="98"/>
        <v>0</v>
      </c>
      <c r="M398" s="126"/>
      <c r="N398" s="194">
        <f t="shared" si="99"/>
        <v>0</v>
      </c>
      <c r="O398" s="194">
        <f t="shared" si="99"/>
        <v>0</v>
      </c>
      <c r="P398" s="194">
        <f t="shared" si="99"/>
        <v>0</v>
      </c>
      <c r="Q398" s="126"/>
      <c r="R398" s="126"/>
      <c r="S398" s="126"/>
      <c r="T398" s="126"/>
      <c r="U398" s="126"/>
      <c r="V398" s="126"/>
      <c r="W398" s="126"/>
      <c r="X398" s="126"/>
      <c r="Y398" s="126"/>
      <c r="AQ398" s="3"/>
    </row>
    <row r="399" spans="3:43" x14ac:dyDescent="0.25">
      <c r="E399" s="75"/>
      <c r="F399" s="120" t="s">
        <v>253</v>
      </c>
      <c r="G399" s="120" t="s">
        <v>254</v>
      </c>
      <c r="H399" s="96"/>
      <c r="I399" s="96"/>
      <c r="J399" s="121"/>
      <c r="K399" s="121"/>
      <c r="L399" s="173">
        <f t="shared" si="98"/>
        <v>0</v>
      </c>
      <c r="M399" s="121"/>
      <c r="N399" s="173">
        <f t="shared" si="99"/>
        <v>229.93383969630128</v>
      </c>
      <c r="O399" s="173">
        <f t="shared" si="99"/>
        <v>0</v>
      </c>
      <c r="P399" s="173">
        <f t="shared" si="99"/>
        <v>0</v>
      </c>
      <c r="Q399" s="121"/>
      <c r="R399" s="121"/>
      <c r="S399" s="121"/>
      <c r="T399" s="121"/>
      <c r="U399" s="121"/>
      <c r="V399" s="121"/>
      <c r="W399" s="121"/>
      <c r="X399" s="121"/>
      <c r="Y399" s="121"/>
      <c r="AQ399" s="3"/>
    </row>
    <row r="400" spans="3:43" x14ac:dyDescent="0.25">
      <c r="AQ400" s="3"/>
    </row>
    <row r="401" spans="5:43" x14ac:dyDescent="0.25">
      <c r="E401" s="75" t="s">
        <v>924</v>
      </c>
      <c r="G401" s="61"/>
      <c r="I401" t="s">
        <v>154</v>
      </c>
      <c r="AQ401" s="3"/>
    </row>
    <row r="402" spans="5:43" x14ac:dyDescent="0.25">
      <c r="E402" s="75"/>
      <c r="F402" s="116" t="s">
        <v>247</v>
      </c>
      <c r="G402" s="116" t="s">
        <v>207</v>
      </c>
      <c r="H402" s="95"/>
      <c r="I402" s="95"/>
      <c r="J402" s="117"/>
      <c r="K402" s="117"/>
      <c r="L402" s="147">
        <f t="shared" ref="L402:L408" si="100">(1 - L324) * L170</f>
        <v>69.900384991393963</v>
      </c>
      <c r="M402" s="117"/>
      <c r="N402" s="147">
        <f t="shared" ref="N402:P408" si="101">(1 - N324) * N170</f>
        <v>503.01560556499032</v>
      </c>
      <c r="O402" s="147">
        <f t="shared" si="101"/>
        <v>0.26715462622772063</v>
      </c>
      <c r="P402" s="147">
        <f t="shared" si="101"/>
        <v>182.81236344305006</v>
      </c>
      <c r="Q402" s="117"/>
      <c r="R402" s="117"/>
      <c r="S402" s="117"/>
      <c r="T402" s="117"/>
      <c r="U402" s="117"/>
      <c r="V402" s="117"/>
      <c r="W402" s="117"/>
      <c r="X402" s="117"/>
      <c r="Y402" s="117"/>
      <c r="AQ402" s="3"/>
    </row>
    <row r="403" spans="5:43" x14ac:dyDescent="0.25">
      <c r="E403" s="75"/>
      <c r="F403" s="118" t="s">
        <v>248</v>
      </c>
      <c r="G403" s="118" t="s">
        <v>207</v>
      </c>
      <c r="J403" s="126"/>
      <c r="K403" s="126"/>
      <c r="L403" s="194">
        <f t="shared" si="100"/>
        <v>583.93791067270081</v>
      </c>
      <c r="M403" s="126"/>
      <c r="N403" s="194">
        <f t="shared" si="101"/>
        <v>3486.243820820267</v>
      </c>
      <c r="O403" s="194">
        <f t="shared" si="101"/>
        <v>1.7123418273518749</v>
      </c>
      <c r="P403" s="194">
        <f t="shared" si="101"/>
        <v>1449.8687753463557</v>
      </c>
      <c r="Q403" s="126"/>
      <c r="R403" s="126"/>
      <c r="S403" s="126"/>
      <c r="T403" s="126"/>
      <c r="U403" s="126"/>
      <c r="V403" s="126"/>
      <c r="W403" s="126"/>
      <c r="X403" s="126"/>
      <c r="Y403" s="126"/>
      <c r="AQ403" s="3"/>
    </row>
    <row r="404" spans="5:43" x14ac:dyDescent="0.25">
      <c r="E404" s="75"/>
      <c r="F404" s="118" t="s">
        <v>249</v>
      </c>
      <c r="G404" s="118" t="s">
        <v>207</v>
      </c>
      <c r="J404" s="126"/>
      <c r="K404" s="126"/>
      <c r="L404" s="194">
        <f t="shared" si="100"/>
        <v>436.56512394302234</v>
      </c>
      <c r="M404" s="126"/>
      <c r="N404" s="194">
        <f t="shared" si="101"/>
        <v>2915.0129215528091</v>
      </c>
      <c r="O404" s="194">
        <f t="shared" si="101"/>
        <v>2.383389695830695</v>
      </c>
      <c r="P404" s="194">
        <f t="shared" si="101"/>
        <v>1189.657778345847</v>
      </c>
      <c r="Q404" s="126"/>
      <c r="R404" s="126"/>
      <c r="S404" s="126"/>
      <c r="T404" s="126"/>
      <c r="U404" s="126"/>
      <c r="V404" s="126"/>
      <c r="W404" s="126"/>
      <c r="X404" s="126"/>
      <c r="Y404" s="126"/>
      <c r="AQ404" s="3"/>
    </row>
    <row r="405" spans="5:43" x14ac:dyDescent="0.25">
      <c r="E405" s="75"/>
      <c r="F405" s="118" t="s">
        <v>212</v>
      </c>
      <c r="G405" s="118" t="s">
        <v>212</v>
      </c>
      <c r="J405" s="126"/>
      <c r="K405" s="126"/>
      <c r="L405" s="194">
        <f t="shared" si="100"/>
        <v>159.08526914021533</v>
      </c>
      <c r="M405" s="126"/>
      <c r="N405" s="194">
        <f t="shared" si="101"/>
        <v>59.194518749847546</v>
      </c>
      <c r="O405" s="194">
        <f t="shared" si="101"/>
        <v>1.768846571376274</v>
      </c>
      <c r="P405" s="194">
        <f t="shared" si="101"/>
        <v>3.1577558904640335</v>
      </c>
      <c r="Q405" s="126"/>
      <c r="R405" s="126"/>
      <c r="S405" s="126"/>
      <c r="T405" s="126"/>
      <c r="U405" s="126"/>
      <c r="V405" s="126"/>
      <c r="W405" s="126"/>
      <c r="X405" s="126"/>
      <c r="Y405" s="126"/>
      <c r="AQ405" s="3"/>
    </row>
    <row r="406" spans="5:43" x14ac:dyDescent="0.25">
      <c r="E406" s="75"/>
      <c r="F406" s="118" t="s">
        <v>250</v>
      </c>
      <c r="G406" s="118" t="s">
        <v>251</v>
      </c>
      <c r="J406" s="126"/>
      <c r="K406" s="126"/>
      <c r="L406" s="194">
        <f t="shared" si="100"/>
        <v>0</v>
      </c>
      <c r="M406" s="126"/>
      <c r="N406" s="194">
        <f t="shared" si="101"/>
        <v>8093.2648715751384</v>
      </c>
      <c r="O406" s="194">
        <f t="shared" si="101"/>
        <v>244.98525013561394</v>
      </c>
      <c r="P406" s="194">
        <f t="shared" si="101"/>
        <v>2526.2047123712264</v>
      </c>
      <c r="Q406" s="126"/>
      <c r="R406" s="126"/>
      <c r="S406" s="126"/>
      <c r="T406" s="126"/>
      <c r="U406" s="126"/>
      <c r="V406" s="126"/>
      <c r="W406" s="126"/>
      <c r="X406" s="126"/>
      <c r="Y406" s="126"/>
      <c r="AQ406" s="3"/>
    </row>
    <row r="407" spans="5:43" x14ac:dyDescent="0.25">
      <c r="E407" s="75"/>
      <c r="F407" s="118" t="s">
        <v>252</v>
      </c>
      <c r="G407" s="118" t="s">
        <v>251</v>
      </c>
      <c r="J407" s="126"/>
      <c r="K407" s="126"/>
      <c r="L407" s="194">
        <f t="shared" si="100"/>
        <v>0</v>
      </c>
      <c r="M407" s="126"/>
      <c r="N407" s="194">
        <f t="shared" si="101"/>
        <v>3.5815171139662785</v>
      </c>
      <c r="O407" s="194">
        <f t="shared" si="101"/>
        <v>0</v>
      </c>
      <c r="P407" s="194">
        <f t="shared" si="101"/>
        <v>0</v>
      </c>
      <c r="Q407" s="126"/>
      <c r="R407" s="126"/>
      <c r="S407" s="126"/>
      <c r="T407" s="126"/>
      <c r="U407" s="126"/>
      <c r="V407" s="126"/>
      <c r="W407" s="126"/>
      <c r="X407" s="126"/>
      <c r="Y407" s="126"/>
      <c r="AQ407" s="3"/>
    </row>
    <row r="408" spans="5:43" x14ac:dyDescent="0.25">
      <c r="E408" s="75"/>
      <c r="F408" s="120" t="s">
        <v>253</v>
      </c>
      <c r="G408" s="120" t="s">
        <v>254</v>
      </c>
      <c r="H408" s="96"/>
      <c r="I408" s="96"/>
      <c r="J408" s="121"/>
      <c r="K408" s="121"/>
      <c r="L408" s="173">
        <f t="shared" si="100"/>
        <v>0</v>
      </c>
      <c r="M408" s="121"/>
      <c r="N408" s="173">
        <f t="shared" si="101"/>
        <v>474.30910870665377</v>
      </c>
      <c r="O408" s="173">
        <f t="shared" si="101"/>
        <v>0</v>
      </c>
      <c r="P408" s="173">
        <f t="shared" si="101"/>
        <v>0.38663508958325643</v>
      </c>
      <c r="Q408" s="121"/>
      <c r="R408" s="121"/>
      <c r="S408" s="121"/>
      <c r="T408" s="121"/>
      <c r="U408" s="121"/>
      <c r="V408" s="121"/>
      <c r="W408" s="121"/>
      <c r="X408" s="121"/>
      <c r="Y408" s="121"/>
      <c r="AQ408" s="3"/>
    </row>
    <row r="409" spans="5:43" x14ac:dyDescent="0.25">
      <c r="AQ409" s="3"/>
    </row>
    <row r="410" spans="5:43" x14ac:dyDescent="0.25">
      <c r="E410" s="75" t="s">
        <v>925</v>
      </c>
      <c r="G410" s="61"/>
      <c r="I410" t="s">
        <v>154</v>
      </c>
      <c r="AQ410" s="3"/>
    </row>
    <row r="411" spans="5:43" x14ac:dyDescent="0.25">
      <c r="E411" s="75"/>
      <c r="F411" s="116" t="s">
        <v>247</v>
      </c>
      <c r="G411" s="116" t="s">
        <v>207</v>
      </c>
      <c r="H411" s="95"/>
      <c r="I411" s="95"/>
      <c r="J411" s="117"/>
      <c r="K411" s="117"/>
      <c r="L411" s="147">
        <f t="shared" ref="L411:L417" si="102">L76+L393+L402</f>
        <v>26161.399091069157</v>
      </c>
      <c r="M411" s="117"/>
      <c r="N411" s="147">
        <f t="shared" ref="N411:P417" si="103">N76+N393+N402</f>
        <v>25174.083648177559</v>
      </c>
      <c r="O411" s="147">
        <f t="shared" si="103"/>
        <v>5627.0965711183899</v>
      </c>
      <c r="P411" s="147">
        <f t="shared" si="103"/>
        <v>31227.558350844178</v>
      </c>
      <c r="Q411" s="117"/>
      <c r="R411" s="117"/>
      <c r="S411" s="117"/>
      <c r="T411" s="117"/>
      <c r="U411" s="117"/>
      <c r="V411" s="117"/>
      <c r="W411" s="117"/>
      <c r="X411" s="117"/>
      <c r="Y411" s="117"/>
      <c r="AQ411" s="3"/>
    </row>
    <row r="412" spans="5:43" x14ac:dyDescent="0.25">
      <c r="E412" s="75"/>
      <c r="F412" s="118" t="s">
        <v>248</v>
      </c>
      <c r="G412" s="118" t="s">
        <v>207</v>
      </c>
      <c r="J412" s="126"/>
      <c r="K412" s="126"/>
      <c r="L412" s="194">
        <f t="shared" si="102"/>
        <v>219911.58363692198</v>
      </c>
      <c r="M412" s="126"/>
      <c r="N412" s="194">
        <f t="shared" si="103"/>
        <v>181733.37449717341</v>
      </c>
      <c r="O412" s="194">
        <f t="shared" si="103"/>
        <v>40650.151205127426</v>
      </c>
      <c r="P412" s="194">
        <f t="shared" si="103"/>
        <v>219244.30617388422</v>
      </c>
      <c r="Q412" s="126"/>
      <c r="R412" s="126"/>
      <c r="S412" s="126"/>
      <c r="T412" s="126"/>
      <c r="U412" s="126"/>
      <c r="V412" s="126"/>
      <c r="W412" s="126"/>
      <c r="X412" s="126"/>
      <c r="Y412" s="126"/>
      <c r="AQ412" s="3"/>
    </row>
    <row r="413" spans="5:43" x14ac:dyDescent="0.25">
      <c r="E413" s="75"/>
      <c r="F413" s="118" t="s">
        <v>249</v>
      </c>
      <c r="G413" s="118" t="s">
        <v>207</v>
      </c>
      <c r="J413" s="126"/>
      <c r="K413" s="126"/>
      <c r="L413" s="194">
        <f t="shared" si="102"/>
        <v>181865.07607300076</v>
      </c>
      <c r="M413" s="126"/>
      <c r="N413" s="194">
        <f t="shared" si="103"/>
        <v>161803.19365598555</v>
      </c>
      <c r="O413" s="194">
        <f t="shared" si="103"/>
        <v>40538.706813857127</v>
      </c>
      <c r="P413" s="194">
        <f t="shared" si="103"/>
        <v>249455.51226324734</v>
      </c>
      <c r="Q413" s="126"/>
      <c r="R413" s="126"/>
      <c r="S413" s="126"/>
      <c r="T413" s="126"/>
      <c r="U413" s="126"/>
      <c r="V413" s="126"/>
      <c r="W413" s="126"/>
      <c r="X413" s="126"/>
      <c r="Y413" s="126"/>
      <c r="AQ413" s="3"/>
    </row>
    <row r="414" spans="5:43" x14ac:dyDescent="0.25">
      <c r="E414" s="75"/>
      <c r="F414" s="118" t="s">
        <v>212</v>
      </c>
      <c r="G414" s="118" t="s">
        <v>212</v>
      </c>
      <c r="J414" s="126"/>
      <c r="K414" s="126"/>
      <c r="L414" s="194">
        <f t="shared" si="102"/>
        <v>44333.169214726993</v>
      </c>
      <c r="M414" s="126"/>
      <c r="N414" s="194">
        <f t="shared" si="103"/>
        <v>2290.342888478433</v>
      </c>
      <c r="O414" s="194">
        <f t="shared" si="103"/>
        <v>413.29990171299471</v>
      </c>
      <c r="P414" s="194">
        <f t="shared" si="103"/>
        <v>322.24154300223938</v>
      </c>
      <c r="Q414" s="126"/>
      <c r="R414" s="126"/>
      <c r="S414" s="126"/>
      <c r="T414" s="126"/>
      <c r="U414" s="126"/>
      <c r="V414" s="126"/>
      <c r="W414" s="126"/>
      <c r="X414" s="126"/>
      <c r="Y414" s="126"/>
      <c r="AQ414" s="3"/>
    </row>
    <row r="415" spans="5:43" x14ac:dyDescent="0.25">
      <c r="E415" s="75"/>
      <c r="F415" s="118" t="s">
        <v>250</v>
      </c>
      <c r="G415" s="118" t="s">
        <v>251</v>
      </c>
      <c r="J415" s="126"/>
      <c r="K415" s="126"/>
      <c r="L415" s="194">
        <f t="shared" si="102"/>
        <v>0</v>
      </c>
      <c r="M415" s="126"/>
      <c r="N415" s="194">
        <f t="shared" si="103"/>
        <v>275633.98501430528</v>
      </c>
      <c r="O415" s="194">
        <f t="shared" si="103"/>
        <v>51629.064771221412</v>
      </c>
      <c r="P415" s="194">
        <f t="shared" si="103"/>
        <v>231913.25927576111</v>
      </c>
      <c r="Q415" s="126"/>
      <c r="R415" s="126"/>
      <c r="S415" s="126"/>
      <c r="T415" s="126"/>
      <c r="U415" s="126"/>
      <c r="V415" s="126"/>
      <c r="W415" s="126"/>
      <c r="X415" s="126"/>
      <c r="Y415" s="126"/>
      <c r="AQ415" s="3"/>
    </row>
    <row r="416" spans="5:43" x14ac:dyDescent="0.25">
      <c r="E416" s="75"/>
      <c r="F416" s="118" t="s">
        <v>252</v>
      </c>
      <c r="G416" s="118" t="s">
        <v>251</v>
      </c>
      <c r="J416" s="126"/>
      <c r="K416" s="126"/>
      <c r="L416" s="194">
        <f t="shared" si="102"/>
        <v>0</v>
      </c>
      <c r="M416" s="126"/>
      <c r="N416" s="194">
        <f t="shared" si="103"/>
        <v>7598.833470932399</v>
      </c>
      <c r="O416" s="194">
        <f t="shared" si="103"/>
        <v>625.11238606784434</v>
      </c>
      <c r="P416" s="194">
        <f t="shared" si="103"/>
        <v>1494.6946608719054</v>
      </c>
      <c r="Q416" s="126"/>
      <c r="R416" s="126"/>
      <c r="S416" s="126"/>
      <c r="T416" s="126"/>
      <c r="U416" s="126"/>
      <c r="V416" s="126"/>
      <c r="W416" s="126"/>
      <c r="X416" s="126"/>
      <c r="Y416" s="126"/>
      <c r="AQ416" s="3"/>
    </row>
    <row r="417" spans="3:43" x14ac:dyDescent="0.25">
      <c r="E417" s="75"/>
      <c r="F417" s="120" t="s">
        <v>253</v>
      </c>
      <c r="G417" s="120" t="s">
        <v>254</v>
      </c>
      <c r="H417" s="96"/>
      <c r="I417" s="96"/>
      <c r="J417" s="121"/>
      <c r="K417" s="121"/>
      <c r="L417" s="173">
        <f t="shared" si="102"/>
        <v>0</v>
      </c>
      <c r="M417" s="121"/>
      <c r="N417" s="173">
        <f t="shared" si="103"/>
        <v>29498.713744070697</v>
      </c>
      <c r="O417" s="173">
        <f t="shared" si="103"/>
        <v>7943.3523557159006</v>
      </c>
      <c r="P417" s="173">
        <f t="shared" si="103"/>
        <v>36134.547968143444</v>
      </c>
      <c r="Q417" s="121"/>
      <c r="R417" s="121"/>
      <c r="S417" s="121"/>
      <c r="T417" s="121"/>
      <c r="U417" s="121"/>
      <c r="V417" s="121"/>
      <c r="W417" s="121"/>
      <c r="X417" s="121"/>
      <c r="Y417" s="121"/>
      <c r="AQ417" s="3"/>
    </row>
    <row r="418" spans="3:43" x14ac:dyDescent="0.25">
      <c r="AQ418" s="3"/>
    </row>
    <row r="419" spans="3:43" x14ac:dyDescent="0.25">
      <c r="C419" s="93" t="str">
        <f ca="1">INDEX('Version control'!$H$41:$H$64,MATCH($A$1,'Version control'!$F$41:$F$64,0),1)&amp;"-G: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25">
      <c r="C420" s="75"/>
      <c r="AQ420" s="3"/>
    </row>
    <row r="421" spans="3:43" x14ac:dyDescent="0.25">
      <c r="E421" s="75" t="s">
        <v>920</v>
      </c>
      <c r="G421" s="61"/>
      <c r="I421" t="s">
        <v>154</v>
      </c>
      <c r="AQ421" s="3"/>
    </row>
    <row r="422" spans="3:43" x14ac:dyDescent="0.25">
      <c r="E422" s="75"/>
      <c r="F422" s="116" t="s">
        <v>247</v>
      </c>
      <c r="G422" s="116" t="s">
        <v>207</v>
      </c>
      <c r="H422" s="95"/>
      <c r="I422" s="95"/>
      <c r="J422" s="117"/>
      <c r="K422" s="117"/>
      <c r="L422" s="147">
        <f t="shared" ref="L422:L428" si="104">(1 - L315) * L132</f>
        <v>24.524750491287097</v>
      </c>
      <c r="M422" s="117"/>
      <c r="N422" s="147">
        <f t="shared" ref="N422:P428" si="105">(1 - N315) * N132</f>
        <v>223.02269285678364</v>
      </c>
      <c r="O422" s="147">
        <f t="shared" si="105"/>
        <v>0</v>
      </c>
      <c r="P422" s="147">
        <f t="shared" si="105"/>
        <v>0</v>
      </c>
      <c r="Q422" s="117"/>
      <c r="R422" s="117"/>
      <c r="S422" s="117"/>
      <c r="T422" s="117"/>
      <c r="U422" s="117"/>
      <c r="V422" s="117"/>
      <c r="W422" s="117"/>
      <c r="X422" s="117"/>
      <c r="Y422" s="117"/>
      <c r="AQ422" s="3"/>
    </row>
    <row r="423" spans="3:43" x14ac:dyDescent="0.25">
      <c r="E423" s="75"/>
      <c r="F423" s="118" t="s">
        <v>248</v>
      </c>
      <c r="G423" s="118" t="s">
        <v>207</v>
      </c>
      <c r="J423" s="126"/>
      <c r="K423" s="126"/>
      <c r="L423" s="194">
        <f t="shared" si="104"/>
        <v>203.24734319778722</v>
      </c>
      <c r="M423" s="126"/>
      <c r="N423" s="194">
        <f t="shared" si="105"/>
        <v>1487.2438635255517</v>
      </c>
      <c r="O423" s="194">
        <f t="shared" si="105"/>
        <v>0</v>
      </c>
      <c r="P423" s="194">
        <f t="shared" si="105"/>
        <v>0</v>
      </c>
      <c r="Q423" s="126"/>
      <c r="R423" s="126"/>
      <c r="S423" s="126"/>
      <c r="T423" s="126"/>
      <c r="U423" s="126"/>
      <c r="V423" s="126"/>
      <c r="W423" s="126"/>
      <c r="X423" s="126"/>
      <c r="Y423" s="126"/>
      <c r="AQ423" s="3"/>
    </row>
    <row r="424" spans="3:43" x14ac:dyDescent="0.25">
      <c r="E424" s="75"/>
      <c r="F424" s="118" t="s">
        <v>249</v>
      </c>
      <c r="G424" s="118" t="s">
        <v>207</v>
      </c>
      <c r="J424" s="126"/>
      <c r="K424" s="126"/>
      <c r="L424" s="194">
        <f t="shared" si="104"/>
        <v>154.62832339960303</v>
      </c>
      <c r="M424" s="126"/>
      <c r="N424" s="194">
        <f t="shared" si="105"/>
        <v>831.17790073694323</v>
      </c>
      <c r="O424" s="194">
        <f t="shared" si="105"/>
        <v>0</v>
      </c>
      <c r="P424" s="194">
        <f t="shared" si="105"/>
        <v>0</v>
      </c>
      <c r="Q424" s="126"/>
      <c r="R424" s="126"/>
      <c r="S424" s="126"/>
      <c r="T424" s="126"/>
      <c r="U424" s="126"/>
      <c r="V424" s="126"/>
      <c r="W424" s="126"/>
      <c r="X424" s="126"/>
      <c r="Y424" s="126"/>
      <c r="AQ424" s="3"/>
    </row>
    <row r="425" spans="3:43" x14ac:dyDescent="0.25">
      <c r="E425" s="75"/>
      <c r="F425" s="118" t="s">
        <v>212</v>
      </c>
      <c r="G425" s="118" t="s">
        <v>212</v>
      </c>
      <c r="J425" s="126"/>
      <c r="K425" s="126"/>
      <c r="L425" s="194">
        <f t="shared" si="104"/>
        <v>41.952306509731635</v>
      </c>
      <c r="M425" s="126"/>
      <c r="N425" s="194">
        <f t="shared" si="105"/>
        <v>34.828329932607375</v>
      </c>
      <c r="O425" s="194">
        <f t="shared" si="105"/>
        <v>0</v>
      </c>
      <c r="P425" s="194">
        <f t="shared" si="105"/>
        <v>0</v>
      </c>
      <c r="Q425" s="126"/>
      <c r="R425" s="126"/>
      <c r="S425" s="126"/>
      <c r="T425" s="126"/>
      <c r="U425" s="126"/>
      <c r="V425" s="126"/>
      <c r="W425" s="126"/>
      <c r="X425" s="126"/>
      <c r="Y425" s="126"/>
      <c r="AQ425" s="3"/>
    </row>
    <row r="426" spans="3:43" x14ac:dyDescent="0.25">
      <c r="E426" s="75"/>
      <c r="F426" s="118" t="s">
        <v>250</v>
      </c>
      <c r="G426" s="118" t="s">
        <v>251</v>
      </c>
      <c r="J426" s="126"/>
      <c r="K426" s="126"/>
      <c r="L426" s="194">
        <f t="shared" si="104"/>
        <v>0</v>
      </c>
      <c r="M426" s="126"/>
      <c r="N426" s="194">
        <f t="shared" si="105"/>
        <v>6023.7179724350499</v>
      </c>
      <c r="O426" s="194">
        <f t="shared" si="105"/>
        <v>0</v>
      </c>
      <c r="P426" s="194">
        <f t="shared" si="105"/>
        <v>0</v>
      </c>
      <c r="Q426" s="126"/>
      <c r="R426" s="126"/>
      <c r="S426" s="126"/>
      <c r="T426" s="126"/>
      <c r="U426" s="126"/>
      <c r="V426" s="126"/>
      <c r="W426" s="126"/>
      <c r="X426" s="126"/>
      <c r="Y426" s="126"/>
      <c r="AQ426" s="3"/>
    </row>
    <row r="427" spans="3:43" x14ac:dyDescent="0.25">
      <c r="E427" s="75"/>
      <c r="F427" s="118" t="s">
        <v>252</v>
      </c>
      <c r="G427" s="118" t="s">
        <v>251</v>
      </c>
      <c r="J427" s="126"/>
      <c r="K427" s="126"/>
      <c r="L427" s="194">
        <f t="shared" si="104"/>
        <v>0</v>
      </c>
      <c r="M427" s="126"/>
      <c r="N427" s="194">
        <f t="shared" si="105"/>
        <v>60.495156605152651</v>
      </c>
      <c r="O427" s="194">
        <f t="shared" si="105"/>
        <v>0</v>
      </c>
      <c r="P427" s="194">
        <f t="shared" si="105"/>
        <v>0</v>
      </c>
      <c r="Q427" s="126"/>
      <c r="R427" s="126"/>
      <c r="S427" s="126"/>
      <c r="T427" s="126"/>
      <c r="U427" s="126"/>
      <c r="V427" s="126"/>
      <c r="W427" s="126"/>
      <c r="X427" s="126"/>
      <c r="Y427" s="126"/>
      <c r="AQ427" s="3"/>
    </row>
    <row r="428" spans="3:43" x14ac:dyDescent="0.25">
      <c r="E428" s="75"/>
      <c r="F428" s="120" t="s">
        <v>253</v>
      </c>
      <c r="G428" s="120" t="s">
        <v>254</v>
      </c>
      <c r="H428" s="96"/>
      <c r="I428" s="96"/>
      <c r="J428" s="121"/>
      <c r="K428" s="121"/>
      <c r="L428" s="173">
        <f t="shared" si="104"/>
        <v>0</v>
      </c>
      <c r="M428" s="121"/>
      <c r="N428" s="173">
        <f t="shared" si="105"/>
        <v>156.89343952004481</v>
      </c>
      <c r="O428" s="173">
        <f t="shared" si="105"/>
        <v>0</v>
      </c>
      <c r="P428" s="173">
        <f t="shared" si="105"/>
        <v>0</v>
      </c>
      <c r="Q428" s="121"/>
      <c r="R428" s="121"/>
      <c r="S428" s="121"/>
      <c r="T428" s="121"/>
      <c r="U428" s="121"/>
      <c r="V428" s="121"/>
      <c r="W428" s="121"/>
      <c r="X428" s="121"/>
      <c r="Y428" s="121"/>
      <c r="AQ428" s="3"/>
    </row>
    <row r="429" spans="3:43" x14ac:dyDescent="0.25">
      <c r="AQ429" s="3"/>
    </row>
    <row r="430" spans="3:43" x14ac:dyDescent="0.25">
      <c r="E430" s="75" t="s">
        <v>921</v>
      </c>
      <c r="G430" s="61"/>
      <c r="I430" t="s">
        <v>154</v>
      </c>
      <c r="AQ430" s="3"/>
    </row>
    <row r="431" spans="3:43" x14ac:dyDescent="0.25">
      <c r="E431" s="75"/>
      <c r="F431" s="116" t="s">
        <v>247</v>
      </c>
      <c r="G431" s="116" t="s">
        <v>207</v>
      </c>
      <c r="H431" s="95"/>
      <c r="I431" s="95"/>
      <c r="J431" s="117"/>
      <c r="K431" s="117"/>
      <c r="L431" s="147">
        <f t="shared" ref="L431:L437" si="106">(1 - L324) * L179</f>
        <v>89.733905134100382</v>
      </c>
      <c r="M431" s="117"/>
      <c r="N431" s="147">
        <f t="shared" ref="N431:P437" si="107">(1 - N324) * N179</f>
        <v>362.00701658192645</v>
      </c>
      <c r="O431" s="147">
        <f t="shared" si="107"/>
        <v>37.75049340308459</v>
      </c>
      <c r="P431" s="147">
        <f t="shared" si="107"/>
        <v>376.1277172001212</v>
      </c>
      <c r="Q431" s="117"/>
      <c r="R431" s="117"/>
      <c r="S431" s="117"/>
      <c r="T431" s="117"/>
      <c r="U431" s="117"/>
      <c r="V431" s="117"/>
      <c r="W431" s="117"/>
      <c r="X431" s="117"/>
      <c r="Y431" s="117"/>
      <c r="AQ431" s="3"/>
    </row>
    <row r="432" spans="3:43" x14ac:dyDescent="0.25">
      <c r="E432" s="75"/>
      <c r="F432" s="118" t="s">
        <v>248</v>
      </c>
      <c r="G432" s="118" t="s">
        <v>207</v>
      </c>
      <c r="J432" s="126"/>
      <c r="K432" s="126"/>
      <c r="L432" s="194">
        <f t="shared" si="106"/>
        <v>733.57551472920795</v>
      </c>
      <c r="M432" s="126"/>
      <c r="N432" s="194">
        <f t="shared" si="107"/>
        <v>2408.6213529781699</v>
      </c>
      <c r="O432" s="194">
        <f t="shared" si="107"/>
        <v>207.55190751834485</v>
      </c>
      <c r="P432" s="194">
        <f t="shared" si="107"/>
        <v>2383.0871706074513</v>
      </c>
      <c r="Q432" s="126"/>
      <c r="R432" s="126"/>
      <c r="S432" s="126"/>
      <c r="T432" s="126"/>
      <c r="U432" s="126"/>
      <c r="V432" s="126"/>
      <c r="W432" s="126"/>
      <c r="X432" s="126"/>
      <c r="Y432" s="126"/>
      <c r="AQ432" s="3"/>
    </row>
    <row r="433" spans="3:43" x14ac:dyDescent="0.25">
      <c r="E433" s="75"/>
      <c r="F433" s="118" t="s">
        <v>249</v>
      </c>
      <c r="G433" s="118" t="s">
        <v>207</v>
      </c>
      <c r="J433" s="126"/>
      <c r="K433" s="126"/>
      <c r="L433" s="194">
        <f t="shared" si="106"/>
        <v>566.774494001937</v>
      </c>
      <c r="M433" s="126"/>
      <c r="N433" s="194">
        <f t="shared" si="107"/>
        <v>2067.8001880119496</v>
      </c>
      <c r="O433" s="194">
        <f t="shared" si="107"/>
        <v>257.46533884073307</v>
      </c>
      <c r="P433" s="194">
        <f t="shared" si="107"/>
        <v>2901.9193284120424</v>
      </c>
      <c r="Q433" s="126"/>
      <c r="R433" s="126"/>
      <c r="S433" s="126"/>
      <c r="T433" s="126"/>
      <c r="U433" s="126"/>
      <c r="V433" s="126"/>
      <c r="W433" s="126"/>
      <c r="X433" s="126"/>
      <c r="Y433" s="126"/>
      <c r="AQ433" s="3"/>
    </row>
    <row r="434" spans="3:43" x14ac:dyDescent="0.25">
      <c r="E434" s="75"/>
      <c r="F434" s="118" t="s">
        <v>212</v>
      </c>
      <c r="G434" s="118" t="s">
        <v>212</v>
      </c>
      <c r="J434" s="126"/>
      <c r="K434" s="126"/>
      <c r="L434" s="194">
        <f t="shared" si="106"/>
        <v>113.10381261131587</v>
      </c>
      <c r="M434" s="126"/>
      <c r="N434" s="194">
        <f t="shared" si="107"/>
        <v>29.068736886085858</v>
      </c>
      <c r="O434" s="194">
        <f t="shared" si="107"/>
        <v>0.884423285688137</v>
      </c>
      <c r="P434" s="194">
        <f t="shared" si="107"/>
        <v>4.210341187285378</v>
      </c>
      <c r="Q434" s="126"/>
      <c r="R434" s="126"/>
      <c r="S434" s="126"/>
      <c r="T434" s="126"/>
      <c r="U434" s="126"/>
      <c r="V434" s="126"/>
      <c r="W434" s="126"/>
      <c r="X434" s="126"/>
      <c r="Y434" s="126"/>
      <c r="AQ434" s="3"/>
    </row>
    <row r="435" spans="3:43" x14ac:dyDescent="0.25">
      <c r="E435" s="75"/>
      <c r="F435" s="118" t="s">
        <v>250</v>
      </c>
      <c r="G435" s="118" t="s">
        <v>251</v>
      </c>
      <c r="J435" s="126"/>
      <c r="K435" s="126"/>
      <c r="L435" s="194">
        <f t="shared" si="106"/>
        <v>0</v>
      </c>
      <c r="M435" s="126"/>
      <c r="N435" s="194">
        <f t="shared" si="107"/>
        <v>5674.7459626527971</v>
      </c>
      <c r="O435" s="194">
        <f t="shared" si="107"/>
        <v>181.30677356606807</v>
      </c>
      <c r="P435" s="194">
        <f t="shared" si="107"/>
        <v>5473.4435434709903</v>
      </c>
      <c r="Q435" s="126"/>
      <c r="R435" s="126"/>
      <c r="S435" s="126"/>
      <c r="T435" s="126"/>
      <c r="U435" s="126"/>
      <c r="V435" s="126"/>
      <c r="W435" s="126"/>
      <c r="X435" s="126"/>
      <c r="Y435" s="126"/>
      <c r="AQ435" s="3"/>
    </row>
    <row r="436" spans="3:43" x14ac:dyDescent="0.25">
      <c r="E436" s="75"/>
      <c r="F436" s="118" t="s">
        <v>252</v>
      </c>
      <c r="G436" s="118" t="s">
        <v>251</v>
      </c>
      <c r="J436" s="126"/>
      <c r="K436" s="126"/>
      <c r="L436" s="194">
        <f t="shared" si="106"/>
        <v>0</v>
      </c>
      <c r="M436" s="126"/>
      <c r="N436" s="194">
        <f t="shared" si="107"/>
        <v>15.160561781224375</v>
      </c>
      <c r="O436" s="194">
        <f t="shared" si="107"/>
        <v>0</v>
      </c>
      <c r="P436" s="194">
        <f t="shared" si="107"/>
        <v>0</v>
      </c>
      <c r="Q436" s="126"/>
      <c r="R436" s="126"/>
      <c r="S436" s="126"/>
      <c r="T436" s="126"/>
      <c r="U436" s="126"/>
      <c r="V436" s="126"/>
      <c r="W436" s="126"/>
      <c r="X436" s="126"/>
      <c r="Y436" s="126"/>
      <c r="AQ436" s="3"/>
    </row>
    <row r="437" spans="3:43" x14ac:dyDescent="0.25">
      <c r="E437" s="75"/>
      <c r="F437" s="120" t="s">
        <v>253</v>
      </c>
      <c r="G437" s="120" t="s">
        <v>254</v>
      </c>
      <c r="H437" s="96"/>
      <c r="I437" s="96"/>
      <c r="J437" s="121"/>
      <c r="K437" s="121"/>
      <c r="L437" s="173">
        <f t="shared" si="106"/>
        <v>0</v>
      </c>
      <c r="M437" s="121"/>
      <c r="N437" s="173">
        <f t="shared" si="107"/>
        <v>310.58925367121168</v>
      </c>
      <c r="O437" s="173">
        <f t="shared" si="107"/>
        <v>0.46994226296431968</v>
      </c>
      <c r="P437" s="173">
        <f t="shared" si="107"/>
        <v>227.32376871262949</v>
      </c>
      <c r="Q437" s="121"/>
      <c r="R437" s="121"/>
      <c r="S437" s="121"/>
      <c r="T437" s="121"/>
      <c r="U437" s="121"/>
      <c r="V437" s="121"/>
      <c r="W437" s="121"/>
      <c r="X437" s="121"/>
      <c r="Y437" s="121"/>
      <c r="AQ437" s="3"/>
    </row>
    <row r="438" spans="3:43" x14ac:dyDescent="0.25">
      <c r="AQ438" s="3"/>
    </row>
    <row r="439" spans="3:43" x14ac:dyDescent="0.25">
      <c r="E439" s="75" t="s">
        <v>922</v>
      </c>
      <c r="G439" s="61"/>
      <c r="I439" t="s">
        <v>154</v>
      </c>
      <c r="AQ439" s="3"/>
    </row>
    <row r="440" spans="3:43" x14ac:dyDescent="0.25">
      <c r="E440" s="75"/>
      <c r="F440" s="116" t="s">
        <v>247</v>
      </c>
      <c r="G440" s="116" t="s">
        <v>207</v>
      </c>
      <c r="H440" s="95"/>
      <c r="I440" s="95"/>
      <c r="J440" s="117"/>
      <c r="K440" s="117"/>
      <c r="L440" s="147">
        <f t="shared" ref="L440:L446" si="108">L85+L422+L431</f>
        <v>21408.510715010591</v>
      </c>
      <c r="M440" s="117"/>
      <c r="N440" s="147">
        <f t="shared" ref="N440:P446" si="109">N85+N422+N431</f>
        <v>18213.251081811981</v>
      </c>
      <c r="O440" s="147">
        <f t="shared" si="109"/>
        <v>8589.8405051865466</v>
      </c>
      <c r="P440" s="147">
        <f t="shared" si="109"/>
        <v>29004.005111588471</v>
      </c>
      <c r="Q440" s="117"/>
      <c r="R440" s="117"/>
      <c r="S440" s="117"/>
      <c r="T440" s="117"/>
      <c r="U440" s="117"/>
      <c r="V440" s="117"/>
      <c r="W440" s="117"/>
      <c r="X440" s="117"/>
      <c r="Y440" s="117"/>
      <c r="AQ440" s="3"/>
    </row>
    <row r="441" spans="3:43" x14ac:dyDescent="0.25">
      <c r="E441" s="75"/>
      <c r="F441" s="118" t="s">
        <v>248</v>
      </c>
      <c r="G441" s="118" t="s">
        <v>207</v>
      </c>
      <c r="J441" s="126"/>
      <c r="K441" s="126"/>
      <c r="L441" s="194">
        <f t="shared" si="108"/>
        <v>179937.62704472381</v>
      </c>
      <c r="M441" s="126"/>
      <c r="N441" s="194">
        <f t="shared" si="109"/>
        <v>131268.26018549144</v>
      </c>
      <c r="O441" s="194">
        <f t="shared" si="109"/>
        <v>61988.189326261308</v>
      </c>
      <c r="P441" s="194">
        <f t="shared" si="109"/>
        <v>203221.98124806175</v>
      </c>
      <c r="Q441" s="126"/>
      <c r="R441" s="126"/>
      <c r="S441" s="126"/>
      <c r="T441" s="126"/>
      <c r="U441" s="126"/>
      <c r="V441" s="126"/>
      <c r="W441" s="126"/>
      <c r="X441" s="126"/>
      <c r="Y441" s="126"/>
      <c r="AQ441" s="3"/>
    </row>
    <row r="442" spans="3:43" x14ac:dyDescent="0.25">
      <c r="E442" s="75"/>
      <c r="F442" s="118" t="s">
        <v>249</v>
      </c>
      <c r="G442" s="118" t="s">
        <v>207</v>
      </c>
      <c r="J442" s="126"/>
      <c r="K442" s="126"/>
      <c r="L442" s="194">
        <f t="shared" si="108"/>
        <v>148796.29062152427</v>
      </c>
      <c r="M442" s="126"/>
      <c r="N442" s="194">
        <f t="shared" si="109"/>
        <v>116492.07225811925</v>
      </c>
      <c r="O442" s="194">
        <f t="shared" si="109"/>
        <v>61867.701052421784</v>
      </c>
      <c r="P442" s="194">
        <f t="shared" si="109"/>
        <v>231839.99620271404</v>
      </c>
      <c r="Q442" s="126"/>
      <c r="R442" s="126"/>
      <c r="S442" s="126"/>
      <c r="T442" s="126"/>
      <c r="U442" s="126"/>
      <c r="V442" s="126"/>
      <c r="W442" s="126"/>
      <c r="X442" s="126"/>
      <c r="Y442" s="126"/>
      <c r="AQ442" s="3"/>
    </row>
    <row r="443" spans="3:43" x14ac:dyDescent="0.25">
      <c r="E443" s="75"/>
      <c r="F443" s="118" t="s">
        <v>212</v>
      </c>
      <c r="G443" s="118" t="s">
        <v>212</v>
      </c>
      <c r="J443" s="126"/>
      <c r="K443" s="126"/>
      <c r="L443" s="194">
        <f t="shared" si="108"/>
        <v>18008.595456472343</v>
      </c>
      <c r="M443" s="126"/>
      <c r="N443" s="194">
        <f t="shared" si="109"/>
        <v>1092.1777703302037</v>
      </c>
      <c r="O443" s="194">
        <f t="shared" si="109"/>
        <v>386.63280991240993</v>
      </c>
      <c r="P443" s="194">
        <f t="shared" si="109"/>
        <v>134.35025435976169</v>
      </c>
      <c r="Q443" s="126"/>
      <c r="R443" s="126"/>
      <c r="S443" s="126"/>
      <c r="T443" s="126"/>
      <c r="U443" s="126"/>
      <c r="V443" s="126"/>
      <c r="W443" s="126"/>
      <c r="X443" s="126"/>
      <c r="Y443" s="126"/>
      <c r="AQ443" s="3"/>
    </row>
    <row r="444" spans="3:43" x14ac:dyDescent="0.25">
      <c r="E444" s="75"/>
      <c r="F444" s="118" t="s">
        <v>250</v>
      </c>
      <c r="G444" s="118" t="s">
        <v>251</v>
      </c>
      <c r="J444" s="126"/>
      <c r="K444" s="126"/>
      <c r="L444" s="194">
        <f t="shared" si="108"/>
        <v>0</v>
      </c>
      <c r="M444" s="126"/>
      <c r="N444" s="194">
        <f t="shared" si="109"/>
        <v>211718.62642587922</v>
      </c>
      <c r="O444" s="194">
        <f t="shared" si="109"/>
        <v>79376.275049902193</v>
      </c>
      <c r="P444" s="194">
        <f t="shared" si="109"/>
        <v>191391.82857502261</v>
      </c>
      <c r="Q444" s="126"/>
      <c r="R444" s="126"/>
      <c r="S444" s="126"/>
      <c r="T444" s="126"/>
      <c r="U444" s="126"/>
      <c r="V444" s="126"/>
      <c r="W444" s="126"/>
      <c r="X444" s="126"/>
      <c r="Y444" s="126"/>
      <c r="AQ444" s="3"/>
    </row>
    <row r="445" spans="3:43" x14ac:dyDescent="0.25">
      <c r="E445" s="75"/>
      <c r="F445" s="118" t="s">
        <v>252</v>
      </c>
      <c r="G445" s="118" t="s">
        <v>251</v>
      </c>
      <c r="J445" s="126"/>
      <c r="K445" s="126"/>
      <c r="L445" s="194">
        <f t="shared" si="108"/>
        <v>0</v>
      </c>
      <c r="M445" s="126"/>
      <c r="N445" s="194">
        <f t="shared" si="109"/>
        <v>5831.5929263985154</v>
      </c>
      <c r="O445" s="194">
        <f t="shared" si="109"/>
        <v>963.44541043053403</v>
      </c>
      <c r="P445" s="194">
        <f t="shared" si="109"/>
        <v>1211.4511779817706</v>
      </c>
      <c r="Q445" s="126"/>
      <c r="R445" s="126"/>
      <c r="S445" s="126"/>
      <c r="T445" s="126"/>
      <c r="U445" s="126"/>
      <c r="V445" s="126"/>
      <c r="W445" s="126"/>
      <c r="X445" s="126"/>
      <c r="Y445" s="126"/>
      <c r="AQ445" s="3"/>
    </row>
    <row r="446" spans="3:43" x14ac:dyDescent="0.25">
      <c r="E446" s="75"/>
      <c r="F446" s="120" t="s">
        <v>253</v>
      </c>
      <c r="G446" s="120" t="s">
        <v>254</v>
      </c>
      <c r="H446" s="96"/>
      <c r="I446" s="96"/>
      <c r="J446" s="121"/>
      <c r="K446" s="121"/>
      <c r="L446" s="173">
        <f t="shared" si="108"/>
        <v>0</v>
      </c>
      <c r="M446" s="121"/>
      <c r="N446" s="173">
        <f t="shared" si="109"/>
        <v>21149.276061276309</v>
      </c>
      <c r="O446" s="173">
        <f t="shared" si="109"/>
        <v>12073.390465192988</v>
      </c>
      <c r="P446" s="173">
        <f t="shared" si="109"/>
        <v>33548.399766935392</v>
      </c>
      <c r="Q446" s="121"/>
      <c r="R446" s="121"/>
      <c r="S446" s="121"/>
      <c r="T446" s="121"/>
      <c r="U446" s="121"/>
      <c r="V446" s="121"/>
      <c r="W446" s="121"/>
      <c r="X446" s="121"/>
      <c r="Y446" s="121"/>
      <c r="AQ446" s="3"/>
    </row>
    <row r="447" spans="3:43" x14ac:dyDescent="0.25">
      <c r="AQ447" s="3"/>
    </row>
    <row r="448" spans="3:43" x14ac:dyDescent="0.25">
      <c r="C448" s="93" t="str">
        <f ca="1">INDEX('Version control'!$H$41:$H$64,MATCH($A$1,'Version control'!$F$41:$F$64,0),1)&amp;"-H: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25">
      <c r="C449" s="75"/>
      <c r="AQ449" s="3"/>
    </row>
    <row r="450" spans="3:43" x14ac:dyDescent="0.25">
      <c r="E450" s="75" t="s">
        <v>917</v>
      </c>
      <c r="G450" s="61"/>
      <c r="I450" t="s">
        <v>154</v>
      </c>
      <c r="AQ450" s="3"/>
    </row>
    <row r="451" spans="3:43" x14ac:dyDescent="0.25">
      <c r="E451" s="75"/>
      <c r="F451" s="116" t="s">
        <v>247</v>
      </c>
      <c r="G451" s="116" t="s">
        <v>207</v>
      </c>
      <c r="H451" s="95"/>
      <c r="I451" s="95"/>
      <c r="J451" s="117"/>
      <c r="K451" s="117"/>
      <c r="L451" s="147">
        <f t="shared" ref="L451:L457" si="110">(1 - L315) * L141</f>
        <v>48.213270618212526</v>
      </c>
      <c r="M451" s="117"/>
      <c r="N451" s="147">
        <f t="shared" ref="N451:P457" si="111">(1 - N315) * N141</f>
        <v>142.82131576770249</v>
      </c>
      <c r="O451" s="147">
        <f t="shared" si="111"/>
        <v>0</v>
      </c>
      <c r="P451" s="147">
        <f t="shared" si="111"/>
        <v>0</v>
      </c>
      <c r="Q451" s="117"/>
      <c r="R451" s="117"/>
      <c r="S451" s="117"/>
      <c r="T451" s="117"/>
      <c r="U451" s="117"/>
      <c r="V451" s="117"/>
      <c r="W451" s="117"/>
      <c r="X451" s="117"/>
      <c r="Y451" s="117"/>
      <c r="AQ451" s="3"/>
    </row>
    <row r="452" spans="3:43" x14ac:dyDescent="0.25">
      <c r="E452" s="75"/>
      <c r="F452" s="118" t="s">
        <v>248</v>
      </c>
      <c r="G452" s="118" t="s">
        <v>207</v>
      </c>
      <c r="J452" s="126"/>
      <c r="K452" s="126"/>
      <c r="L452" s="194">
        <f t="shared" si="110"/>
        <v>405.12565588152955</v>
      </c>
      <c r="M452" s="126"/>
      <c r="N452" s="194">
        <f t="shared" si="111"/>
        <v>960.71351766749035</v>
      </c>
      <c r="O452" s="194">
        <f t="shared" si="111"/>
        <v>0</v>
      </c>
      <c r="P452" s="194">
        <f t="shared" si="111"/>
        <v>0</v>
      </c>
      <c r="Q452" s="126"/>
      <c r="R452" s="126"/>
      <c r="S452" s="126"/>
      <c r="T452" s="126"/>
      <c r="U452" s="126"/>
      <c r="V452" s="126"/>
      <c r="W452" s="126"/>
      <c r="X452" s="126"/>
      <c r="Y452" s="126"/>
      <c r="AQ452" s="3"/>
    </row>
    <row r="453" spans="3:43" x14ac:dyDescent="0.25">
      <c r="E453" s="75"/>
      <c r="F453" s="118" t="s">
        <v>249</v>
      </c>
      <c r="G453" s="118" t="s">
        <v>207</v>
      </c>
      <c r="J453" s="126"/>
      <c r="K453" s="126"/>
      <c r="L453" s="194">
        <f t="shared" si="110"/>
        <v>306.21957148960564</v>
      </c>
      <c r="M453" s="126"/>
      <c r="N453" s="194">
        <f t="shared" si="111"/>
        <v>749.46334728089926</v>
      </c>
      <c r="O453" s="194">
        <f t="shared" si="111"/>
        <v>0</v>
      </c>
      <c r="P453" s="194">
        <f t="shared" si="111"/>
        <v>0</v>
      </c>
      <c r="Q453" s="126"/>
      <c r="R453" s="126"/>
      <c r="S453" s="126"/>
      <c r="T453" s="126"/>
      <c r="U453" s="126"/>
      <c r="V453" s="126"/>
      <c r="W453" s="126"/>
      <c r="X453" s="126"/>
      <c r="Y453" s="126"/>
      <c r="AQ453" s="3"/>
    </row>
    <row r="454" spans="3:43" x14ac:dyDescent="0.25">
      <c r="E454" s="75"/>
      <c r="F454" s="118" t="s">
        <v>212</v>
      </c>
      <c r="G454" s="118" t="s">
        <v>212</v>
      </c>
      <c r="J454" s="126"/>
      <c r="K454" s="126"/>
      <c r="L454" s="194">
        <f t="shared" si="110"/>
        <v>49.326802445448891</v>
      </c>
      <c r="M454" s="126"/>
      <c r="N454" s="194">
        <f t="shared" si="111"/>
        <v>7.0804750162303076</v>
      </c>
      <c r="O454" s="194">
        <f t="shared" si="111"/>
        <v>0</v>
      </c>
      <c r="P454" s="194">
        <f t="shared" si="111"/>
        <v>0</v>
      </c>
      <c r="Q454" s="126"/>
      <c r="R454" s="126"/>
      <c r="S454" s="126"/>
      <c r="T454" s="126"/>
      <c r="U454" s="126"/>
      <c r="V454" s="126"/>
      <c r="W454" s="126"/>
      <c r="X454" s="126"/>
      <c r="Y454" s="126"/>
      <c r="AQ454" s="3"/>
    </row>
    <row r="455" spans="3:43" x14ac:dyDescent="0.25">
      <c r="E455" s="75"/>
      <c r="F455" s="118" t="s">
        <v>250</v>
      </c>
      <c r="G455" s="118" t="s">
        <v>251</v>
      </c>
      <c r="J455" s="126"/>
      <c r="K455" s="126"/>
      <c r="L455" s="194">
        <f t="shared" si="110"/>
        <v>0</v>
      </c>
      <c r="M455" s="126"/>
      <c r="N455" s="194">
        <f t="shared" si="111"/>
        <v>4031.8414266543509</v>
      </c>
      <c r="O455" s="194">
        <f t="shared" si="111"/>
        <v>0</v>
      </c>
      <c r="P455" s="194">
        <f t="shared" si="111"/>
        <v>0</v>
      </c>
      <c r="Q455" s="126"/>
      <c r="R455" s="126"/>
      <c r="S455" s="126"/>
      <c r="T455" s="126"/>
      <c r="U455" s="126"/>
      <c r="V455" s="126"/>
      <c r="W455" s="126"/>
      <c r="X455" s="126"/>
      <c r="Y455" s="126"/>
      <c r="AQ455" s="3"/>
    </row>
    <row r="456" spans="3:43" x14ac:dyDescent="0.25">
      <c r="E456" s="75"/>
      <c r="F456" s="118" t="s">
        <v>252</v>
      </c>
      <c r="G456" s="118" t="s">
        <v>251</v>
      </c>
      <c r="J456" s="126"/>
      <c r="K456" s="126"/>
      <c r="L456" s="194">
        <f t="shared" si="110"/>
        <v>0</v>
      </c>
      <c r="M456" s="126"/>
      <c r="N456" s="194">
        <f t="shared" si="111"/>
        <v>0.26488569505190113</v>
      </c>
      <c r="O456" s="194">
        <f t="shared" si="111"/>
        <v>0</v>
      </c>
      <c r="P456" s="194">
        <f t="shared" si="111"/>
        <v>0</v>
      </c>
      <c r="Q456" s="126"/>
      <c r="R456" s="126"/>
      <c r="S456" s="126"/>
      <c r="T456" s="126"/>
      <c r="U456" s="126"/>
      <c r="V456" s="126"/>
      <c r="W456" s="126"/>
      <c r="X456" s="126"/>
      <c r="Y456" s="126"/>
      <c r="AQ456" s="3"/>
    </row>
    <row r="457" spans="3:43" x14ac:dyDescent="0.25">
      <c r="E457" s="75"/>
      <c r="F457" s="120" t="s">
        <v>253</v>
      </c>
      <c r="G457" s="120" t="s">
        <v>254</v>
      </c>
      <c r="H457" s="96"/>
      <c r="I457" s="96"/>
      <c r="J457" s="121"/>
      <c r="K457" s="121"/>
      <c r="L457" s="173">
        <f t="shared" si="110"/>
        <v>0</v>
      </c>
      <c r="M457" s="121"/>
      <c r="N457" s="173">
        <f t="shared" si="111"/>
        <v>346.39188401401697</v>
      </c>
      <c r="O457" s="173">
        <f t="shared" si="111"/>
        <v>0</v>
      </c>
      <c r="P457" s="173">
        <f t="shared" si="111"/>
        <v>0</v>
      </c>
      <c r="Q457" s="121"/>
      <c r="R457" s="121"/>
      <c r="S457" s="121"/>
      <c r="T457" s="121"/>
      <c r="U457" s="121"/>
      <c r="V457" s="121"/>
      <c r="W457" s="121"/>
      <c r="X457" s="121"/>
      <c r="Y457" s="121"/>
      <c r="AQ457" s="3"/>
    </row>
    <row r="458" spans="3:43" x14ac:dyDescent="0.25">
      <c r="AQ458" s="3"/>
    </row>
    <row r="459" spans="3:43" x14ac:dyDescent="0.25">
      <c r="E459" s="75" t="s">
        <v>918</v>
      </c>
      <c r="G459" s="61"/>
      <c r="I459" t="s">
        <v>154</v>
      </c>
      <c r="AQ459" s="3"/>
    </row>
    <row r="460" spans="3:43" x14ac:dyDescent="0.25">
      <c r="E460" s="75"/>
      <c r="F460" s="116" t="s">
        <v>247</v>
      </c>
      <c r="G460" s="116" t="s">
        <v>207</v>
      </c>
      <c r="H460" s="95"/>
      <c r="I460" s="95"/>
      <c r="J460" s="117"/>
      <c r="K460" s="117"/>
      <c r="L460" s="147">
        <f t="shared" ref="L460:L466" si="112">(1 - L324) * L188</f>
        <v>149.63222720473985</v>
      </c>
      <c r="M460" s="117"/>
      <c r="N460" s="147">
        <f t="shared" ref="N460:P466" si="113">(1 - N324) * N188</f>
        <v>1433.7837779857698</v>
      </c>
      <c r="O460" s="147">
        <f t="shared" si="113"/>
        <v>881.19158438831357</v>
      </c>
      <c r="P460" s="147">
        <f t="shared" si="113"/>
        <v>158.11033017189067</v>
      </c>
      <c r="Q460" s="117"/>
      <c r="R460" s="117"/>
      <c r="S460" s="117"/>
      <c r="T460" s="117"/>
      <c r="U460" s="117"/>
      <c r="V460" s="117"/>
      <c r="W460" s="117"/>
      <c r="X460" s="117"/>
      <c r="Y460" s="117"/>
      <c r="AQ460" s="3"/>
    </row>
    <row r="461" spans="3:43" x14ac:dyDescent="0.25">
      <c r="E461" s="75"/>
      <c r="F461" s="118" t="s">
        <v>248</v>
      </c>
      <c r="G461" s="118" t="s">
        <v>207</v>
      </c>
      <c r="J461" s="126"/>
      <c r="K461" s="126"/>
      <c r="L461" s="194">
        <f t="shared" si="112"/>
        <v>1182.4415254726287</v>
      </c>
      <c r="M461" s="126"/>
      <c r="N461" s="194">
        <f t="shared" si="113"/>
        <v>9492.7248855240923</v>
      </c>
      <c r="O461" s="194">
        <f t="shared" si="113"/>
        <v>5673.15015161056</v>
      </c>
      <c r="P461" s="194">
        <f t="shared" si="113"/>
        <v>1047.3508645677925</v>
      </c>
      <c r="Q461" s="126"/>
      <c r="R461" s="126"/>
      <c r="S461" s="126"/>
      <c r="T461" s="126"/>
      <c r="U461" s="126"/>
      <c r="V461" s="126"/>
      <c r="W461" s="126"/>
      <c r="X461" s="126"/>
      <c r="Y461" s="126"/>
      <c r="AQ461" s="3"/>
    </row>
    <row r="462" spans="3:43" x14ac:dyDescent="0.25">
      <c r="E462" s="75"/>
      <c r="F462" s="118" t="s">
        <v>249</v>
      </c>
      <c r="G462" s="118" t="s">
        <v>207</v>
      </c>
      <c r="J462" s="126"/>
      <c r="K462" s="126"/>
      <c r="L462" s="194">
        <f t="shared" si="112"/>
        <v>928.99076195415046</v>
      </c>
      <c r="M462" s="126"/>
      <c r="N462" s="194">
        <f t="shared" si="113"/>
        <v>9055.3206388212111</v>
      </c>
      <c r="O462" s="194">
        <f t="shared" si="113"/>
        <v>4460.0780049177329</v>
      </c>
      <c r="P462" s="194">
        <f t="shared" si="113"/>
        <v>1189.6499157218871</v>
      </c>
      <c r="Q462" s="126"/>
      <c r="R462" s="126"/>
      <c r="S462" s="126"/>
      <c r="T462" s="126"/>
      <c r="U462" s="126"/>
      <c r="V462" s="126"/>
      <c r="W462" s="126"/>
      <c r="X462" s="126"/>
      <c r="Y462" s="126"/>
      <c r="AQ462" s="3"/>
    </row>
    <row r="463" spans="3:43" x14ac:dyDescent="0.25">
      <c r="E463" s="75"/>
      <c r="F463" s="118" t="s">
        <v>212</v>
      </c>
      <c r="G463" s="118" t="s">
        <v>212</v>
      </c>
      <c r="J463" s="126"/>
      <c r="K463" s="126"/>
      <c r="L463" s="194">
        <f t="shared" si="112"/>
        <v>50.378699311372074</v>
      </c>
      <c r="M463" s="126"/>
      <c r="N463" s="194">
        <f t="shared" si="113"/>
        <v>42.758723631830684</v>
      </c>
      <c r="O463" s="194">
        <f t="shared" si="113"/>
        <v>19.47504004794833</v>
      </c>
      <c r="P463" s="194">
        <f t="shared" si="113"/>
        <v>1.9792377609152674</v>
      </c>
      <c r="Q463" s="126"/>
      <c r="R463" s="126"/>
      <c r="S463" s="126"/>
      <c r="T463" s="126"/>
      <c r="U463" s="126"/>
      <c r="V463" s="126"/>
      <c r="W463" s="126"/>
      <c r="X463" s="126"/>
      <c r="Y463" s="126"/>
      <c r="AQ463" s="3"/>
    </row>
    <row r="464" spans="3:43" x14ac:dyDescent="0.25">
      <c r="E464" s="75"/>
      <c r="F464" s="118" t="s">
        <v>250</v>
      </c>
      <c r="G464" s="118" t="s">
        <v>251</v>
      </c>
      <c r="J464" s="126"/>
      <c r="K464" s="126"/>
      <c r="L464" s="194">
        <f t="shared" si="112"/>
        <v>0</v>
      </c>
      <c r="M464" s="126"/>
      <c r="N464" s="194">
        <f t="shared" si="113"/>
        <v>23430.928872724628</v>
      </c>
      <c r="O464" s="194">
        <f t="shared" si="113"/>
        <v>14407.227646893098</v>
      </c>
      <c r="P464" s="194">
        <f t="shared" si="113"/>
        <v>7536.7172286384721</v>
      </c>
      <c r="Q464" s="126"/>
      <c r="R464" s="126"/>
      <c r="S464" s="126"/>
      <c r="T464" s="126"/>
      <c r="U464" s="126"/>
      <c r="V464" s="126"/>
      <c r="W464" s="126"/>
      <c r="X464" s="126"/>
      <c r="Y464" s="126"/>
      <c r="AQ464" s="3"/>
    </row>
    <row r="465" spans="3:43" x14ac:dyDescent="0.25">
      <c r="E465" s="75"/>
      <c r="F465" s="118" t="s">
        <v>252</v>
      </c>
      <c r="G465" s="118" t="s">
        <v>251</v>
      </c>
      <c r="J465" s="126"/>
      <c r="K465" s="126"/>
      <c r="L465" s="194">
        <f t="shared" si="112"/>
        <v>0</v>
      </c>
      <c r="M465" s="126"/>
      <c r="N465" s="194">
        <f t="shared" si="113"/>
        <v>46.504208646567008</v>
      </c>
      <c r="O465" s="194">
        <f t="shared" si="113"/>
        <v>0</v>
      </c>
      <c r="P465" s="194">
        <f t="shared" si="113"/>
        <v>0</v>
      </c>
      <c r="Q465" s="126"/>
      <c r="R465" s="126"/>
      <c r="S465" s="126"/>
      <c r="T465" s="126"/>
      <c r="U465" s="126"/>
      <c r="V465" s="126"/>
      <c r="W465" s="126"/>
      <c r="X465" s="126"/>
      <c r="Y465" s="126"/>
      <c r="AQ465" s="3"/>
    </row>
    <row r="466" spans="3:43" x14ac:dyDescent="0.25">
      <c r="E466" s="75"/>
      <c r="F466" s="120" t="s">
        <v>253</v>
      </c>
      <c r="G466" s="120" t="s">
        <v>254</v>
      </c>
      <c r="H466" s="96"/>
      <c r="I466" s="96"/>
      <c r="J466" s="121"/>
      <c r="K466" s="121"/>
      <c r="L466" s="173">
        <f t="shared" si="112"/>
        <v>0</v>
      </c>
      <c r="M466" s="121"/>
      <c r="N466" s="173">
        <f t="shared" si="113"/>
        <v>1778.4020082672762</v>
      </c>
      <c r="O466" s="173">
        <f t="shared" si="113"/>
        <v>475.13716770579822</v>
      </c>
      <c r="P466" s="173">
        <f t="shared" si="113"/>
        <v>1.8175144462591308</v>
      </c>
      <c r="Q466" s="121"/>
      <c r="R466" s="121"/>
      <c r="S466" s="121"/>
      <c r="T466" s="121"/>
      <c r="U466" s="121"/>
      <c r="V466" s="121"/>
      <c r="W466" s="121"/>
      <c r="X466" s="121"/>
      <c r="Y466" s="121"/>
      <c r="AQ466" s="3"/>
    </row>
    <row r="467" spans="3:43" x14ac:dyDescent="0.25">
      <c r="AQ467" s="3"/>
    </row>
    <row r="468" spans="3:43" x14ac:dyDescent="0.25">
      <c r="E468" s="75" t="s">
        <v>919</v>
      </c>
      <c r="G468" s="61"/>
      <c r="I468" t="s">
        <v>154</v>
      </c>
      <c r="AQ468" s="3"/>
    </row>
    <row r="469" spans="3:43" x14ac:dyDescent="0.25">
      <c r="E469" s="75"/>
      <c r="F469" s="116" t="s">
        <v>247</v>
      </c>
      <c r="G469" s="116" t="s">
        <v>207</v>
      </c>
      <c r="H469" s="95"/>
      <c r="I469" s="95"/>
      <c r="J469" s="117"/>
      <c r="K469" s="117"/>
      <c r="L469" s="147">
        <f t="shared" ref="L469:L475" si="114">L94+L451+L460</f>
        <v>54014.630147491407</v>
      </c>
      <c r="M469" s="117"/>
      <c r="N469" s="147">
        <f t="shared" ref="N469:P475" si="115">N94+N451+N460</f>
        <v>16115.246771745062</v>
      </c>
      <c r="O469" s="147">
        <f t="shared" si="115"/>
        <v>25364.166114933356</v>
      </c>
      <c r="P469" s="147">
        <f t="shared" si="115"/>
        <v>50373.572646570108</v>
      </c>
      <c r="Q469" s="117"/>
      <c r="R469" s="117"/>
      <c r="S469" s="117"/>
      <c r="T469" s="117"/>
      <c r="U469" s="117"/>
      <c r="V469" s="117"/>
      <c r="W469" s="117"/>
      <c r="X469" s="117"/>
      <c r="Y469" s="117"/>
      <c r="AQ469" s="3"/>
    </row>
    <row r="470" spans="3:43" x14ac:dyDescent="0.25">
      <c r="E470" s="75"/>
      <c r="F470" s="118" t="s">
        <v>248</v>
      </c>
      <c r="G470" s="118" t="s">
        <v>207</v>
      </c>
      <c r="J470" s="126"/>
      <c r="K470" s="126"/>
      <c r="L470" s="194">
        <f t="shared" si="114"/>
        <v>453974.79844795167</v>
      </c>
      <c r="M470" s="126"/>
      <c r="N470" s="194">
        <f t="shared" si="115"/>
        <v>115502.13112178219</v>
      </c>
      <c r="O470" s="194">
        <f t="shared" si="115"/>
        <v>182539.12914853741</v>
      </c>
      <c r="P470" s="194">
        <f t="shared" si="115"/>
        <v>353333.96220762207</v>
      </c>
      <c r="Q470" s="126"/>
      <c r="R470" s="126"/>
      <c r="S470" s="126"/>
      <c r="T470" s="126"/>
      <c r="U470" s="126"/>
      <c r="V470" s="126"/>
      <c r="W470" s="126"/>
      <c r="X470" s="126"/>
      <c r="Y470" s="126"/>
      <c r="AQ470" s="3"/>
    </row>
    <row r="471" spans="3:43" x14ac:dyDescent="0.25">
      <c r="E471" s="75"/>
      <c r="F471" s="118" t="s">
        <v>249</v>
      </c>
      <c r="G471" s="118" t="s">
        <v>207</v>
      </c>
      <c r="J471" s="126"/>
      <c r="K471" s="126"/>
      <c r="L471" s="194">
        <f t="shared" si="114"/>
        <v>375463.63248016487</v>
      </c>
      <c r="M471" s="126"/>
      <c r="N471" s="194">
        <f t="shared" si="115"/>
        <v>103489.181199937</v>
      </c>
      <c r="O471" s="194">
        <f t="shared" si="115"/>
        <v>180838.22997924636</v>
      </c>
      <c r="P471" s="194">
        <f t="shared" si="115"/>
        <v>402764.35326147842</v>
      </c>
      <c r="Q471" s="126"/>
      <c r="R471" s="126"/>
      <c r="S471" s="126"/>
      <c r="T471" s="126"/>
      <c r="U471" s="126"/>
      <c r="V471" s="126"/>
      <c r="W471" s="126"/>
      <c r="X471" s="126"/>
      <c r="Y471" s="126"/>
      <c r="AQ471" s="3"/>
    </row>
    <row r="472" spans="3:43" x14ac:dyDescent="0.25">
      <c r="E472" s="75"/>
      <c r="F472" s="118" t="s">
        <v>212</v>
      </c>
      <c r="G472" s="118" t="s">
        <v>212</v>
      </c>
      <c r="J472" s="126"/>
      <c r="K472" s="126"/>
      <c r="L472" s="194">
        <f t="shared" si="114"/>
        <v>18693.597531166422</v>
      </c>
      <c r="M472" s="126"/>
      <c r="N472" s="194">
        <f t="shared" si="115"/>
        <v>511.35101046031366</v>
      </c>
      <c r="O472" s="194">
        <f t="shared" si="115"/>
        <v>534.13676924915308</v>
      </c>
      <c r="P472" s="194">
        <f t="shared" si="115"/>
        <v>116.69516122406107</v>
      </c>
      <c r="Q472" s="126"/>
      <c r="R472" s="126"/>
      <c r="S472" s="126"/>
      <c r="T472" s="126"/>
      <c r="U472" s="126"/>
      <c r="V472" s="126"/>
      <c r="W472" s="126"/>
      <c r="X472" s="126"/>
      <c r="Y472" s="126"/>
      <c r="AQ472" s="3"/>
    </row>
    <row r="473" spans="3:43" x14ac:dyDescent="0.25">
      <c r="E473" s="75"/>
      <c r="F473" s="118" t="s">
        <v>250</v>
      </c>
      <c r="G473" s="118" t="s">
        <v>251</v>
      </c>
      <c r="J473" s="126"/>
      <c r="K473" s="126"/>
      <c r="L473" s="194">
        <f t="shared" si="114"/>
        <v>0</v>
      </c>
      <c r="M473" s="126"/>
      <c r="N473" s="194">
        <f t="shared" si="115"/>
        <v>200334.84596409879</v>
      </c>
      <c r="O473" s="194">
        <f t="shared" si="115"/>
        <v>239604.6323146444</v>
      </c>
      <c r="P473" s="194">
        <f t="shared" si="115"/>
        <v>420089.03229065659</v>
      </c>
      <c r="Q473" s="126"/>
      <c r="R473" s="126"/>
      <c r="S473" s="126"/>
      <c r="T473" s="126"/>
      <c r="U473" s="126"/>
      <c r="V473" s="126"/>
      <c r="W473" s="126"/>
      <c r="X473" s="126"/>
      <c r="Y473" s="126"/>
      <c r="AQ473" s="3"/>
    </row>
    <row r="474" spans="3:43" x14ac:dyDescent="0.25">
      <c r="E474" s="75"/>
      <c r="F474" s="118" t="s">
        <v>252</v>
      </c>
      <c r="G474" s="118" t="s">
        <v>251</v>
      </c>
      <c r="J474" s="126"/>
      <c r="K474" s="126"/>
      <c r="L474" s="194">
        <f t="shared" si="114"/>
        <v>0</v>
      </c>
      <c r="M474" s="126"/>
      <c r="N474" s="194">
        <f t="shared" si="115"/>
        <v>5021.4716450940259</v>
      </c>
      <c r="O474" s="194">
        <f t="shared" si="115"/>
        <v>2739.6362507647245</v>
      </c>
      <c r="P474" s="194">
        <f t="shared" si="115"/>
        <v>2688.2063760190863</v>
      </c>
      <c r="Q474" s="126"/>
      <c r="R474" s="126"/>
      <c r="S474" s="126"/>
      <c r="T474" s="126"/>
      <c r="U474" s="126"/>
      <c r="V474" s="126"/>
      <c r="W474" s="126"/>
      <c r="X474" s="126"/>
      <c r="Y474" s="126"/>
      <c r="AQ474" s="3"/>
    </row>
    <row r="475" spans="3:43" x14ac:dyDescent="0.25">
      <c r="E475" s="75"/>
      <c r="F475" s="120" t="s">
        <v>253</v>
      </c>
      <c r="G475" s="120" t="s">
        <v>254</v>
      </c>
      <c r="H475" s="96"/>
      <c r="I475" s="96"/>
      <c r="J475" s="121"/>
      <c r="K475" s="121"/>
      <c r="L475" s="173">
        <f t="shared" si="114"/>
        <v>0</v>
      </c>
      <c r="M475" s="121"/>
      <c r="N475" s="173">
        <f t="shared" si="115"/>
        <v>19181.828557620902</v>
      </c>
      <c r="O475" s="173">
        <f t="shared" si="115"/>
        <v>35037.56638266088</v>
      </c>
      <c r="P475" s="173">
        <f t="shared" si="115"/>
        <v>58449.505167970448</v>
      </c>
      <c r="Q475" s="121"/>
      <c r="R475" s="121"/>
      <c r="S475" s="121"/>
      <c r="T475" s="121"/>
      <c r="U475" s="121"/>
      <c r="V475" s="121"/>
      <c r="W475" s="121"/>
      <c r="X475" s="121"/>
      <c r="Y475" s="121"/>
      <c r="AQ475" s="3"/>
    </row>
    <row r="476" spans="3:43" x14ac:dyDescent="0.25">
      <c r="AQ476" s="3"/>
    </row>
    <row r="477" spans="3:43" x14ac:dyDescent="0.25">
      <c r="C477" s="93" t="str">
        <f ca="1">INDEX('Version control'!$H$41:$H$64,MATCH($A$1,'Version control'!$F$41:$F$64,0),1)&amp;"-I: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25">
      <c r="C478" s="75"/>
      <c r="AQ478" s="3"/>
    </row>
    <row r="479" spans="3:43" x14ac:dyDescent="0.25">
      <c r="D479" s="75" t="s">
        <v>959</v>
      </c>
      <c r="AQ479" s="3"/>
    </row>
    <row r="480" spans="3:43" x14ac:dyDescent="0.25">
      <c r="E480" s="116" t="s">
        <v>247</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25">
      <c r="E481" s="129"/>
      <c r="F481" s="2" t="s">
        <v>926</v>
      </c>
      <c r="G481" t="s">
        <v>207</v>
      </c>
      <c r="J481" s="150">
        <f t="shared" ref="J481:Y481" si="116">J353</f>
        <v>0</v>
      </c>
      <c r="K481" s="150">
        <f t="shared" si="116"/>
        <v>42.949716657044405</v>
      </c>
      <c r="L481" s="150">
        <f t="shared" si="116"/>
        <v>112.4982177210259</v>
      </c>
      <c r="M481" s="150">
        <f t="shared" si="116"/>
        <v>25.765928672816155</v>
      </c>
      <c r="N481" s="150">
        <f t="shared" si="116"/>
        <v>128.99204830251969</v>
      </c>
      <c r="O481" s="150">
        <f t="shared" si="116"/>
        <v>32.524509406872198</v>
      </c>
      <c r="P481" s="150">
        <f t="shared" si="116"/>
        <v>442.05271467460517</v>
      </c>
      <c r="Q481" s="150">
        <f t="shared" si="116"/>
        <v>0</v>
      </c>
      <c r="R481" s="150">
        <f t="shared" si="116"/>
        <v>8806.6823305226171</v>
      </c>
      <c r="S481" s="150">
        <f t="shared" si="116"/>
        <v>1036.7343209799037</v>
      </c>
      <c r="T481" s="150">
        <f t="shared" si="116"/>
        <v>4624.7476230209113</v>
      </c>
      <c r="U481" s="150">
        <f t="shared" si="116"/>
        <v>0</v>
      </c>
      <c r="V481" s="150">
        <f t="shared" si="116"/>
        <v>0</v>
      </c>
      <c r="W481" s="150">
        <f t="shared" si="116"/>
        <v>0</v>
      </c>
      <c r="X481" s="150">
        <f t="shared" si="116"/>
        <v>53814.546731455142</v>
      </c>
      <c r="Y481" s="150">
        <f t="shared" si="116"/>
        <v>0</v>
      </c>
      <c r="AQ481" s="3"/>
    </row>
    <row r="482" spans="5:43" x14ac:dyDescent="0.25">
      <c r="E482" s="129"/>
      <c r="F482" s="2" t="s">
        <v>927</v>
      </c>
      <c r="G482" t="s">
        <v>207</v>
      </c>
      <c r="J482" s="148">
        <f t="shared" ref="J482:Y482" si="117">J382</f>
        <v>422507.98433825071</v>
      </c>
      <c r="K482" s="148">
        <f t="shared" si="117"/>
        <v>0</v>
      </c>
      <c r="L482" s="148">
        <f t="shared" si="117"/>
        <v>8941.6044838200287</v>
      </c>
      <c r="M482" s="148">
        <f t="shared" si="117"/>
        <v>0</v>
      </c>
      <c r="N482" s="148">
        <f t="shared" si="117"/>
        <v>28627.047770951878</v>
      </c>
      <c r="O482" s="148">
        <f t="shared" si="117"/>
        <v>3068.499121163622</v>
      </c>
      <c r="P482" s="148">
        <f t="shared" si="117"/>
        <v>16832.080446901444</v>
      </c>
      <c r="Q482" s="148">
        <f t="shared" si="117"/>
        <v>3122.9507279534723</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25">
      <c r="E483" s="129"/>
      <c r="F483" s="2" t="s">
        <v>928</v>
      </c>
      <c r="G483" t="s">
        <v>207</v>
      </c>
      <c r="J483" s="148">
        <f t="shared" ref="J483:Y483" si="118">J411</f>
        <v>0</v>
      </c>
      <c r="K483" s="148">
        <f t="shared" si="118"/>
        <v>0</v>
      </c>
      <c r="L483" s="148">
        <f t="shared" si="118"/>
        <v>26161.399091069157</v>
      </c>
      <c r="M483" s="148">
        <f t="shared" si="118"/>
        <v>0</v>
      </c>
      <c r="N483" s="148">
        <f t="shared" si="118"/>
        <v>25174.083648177559</v>
      </c>
      <c r="O483" s="148">
        <f t="shared" si="118"/>
        <v>5627.0965711183899</v>
      </c>
      <c r="P483" s="148">
        <f t="shared" si="118"/>
        <v>31227.558350844178</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25">
      <c r="E484" s="129"/>
      <c r="F484" s="2" t="s">
        <v>930</v>
      </c>
      <c r="G484" t="s">
        <v>207</v>
      </c>
      <c r="J484" s="149">
        <f t="shared" ref="J484:Y484" si="119">J440</f>
        <v>0</v>
      </c>
      <c r="K484" s="149">
        <f t="shared" si="119"/>
        <v>0</v>
      </c>
      <c r="L484" s="149">
        <f t="shared" si="119"/>
        <v>21408.510715010591</v>
      </c>
      <c r="M484" s="149">
        <f t="shared" si="119"/>
        <v>0</v>
      </c>
      <c r="N484" s="149">
        <f t="shared" si="119"/>
        <v>18213.251081811981</v>
      </c>
      <c r="O484" s="149">
        <f t="shared" si="119"/>
        <v>8589.8405051865466</v>
      </c>
      <c r="P484" s="149">
        <f t="shared" si="119"/>
        <v>29004.005111588471</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25">
      <c r="E485" s="129"/>
      <c r="F485" s="2" t="s">
        <v>929</v>
      </c>
      <c r="G485" t="s">
        <v>207</v>
      </c>
      <c r="J485" s="149">
        <f t="shared" ref="J485:Y485" si="120">J469</f>
        <v>0</v>
      </c>
      <c r="K485" s="149">
        <f t="shared" si="120"/>
        <v>0</v>
      </c>
      <c r="L485" s="149">
        <f t="shared" si="120"/>
        <v>54014.630147491407</v>
      </c>
      <c r="M485" s="149">
        <f t="shared" si="120"/>
        <v>0</v>
      </c>
      <c r="N485" s="149">
        <f t="shared" si="120"/>
        <v>16115.246771745062</v>
      </c>
      <c r="O485" s="149">
        <f t="shared" si="120"/>
        <v>25364.166114933356</v>
      </c>
      <c r="P485" s="149">
        <f t="shared" si="120"/>
        <v>50373.572646570108</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25">
      <c r="E486" s="118" t="s">
        <v>248</v>
      </c>
      <c r="F486" s="2"/>
      <c r="J486" s="201"/>
      <c r="K486" s="201"/>
      <c r="L486" s="201"/>
      <c r="M486" s="201"/>
      <c r="N486" s="201"/>
      <c r="O486" s="201"/>
      <c r="P486" s="201"/>
      <c r="Q486" s="201"/>
      <c r="R486" s="201"/>
      <c r="S486" s="201"/>
      <c r="T486" s="201"/>
      <c r="U486" s="201"/>
      <c r="V486" s="201"/>
      <c r="W486" s="201"/>
      <c r="X486" s="201"/>
      <c r="Y486" s="201"/>
      <c r="AQ486" s="3"/>
    </row>
    <row r="487" spans="5:43" x14ac:dyDescent="0.25">
      <c r="E487" s="129"/>
      <c r="F487" s="2" t="s">
        <v>926</v>
      </c>
      <c r="G487" t="s">
        <v>207</v>
      </c>
      <c r="J487" s="150">
        <f t="shared" ref="J487:Y487" si="121">J354</f>
        <v>0</v>
      </c>
      <c r="K487" s="150">
        <f t="shared" si="121"/>
        <v>3119.337000290659</v>
      </c>
      <c r="L487" s="150">
        <f t="shared" si="121"/>
        <v>946.30373975016607</v>
      </c>
      <c r="M487" s="150">
        <f t="shared" si="121"/>
        <v>1609.0521821484306</v>
      </c>
      <c r="N487" s="150">
        <f t="shared" si="121"/>
        <v>892.54695104115808</v>
      </c>
      <c r="O487" s="150">
        <f t="shared" si="121"/>
        <v>340.94829159017985</v>
      </c>
      <c r="P487" s="150">
        <f t="shared" si="121"/>
        <v>5891.1463199191348</v>
      </c>
      <c r="Q487" s="150">
        <f t="shared" si="121"/>
        <v>0</v>
      </c>
      <c r="R487" s="150">
        <f t="shared" si="121"/>
        <v>80667.23392856303</v>
      </c>
      <c r="S487" s="150">
        <f t="shared" si="121"/>
        <v>8528.2795750860623</v>
      </c>
      <c r="T487" s="150">
        <f t="shared" si="121"/>
        <v>38124.074375305863</v>
      </c>
      <c r="U487" s="150">
        <f t="shared" si="121"/>
        <v>0</v>
      </c>
      <c r="V487" s="150">
        <f t="shared" si="121"/>
        <v>0</v>
      </c>
      <c r="W487" s="150">
        <f t="shared" si="121"/>
        <v>0</v>
      </c>
      <c r="X487" s="150">
        <f t="shared" si="121"/>
        <v>302507.33246507391</v>
      </c>
      <c r="Y487" s="150">
        <f t="shared" si="121"/>
        <v>0</v>
      </c>
      <c r="AQ487" s="3"/>
    </row>
    <row r="488" spans="5:43" x14ac:dyDescent="0.25">
      <c r="E488" s="129"/>
      <c r="F488" s="2" t="s">
        <v>927</v>
      </c>
      <c r="G488" t="s">
        <v>207</v>
      </c>
      <c r="J488" s="148">
        <f t="shared" ref="J488:Y488" si="122">J383</f>
        <v>2266046.5649797935</v>
      </c>
      <c r="K488" s="148">
        <f t="shared" si="122"/>
        <v>0</v>
      </c>
      <c r="L488" s="148">
        <f t="shared" si="122"/>
        <v>75144.766792114504</v>
      </c>
      <c r="M488" s="148">
        <f t="shared" si="122"/>
        <v>0</v>
      </c>
      <c r="N488" s="148">
        <f t="shared" si="122"/>
        <v>206625.02477396483</v>
      </c>
      <c r="O488" s="148">
        <f t="shared" si="122"/>
        <v>22166.959347146436</v>
      </c>
      <c r="P488" s="148">
        <f t="shared" si="122"/>
        <v>118085.4722621204</v>
      </c>
      <c r="Q488" s="148">
        <f t="shared" si="122"/>
        <v>32473.298761415626</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25">
      <c r="E489" s="129"/>
      <c r="F489" s="2" t="s">
        <v>928</v>
      </c>
      <c r="G489" t="s">
        <v>207</v>
      </c>
      <c r="J489" s="148">
        <f t="shared" ref="J489:Y489" si="123">J412</f>
        <v>0</v>
      </c>
      <c r="K489" s="148">
        <f t="shared" si="123"/>
        <v>0</v>
      </c>
      <c r="L489" s="148">
        <f t="shared" si="123"/>
        <v>219911.58363692198</v>
      </c>
      <c r="M489" s="148">
        <f t="shared" si="123"/>
        <v>0</v>
      </c>
      <c r="N489" s="148">
        <f t="shared" si="123"/>
        <v>181733.37449717341</v>
      </c>
      <c r="O489" s="148">
        <f t="shared" si="123"/>
        <v>40650.151205127426</v>
      </c>
      <c r="P489" s="148">
        <f t="shared" si="123"/>
        <v>219244.30617388422</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25">
      <c r="E490" s="129"/>
      <c r="F490" s="2" t="s">
        <v>930</v>
      </c>
      <c r="G490" t="s">
        <v>207</v>
      </c>
      <c r="J490" s="149">
        <f t="shared" ref="J490:Y490" si="124">J441</f>
        <v>0</v>
      </c>
      <c r="K490" s="149">
        <f t="shared" si="124"/>
        <v>0</v>
      </c>
      <c r="L490" s="149">
        <f t="shared" si="124"/>
        <v>179937.62704472381</v>
      </c>
      <c r="M490" s="149">
        <f t="shared" si="124"/>
        <v>0</v>
      </c>
      <c r="N490" s="149">
        <f t="shared" si="124"/>
        <v>131268.26018549144</v>
      </c>
      <c r="O490" s="149">
        <f t="shared" si="124"/>
        <v>61988.189326261308</v>
      </c>
      <c r="P490" s="149">
        <f t="shared" si="124"/>
        <v>203221.98124806175</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25">
      <c r="E491" s="129"/>
      <c r="F491" s="2" t="s">
        <v>929</v>
      </c>
      <c r="G491" t="s">
        <v>207</v>
      </c>
      <c r="J491" s="149">
        <f t="shared" ref="J491:Y491" si="125">J470</f>
        <v>0</v>
      </c>
      <c r="K491" s="149">
        <f t="shared" si="125"/>
        <v>0</v>
      </c>
      <c r="L491" s="149">
        <f t="shared" si="125"/>
        <v>453974.79844795167</v>
      </c>
      <c r="M491" s="149">
        <f t="shared" si="125"/>
        <v>0</v>
      </c>
      <c r="N491" s="149">
        <f t="shared" si="125"/>
        <v>115502.13112178219</v>
      </c>
      <c r="O491" s="149">
        <f t="shared" si="125"/>
        <v>182539.12914853741</v>
      </c>
      <c r="P491" s="149">
        <f t="shared" si="125"/>
        <v>353333.96220762207</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25">
      <c r="E492" s="118" t="s">
        <v>249</v>
      </c>
      <c r="F492" s="2"/>
      <c r="J492" s="201"/>
      <c r="K492" s="201"/>
      <c r="L492" s="201"/>
      <c r="M492" s="201"/>
      <c r="N492" s="201"/>
      <c r="O492" s="201"/>
      <c r="P492" s="201"/>
      <c r="Q492" s="201"/>
      <c r="R492" s="201"/>
      <c r="S492" s="201"/>
      <c r="T492" s="201"/>
      <c r="U492" s="201"/>
      <c r="V492" s="201"/>
      <c r="W492" s="201"/>
      <c r="X492" s="201"/>
      <c r="Y492" s="201"/>
      <c r="AQ492" s="3"/>
    </row>
    <row r="493" spans="5:43" x14ac:dyDescent="0.25">
      <c r="E493" s="129"/>
      <c r="F493" s="2" t="s">
        <v>926</v>
      </c>
      <c r="G493" t="s">
        <v>207</v>
      </c>
      <c r="J493" s="150">
        <f t="shared" ref="J493:Y493" si="126">J355</f>
        <v>0</v>
      </c>
      <c r="K493" s="150">
        <f t="shared" si="126"/>
        <v>24081.62170271924</v>
      </c>
      <c r="L493" s="150">
        <f t="shared" si="126"/>
        <v>842.34409292353155</v>
      </c>
      <c r="M493" s="150">
        <f t="shared" si="126"/>
        <v>11325.873677164167</v>
      </c>
      <c r="N493" s="150">
        <f t="shared" si="126"/>
        <v>960.42671217400857</v>
      </c>
      <c r="O493" s="150">
        <f t="shared" si="126"/>
        <v>235.83839931765723</v>
      </c>
      <c r="P493" s="150">
        <f t="shared" si="126"/>
        <v>7972.5156271940859</v>
      </c>
      <c r="Q493" s="150">
        <f t="shared" si="126"/>
        <v>0</v>
      </c>
      <c r="R493" s="150">
        <f t="shared" si="126"/>
        <v>35020.601850964522</v>
      </c>
      <c r="S493" s="150">
        <f t="shared" si="126"/>
        <v>8832.4293538785987</v>
      </c>
      <c r="T493" s="150">
        <f t="shared" si="126"/>
        <v>44888.264832121997</v>
      </c>
      <c r="U493" s="150">
        <f t="shared" si="126"/>
        <v>0</v>
      </c>
      <c r="V493" s="150">
        <f t="shared" si="126"/>
        <v>0</v>
      </c>
      <c r="W493" s="150">
        <f t="shared" si="126"/>
        <v>0</v>
      </c>
      <c r="X493" s="150">
        <f t="shared" si="126"/>
        <v>259913.71528039253</v>
      </c>
      <c r="Y493" s="150">
        <f t="shared" si="126"/>
        <v>0</v>
      </c>
      <c r="AQ493" s="3"/>
    </row>
    <row r="494" spans="5:43" x14ac:dyDescent="0.25">
      <c r="E494" s="129"/>
      <c r="F494" s="2" t="s">
        <v>927</v>
      </c>
      <c r="G494" t="s">
        <v>207</v>
      </c>
      <c r="J494" s="148">
        <f t="shared" ref="J494:Y494" si="127">J384</f>
        <v>2587588.3037086395</v>
      </c>
      <c r="K494" s="148">
        <f t="shared" si="127"/>
        <v>0</v>
      </c>
      <c r="L494" s="148">
        <f t="shared" si="127"/>
        <v>62116.447729261352</v>
      </c>
      <c r="M494" s="148">
        <f t="shared" si="127"/>
        <v>0</v>
      </c>
      <c r="N494" s="148">
        <f t="shared" si="127"/>
        <v>184189.06103280824</v>
      </c>
      <c r="O494" s="148">
        <f t="shared" si="127"/>
        <v>22105.819031526087</v>
      </c>
      <c r="P494" s="148">
        <f t="shared" si="127"/>
        <v>134606.7008119339</v>
      </c>
      <c r="Q494" s="148">
        <f t="shared" si="127"/>
        <v>72099.552886005127</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25">
      <c r="E495" s="129"/>
      <c r="F495" s="2" t="s">
        <v>928</v>
      </c>
      <c r="G495" t="s">
        <v>207</v>
      </c>
      <c r="J495" s="148">
        <f t="shared" ref="J495:Y495" si="128">J413</f>
        <v>0</v>
      </c>
      <c r="K495" s="148">
        <f t="shared" si="128"/>
        <v>0</v>
      </c>
      <c r="L495" s="148">
        <f t="shared" si="128"/>
        <v>181865.07607300076</v>
      </c>
      <c r="M495" s="148">
        <f t="shared" si="128"/>
        <v>0</v>
      </c>
      <c r="N495" s="148">
        <f t="shared" si="128"/>
        <v>161803.19365598555</v>
      </c>
      <c r="O495" s="148">
        <f t="shared" si="128"/>
        <v>40538.706813857127</v>
      </c>
      <c r="P495" s="148">
        <f t="shared" si="128"/>
        <v>249455.51226324734</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25">
      <c r="E496" s="129"/>
      <c r="F496" s="2" t="s">
        <v>930</v>
      </c>
      <c r="G496" t="s">
        <v>207</v>
      </c>
      <c r="J496" s="149">
        <f t="shared" ref="J496:Y496" si="129">J442</f>
        <v>0</v>
      </c>
      <c r="K496" s="149">
        <f t="shared" si="129"/>
        <v>0</v>
      </c>
      <c r="L496" s="149">
        <f t="shared" si="129"/>
        <v>148796.29062152427</v>
      </c>
      <c r="M496" s="149">
        <f t="shared" si="129"/>
        <v>0</v>
      </c>
      <c r="N496" s="149">
        <f t="shared" si="129"/>
        <v>116492.07225811925</v>
      </c>
      <c r="O496" s="149">
        <f t="shared" si="129"/>
        <v>61867.701052421784</v>
      </c>
      <c r="P496" s="149">
        <f t="shared" si="129"/>
        <v>231839.99620271404</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25">
      <c r="E497" s="129"/>
      <c r="F497" s="2" t="s">
        <v>929</v>
      </c>
      <c r="G497" t="s">
        <v>207</v>
      </c>
      <c r="J497" s="149">
        <f t="shared" ref="J497:Y497" si="130">J471</f>
        <v>0</v>
      </c>
      <c r="K497" s="149">
        <f t="shared" si="130"/>
        <v>0</v>
      </c>
      <c r="L497" s="149">
        <f t="shared" si="130"/>
        <v>375463.63248016487</v>
      </c>
      <c r="M497" s="149">
        <f t="shared" si="130"/>
        <v>0</v>
      </c>
      <c r="N497" s="149">
        <f t="shared" si="130"/>
        <v>103489.181199937</v>
      </c>
      <c r="O497" s="149">
        <f t="shared" si="130"/>
        <v>180838.22997924636</v>
      </c>
      <c r="P497" s="149">
        <f t="shared" si="130"/>
        <v>402764.35326147842</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25">
      <c r="E498" s="118" t="s">
        <v>212</v>
      </c>
      <c r="F498" s="2"/>
      <c r="J498" s="201"/>
      <c r="K498" s="201"/>
      <c r="L498" s="201"/>
      <c r="M498" s="201"/>
      <c r="N498" s="201"/>
      <c r="O498" s="201"/>
      <c r="P498" s="201"/>
      <c r="Q498" s="201"/>
      <c r="R498" s="201"/>
      <c r="S498" s="201"/>
      <c r="T498" s="201"/>
      <c r="U498" s="201"/>
      <c r="V498" s="201"/>
      <c r="W498" s="201"/>
      <c r="X498" s="201"/>
      <c r="Y498" s="201"/>
      <c r="AQ498" s="3"/>
    </row>
    <row r="499" spans="5:43" x14ac:dyDescent="0.25">
      <c r="E499" s="129"/>
      <c r="F499" s="2" t="s">
        <v>926</v>
      </c>
      <c r="G499" t="s">
        <v>212</v>
      </c>
      <c r="J499" s="150">
        <f t="shared" ref="J499:Y499" si="131">J356</f>
        <v>0</v>
      </c>
      <c r="K499" s="150">
        <f t="shared" si="131"/>
        <v>0</v>
      </c>
      <c r="L499" s="150">
        <f t="shared" si="131"/>
        <v>188.90290713974133</v>
      </c>
      <c r="M499" s="150">
        <f t="shared" si="131"/>
        <v>0</v>
      </c>
      <c r="N499" s="150">
        <f t="shared" si="131"/>
        <v>66.62123355481144</v>
      </c>
      <c r="O499" s="150">
        <f t="shared" si="131"/>
        <v>9.0043923865300144</v>
      </c>
      <c r="P499" s="150">
        <f t="shared" si="131"/>
        <v>154.99570053535271</v>
      </c>
      <c r="Q499" s="150">
        <f t="shared" si="131"/>
        <v>0</v>
      </c>
      <c r="R499" s="150">
        <f t="shared" si="131"/>
        <v>0</v>
      </c>
      <c r="S499" s="150">
        <f t="shared" si="131"/>
        <v>0</v>
      </c>
      <c r="T499" s="150">
        <f t="shared" si="131"/>
        <v>0</v>
      </c>
      <c r="U499" s="150">
        <f t="shared" si="131"/>
        <v>0</v>
      </c>
      <c r="V499" s="150">
        <f t="shared" si="131"/>
        <v>0</v>
      </c>
      <c r="W499" s="150">
        <f t="shared" si="131"/>
        <v>0</v>
      </c>
      <c r="X499" s="150">
        <f t="shared" si="131"/>
        <v>304.24933518428963</v>
      </c>
      <c r="Y499" s="150">
        <f t="shared" si="131"/>
        <v>0</v>
      </c>
      <c r="AQ499" s="3"/>
    </row>
    <row r="500" spans="5:43" x14ac:dyDescent="0.25">
      <c r="E500" s="129"/>
      <c r="F500" s="2" t="s">
        <v>927</v>
      </c>
      <c r="G500" t="s">
        <v>212</v>
      </c>
      <c r="J500" s="148">
        <f t="shared" ref="J500:Y500" si="132">J385</f>
        <v>1555970.1026352285</v>
      </c>
      <c r="K500" s="148">
        <f t="shared" si="132"/>
        <v>0</v>
      </c>
      <c r="L500" s="148">
        <f t="shared" si="132"/>
        <v>61663.482416823586</v>
      </c>
      <c r="M500" s="148">
        <f t="shared" si="132"/>
        <v>0</v>
      </c>
      <c r="N500" s="148">
        <f t="shared" si="132"/>
        <v>4593.1832479625091</v>
      </c>
      <c r="O500" s="148">
        <f t="shared" si="132"/>
        <v>384.75674552999504</v>
      </c>
      <c r="P500" s="148">
        <f t="shared" si="132"/>
        <v>400.05973308576057</v>
      </c>
      <c r="Q500" s="148">
        <f t="shared" si="132"/>
        <v>2437</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25">
      <c r="E501" s="129"/>
      <c r="F501" s="2" t="s">
        <v>928</v>
      </c>
      <c r="G501" t="s">
        <v>212</v>
      </c>
      <c r="J501" s="148">
        <f t="shared" ref="J501:Y501" si="133">J414</f>
        <v>0</v>
      </c>
      <c r="K501" s="148">
        <f t="shared" si="133"/>
        <v>0</v>
      </c>
      <c r="L501" s="148">
        <f t="shared" si="133"/>
        <v>44333.169214726993</v>
      </c>
      <c r="M501" s="148">
        <f t="shared" si="133"/>
        <v>0</v>
      </c>
      <c r="N501" s="148">
        <f t="shared" si="133"/>
        <v>2290.342888478433</v>
      </c>
      <c r="O501" s="148">
        <f t="shared" si="133"/>
        <v>413.29990171299471</v>
      </c>
      <c r="P501" s="148">
        <f t="shared" si="133"/>
        <v>322.24154300223938</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25">
      <c r="E502" s="129"/>
      <c r="F502" s="2" t="s">
        <v>930</v>
      </c>
      <c r="G502" t="s">
        <v>212</v>
      </c>
      <c r="J502" s="149">
        <f t="shared" ref="J502:Y502" si="134">J443</f>
        <v>0</v>
      </c>
      <c r="K502" s="149">
        <f t="shared" si="134"/>
        <v>0</v>
      </c>
      <c r="L502" s="149">
        <f t="shared" si="134"/>
        <v>18008.595456472343</v>
      </c>
      <c r="M502" s="149">
        <f t="shared" si="134"/>
        <v>0</v>
      </c>
      <c r="N502" s="149">
        <f t="shared" si="134"/>
        <v>1092.1777703302037</v>
      </c>
      <c r="O502" s="149">
        <f t="shared" si="134"/>
        <v>386.63280991240993</v>
      </c>
      <c r="P502" s="149">
        <f t="shared" si="134"/>
        <v>134.35025435976169</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25">
      <c r="E503" s="129"/>
      <c r="F503" s="2" t="s">
        <v>929</v>
      </c>
      <c r="G503" t="s">
        <v>212</v>
      </c>
      <c r="J503" s="149">
        <f t="shared" ref="J503:Y503" si="135">J472</f>
        <v>0</v>
      </c>
      <c r="K503" s="149">
        <f t="shared" si="135"/>
        <v>0</v>
      </c>
      <c r="L503" s="149">
        <f t="shared" si="135"/>
        <v>18693.597531166422</v>
      </c>
      <c r="M503" s="149">
        <f t="shared" si="135"/>
        <v>0</v>
      </c>
      <c r="N503" s="149">
        <f t="shared" si="135"/>
        <v>511.35101046031366</v>
      </c>
      <c r="O503" s="149">
        <f t="shared" si="135"/>
        <v>534.13676924915308</v>
      </c>
      <c r="P503" s="149">
        <f t="shared" si="135"/>
        <v>116.69516122406107</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25">
      <c r="E504" s="118" t="s">
        <v>250</v>
      </c>
      <c r="F504" s="2"/>
      <c r="J504" s="201"/>
      <c r="K504" s="201"/>
      <c r="L504" s="201"/>
      <c r="M504" s="201"/>
      <c r="N504" s="201"/>
      <c r="O504" s="201"/>
      <c r="P504" s="201"/>
      <c r="Q504" s="201"/>
      <c r="R504" s="201"/>
      <c r="S504" s="201"/>
      <c r="T504" s="201"/>
      <c r="U504" s="201"/>
      <c r="V504" s="201"/>
      <c r="W504" s="201"/>
      <c r="X504" s="201"/>
      <c r="Y504" s="201"/>
      <c r="AQ504" s="3"/>
    </row>
    <row r="505" spans="5:43" x14ac:dyDescent="0.25">
      <c r="E505" s="129"/>
      <c r="F505" s="2" t="s">
        <v>926</v>
      </c>
      <c r="G505" t="s">
        <v>251</v>
      </c>
      <c r="J505" s="150">
        <f t="shared" ref="J505:Y505" si="136">J357</f>
        <v>0</v>
      </c>
      <c r="K505" s="150">
        <f t="shared" si="136"/>
        <v>0</v>
      </c>
      <c r="L505" s="150">
        <f t="shared" si="136"/>
        <v>0</v>
      </c>
      <c r="M505" s="150">
        <f t="shared" si="136"/>
        <v>0</v>
      </c>
      <c r="N505" s="150">
        <f t="shared" si="136"/>
        <v>2446.1096322988942</v>
      </c>
      <c r="O505" s="150">
        <f t="shared" si="136"/>
        <v>704.99999999999989</v>
      </c>
      <c r="P505" s="150">
        <f t="shared" si="136"/>
        <v>25636.18581907091</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25">
      <c r="E506" s="129"/>
      <c r="F506" s="2" t="s">
        <v>927</v>
      </c>
      <c r="G506" t="s">
        <v>251</v>
      </c>
      <c r="J506" s="148">
        <f t="shared" ref="J506:Y506" si="137">J386</f>
        <v>0</v>
      </c>
      <c r="K506" s="148">
        <f t="shared" si="137"/>
        <v>0</v>
      </c>
      <c r="L506" s="148">
        <f t="shared" si="137"/>
        <v>0</v>
      </c>
      <c r="M506" s="148">
        <f t="shared" si="137"/>
        <v>0</v>
      </c>
      <c r="N506" s="148">
        <f t="shared" si="137"/>
        <v>211324.83710352829</v>
      </c>
      <c r="O506" s="148">
        <f t="shared" si="137"/>
        <v>20989.350003962496</v>
      </c>
      <c r="P506" s="148">
        <f t="shared" si="137"/>
        <v>109776.54037156513</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25">
      <c r="E507" s="129"/>
      <c r="F507" s="2" t="s">
        <v>928</v>
      </c>
      <c r="G507" t="s">
        <v>251</v>
      </c>
      <c r="J507" s="148">
        <f t="shared" ref="J507:Y507" si="138">J415</f>
        <v>0</v>
      </c>
      <c r="K507" s="148">
        <f t="shared" si="138"/>
        <v>0</v>
      </c>
      <c r="L507" s="148">
        <f t="shared" si="138"/>
        <v>0</v>
      </c>
      <c r="M507" s="148">
        <f t="shared" si="138"/>
        <v>0</v>
      </c>
      <c r="N507" s="148">
        <f t="shared" si="138"/>
        <v>275633.98501430528</v>
      </c>
      <c r="O507" s="148">
        <f t="shared" si="138"/>
        <v>51629.064771221412</v>
      </c>
      <c r="P507" s="148">
        <f t="shared" si="138"/>
        <v>231913.25927576111</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25">
      <c r="E508" s="129"/>
      <c r="F508" s="2" t="s">
        <v>930</v>
      </c>
      <c r="G508" t="s">
        <v>251</v>
      </c>
      <c r="J508" s="149">
        <f t="shared" ref="J508:Y508" si="139">J444</f>
        <v>0</v>
      </c>
      <c r="K508" s="149">
        <f t="shared" si="139"/>
        <v>0</v>
      </c>
      <c r="L508" s="149">
        <f t="shared" si="139"/>
        <v>0</v>
      </c>
      <c r="M508" s="149">
        <f t="shared" si="139"/>
        <v>0</v>
      </c>
      <c r="N508" s="149">
        <f t="shared" si="139"/>
        <v>211718.62642587922</v>
      </c>
      <c r="O508" s="149">
        <f t="shared" si="139"/>
        <v>79376.275049902193</v>
      </c>
      <c r="P508" s="149">
        <f t="shared" si="139"/>
        <v>191391.82857502261</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25">
      <c r="E509" s="129"/>
      <c r="F509" s="2" t="s">
        <v>929</v>
      </c>
      <c r="G509" t="s">
        <v>251</v>
      </c>
      <c r="J509" s="149">
        <f>J473</f>
        <v>0</v>
      </c>
      <c r="K509" s="149">
        <f t="shared" ref="K509:Y509" si="140">K473</f>
        <v>0</v>
      </c>
      <c r="L509" s="149">
        <f t="shared" si="140"/>
        <v>0</v>
      </c>
      <c r="M509" s="149">
        <f t="shared" si="140"/>
        <v>0</v>
      </c>
      <c r="N509" s="149">
        <f t="shared" si="140"/>
        <v>200334.84596409879</v>
      </c>
      <c r="O509" s="149">
        <f t="shared" si="140"/>
        <v>239604.6323146444</v>
      </c>
      <c r="P509" s="149">
        <f t="shared" si="140"/>
        <v>420089.03229065659</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25">
      <c r="E510" s="118" t="s">
        <v>252</v>
      </c>
      <c r="F510" s="2"/>
      <c r="J510" s="201"/>
      <c r="K510" s="201"/>
      <c r="L510" s="201"/>
      <c r="M510" s="201"/>
      <c r="N510" s="201"/>
      <c r="O510" s="201"/>
      <c r="P510" s="201"/>
      <c r="Q510" s="201"/>
      <c r="R510" s="201"/>
      <c r="S510" s="201"/>
      <c r="T510" s="201"/>
      <c r="U510" s="201"/>
      <c r="V510" s="201"/>
      <c r="W510" s="201"/>
      <c r="X510" s="201"/>
      <c r="Y510" s="201"/>
      <c r="AQ510" s="3"/>
    </row>
    <row r="511" spans="5:43" x14ac:dyDescent="0.25">
      <c r="E511" s="129"/>
      <c r="F511" s="2" t="s">
        <v>926</v>
      </c>
      <c r="G511" t="s">
        <v>251</v>
      </c>
      <c r="J511" s="150">
        <f t="shared" ref="J511:Y511" si="141">J358</f>
        <v>0</v>
      </c>
      <c r="K511" s="150">
        <f t="shared" si="141"/>
        <v>0</v>
      </c>
      <c r="L511" s="150">
        <f t="shared" si="141"/>
        <v>0</v>
      </c>
      <c r="M511" s="150">
        <f t="shared" si="141"/>
        <v>0</v>
      </c>
      <c r="N511" s="150">
        <f t="shared" si="141"/>
        <v>190.2821917808219</v>
      </c>
      <c r="O511" s="150">
        <f t="shared" si="141"/>
        <v>22.958904109589042</v>
      </c>
      <c r="P511" s="150">
        <f t="shared" si="141"/>
        <v>5912.7863013698634</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25">
      <c r="E512" s="129"/>
      <c r="F512" s="2" t="s">
        <v>927</v>
      </c>
      <c r="G512" t="s">
        <v>251</v>
      </c>
      <c r="J512" s="148">
        <f t="shared" ref="J512:Y512" si="142">J387</f>
        <v>0</v>
      </c>
      <c r="K512" s="148">
        <f t="shared" si="142"/>
        <v>0</v>
      </c>
      <c r="L512" s="148">
        <f t="shared" si="142"/>
        <v>0</v>
      </c>
      <c r="M512" s="148">
        <f t="shared" si="142"/>
        <v>0</v>
      </c>
      <c r="N512" s="148">
        <f t="shared" si="142"/>
        <v>6092.9677973935813</v>
      </c>
      <c r="O512" s="148">
        <f t="shared" si="142"/>
        <v>255.34567876429412</v>
      </c>
      <c r="P512" s="148">
        <f t="shared" si="142"/>
        <v>715.30805909984042</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25">
      <c r="E513" s="129"/>
      <c r="F513" s="2" t="s">
        <v>928</v>
      </c>
      <c r="G513" t="s">
        <v>251</v>
      </c>
      <c r="J513" s="148">
        <f t="shared" ref="J513:Y513" si="143">J416</f>
        <v>0</v>
      </c>
      <c r="K513" s="148">
        <f t="shared" si="143"/>
        <v>0</v>
      </c>
      <c r="L513" s="148">
        <f t="shared" si="143"/>
        <v>0</v>
      </c>
      <c r="M513" s="148">
        <f t="shared" si="143"/>
        <v>0</v>
      </c>
      <c r="N513" s="148">
        <f t="shared" si="143"/>
        <v>7598.833470932399</v>
      </c>
      <c r="O513" s="148">
        <f t="shared" si="143"/>
        <v>625.11238606784434</v>
      </c>
      <c r="P513" s="148">
        <f t="shared" si="143"/>
        <v>1494.6946608719054</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25">
      <c r="E514" s="129"/>
      <c r="F514" s="2" t="s">
        <v>930</v>
      </c>
      <c r="G514" t="s">
        <v>251</v>
      </c>
      <c r="J514" s="149">
        <f t="shared" ref="J514:Y514" si="144">J445</f>
        <v>0</v>
      </c>
      <c r="K514" s="149">
        <f t="shared" si="144"/>
        <v>0</v>
      </c>
      <c r="L514" s="149">
        <f t="shared" si="144"/>
        <v>0</v>
      </c>
      <c r="M514" s="149">
        <f t="shared" si="144"/>
        <v>0</v>
      </c>
      <c r="N514" s="149">
        <f t="shared" si="144"/>
        <v>5831.5929263985154</v>
      </c>
      <c r="O514" s="149">
        <f t="shared" si="144"/>
        <v>963.44541043053403</v>
      </c>
      <c r="P514" s="149">
        <f t="shared" si="144"/>
        <v>1211.4511779817706</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25">
      <c r="E515" s="129"/>
      <c r="F515" s="2" t="s">
        <v>929</v>
      </c>
      <c r="G515" t="s">
        <v>251</v>
      </c>
      <c r="J515" s="149">
        <f t="shared" ref="J515:Y515" si="145">J474</f>
        <v>0</v>
      </c>
      <c r="K515" s="149">
        <f t="shared" si="145"/>
        <v>0</v>
      </c>
      <c r="L515" s="149">
        <f t="shared" si="145"/>
        <v>0</v>
      </c>
      <c r="M515" s="149">
        <f t="shared" si="145"/>
        <v>0</v>
      </c>
      <c r="N515" s="149">
        <f t="shared" si="145"/>
        <v>5021.4716450940259</v>
      </c>
      <c r="O515" s="149">
        <f t="shared" si="145"/>
        <v>2739.6362507647245</v>
      </c>
      <c r="P515" s="149">
        <f t="shared" si="145"/>
        <v>2688.2063760190863</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25">
      <c r="E516" s="129" t="s">
        <v>253</v>
      </c>
      <c r="F516" s="2"/>
      <c r="J516" s="201"/>
      <c r="K516" s="201"/>
      <c r="L516" s="201"/>
      <c r="M516" s="201"/>
      <c r="N516" s="201"/>
      <c r="O516" s="201"/>
      <c r="P516" s="201"/>
      <c r="Q516" s="201"/>
      <c r="R516" s="201"/>
      <c r="S516" s="201"/>
      <c r="T516" s="201"/>
      <c r="U516" s="201"/>
      <c r="V516" s="201"/>
      <c r="W516" s="201"/>
      <c r="X516" s="201"/>
      <c r="Y516" s="201"/>
      <c r="AQ516" s="3"/>
    </row>
    <row r="517" spans="3:43" x14ac:dyDescent="0.25">
      <c r="E517" s="129"/>
      <c r="F517" s="2" t="s">
        <v>926</v>
      </c>
      <c r="G517" t="s">
        <v>254</v>
      </c>
      <c r="J517" s="150">
        <f t="shared" ref="J517:Y517" si="146">J359</f>
        <v>0</v>
      </c>
      <c r="K517" s="150">
        <f t="shared" si="146"/>
        <v>0</v>
      </c>
      <c r="L517" s="150">
        <f t="shared" si="146"/>
        <v>0</v>
      </c>
      <c r="M517" s="150">
        <f t="shared" si="146"/>
        <v>0</v>
      </c>
      <c r="N517" s="150">
        <f t="shared" si="146"/>
        <v>382.64744951292494</v>
      </c>
      <c r="O517" s="150">
        <f t="shared" si="146"/>
        <v>146.43099999999998</v>
      </c>
      <c r="P517" s="150">
        <f t="shared" si="146"/>
        <v>4654.5249999999996</v>
      </c>
      <c r="Q517" s="150">
        <f t="shared" si="146"/>
        <v>0</v>
      </c>
      <c r="R517" s="150">
        <f t="shared" si="146"/>
        <v>0</v>
      </c>
      <c r="S517" s="150">
        <f t="shared" si="146"/>
        <v>0</v>
      </c>
      <c r="T517" s="150">
        <f t="shared" si="146"/>
        <v>6048.5181330320966</v>
      </c>
      <c r="U517" s="150">
        <f t="shared" si="146"/>
        <v>0</v>
      </c>
      <c r="V517" s="150">
        <f t="shared" si="146"/>
        <v>0</v>
      </c>
      <c r="W517" s="150">
        <f t="shared" si="146"/>
        <v>0</v>
      </c>
      <c r="X517" s="150">
        <f t="shared" si="146"/>
        <v>8398.768</v>
      </c>
      <c r="Y517" s="150">
        <f t="shared" si="146"/>
        <v>0</v>
      </c>
      <c r="AQ517" s="3"/>
    </row>
    <row r="518" spans="3:43" x14ac:dyDescent="0.25">
      <c r="E518" s="129"/>
      <c r="F518" s="2" t="s">
        <v>927</v>
      </c>
      <c r="G518" t="s">
        <v>254</v>
      </c>
      <c r="J518" s="148">
        <f t="shared" ref="J518:Y518" si="147">J388</f>
        <v>0</v>
      </c>
      <c r="K518" s="148">
        <f t="shared" si="147"/>
        <v>0</v>
      </c>
      <c r="L518" s="148">
        <f t="shared" si="147"/>
        <v>0</v>
      </c>
      <c r="M518" s="148">
        <f t="shared" si="147"/>
        <v>0</v>
      </c>
      <c r="N518" s="148">
        <f t="shared" si="147"/>
        <v>33481.783027951446</v>
      </c>
      <c r="O518" s="148">
        <f t="shared" si="147"/>
        <v>4331.7769063989854</v>
      </c>
      <c r="P518" s="148">
        <f t="shared" si="147"/>
        <v>19591.499015199184</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25">
      <c r="E519" s="129"/>
      <c r="F519" s="2" t="s">
        <v>928</v>
      </c>
      <c r="G519" t="s">
        <v>254</v>
      </c>
      <c r="J519" s="148">
        <f t="shared" ref="J519:Y519" si="148">J417</f>
        <v>0</v>
      </c>
      <c r="K519" s="148">
        <f t="shared" si="148"/>
        <v>0</v>
      </c>
      <c r="L519" s="148">
        <f t="shared" si="148"/>
        <v>0</v>
      </c>
      <c r="M519" s="148">
        <f t="shared" si="148"/>
        <v>0</v>
      </c>
      <c r="N519" s="148">
        <f t="shared" si="148"/>
        <v>29498.713744070697</v>
      </c>
      <c r="O519" s="148">
        <f t="shared" si="148"/>
        <v>7943.3523557159006</v>
      </c>
      <c r="P519" s="148">
        <f t="shared" si="148"/>
        <v>36134.547968143444</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25">
      <c r="E520" s="129"/>
      <c r="F520" s="2" t="s">
        <v>930</v>
      </c>
      <c r="G520" t="s">
        <v>254</v>
      </c>
      <c r="J520" s="149">
        <f t="shared" ref="J520:Y520" si="149">J446</f>
        <v>0</v>
      </c>
      <c r="K520" s="149">
        <f t="shared" si="149"/>
        <v>0</v>
      </c>
      <c r="L520" s="149">
        <f t="shared" si="149"/>
        <v>0</v>
      </c>
      <c r="M520" s="149">
        <f t="shared" si="149"/>
        <v>0</v>
      </c>
      <c r="N520" s="149">
        <f t="shared" si="149"/>
        <v>21149.276061276309</v>
      </c>
      <c r="O520" s="149">
        <f t="shared" si="149"/>
        <v>12073.390465192988</v>
      </c>
      <c r="P520" s="149">
        <f t="shared" si="149"/>
        <v>33548.399766935392</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25">
      <c r="E521" s="120"/>
      <c r="F521" s="202" t="s">
        <v>929</v>
      </c>
      <c r="G521" s="96" t="s">
        <v>254</v>
      </c>
      <c r="H521" s="96"/>
      <c r="I521" s="96"/>
      <c r="J521" s="148">
        <f t="shared" ref="J521:Y521" si="150">J475</f>
        <v>0</v>
      </c>
      <c r="K521" s="148">
        <f t="shared" si="150"/>
        <v>0</v>
      </c>
      <c r="L521" s="148">
        <f t="shared" si="150"/>
        <v>0</v>
      </c>
      <c r="M521" s="148">
        <f t="shared" si="150"/>
        <v>0</v>
      </c>
      <c r="N521" s="148">
        <f t="shared" si="150"/>
        <v>19181.828557620902</v>
      </c>
      <c r="O521" s="148">
        <f t="shared" si="150"/>
        <v>35037.56638266088</v>
      </c>
      <c r="P521" s="148">
        <f t="shared" si="150"/>
        <v>58449.505167970448</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25">
      <c r="AQ522" s="3"/>
    </row>
    <row r="523" spans="3:43" x14ac:dyDescent="0.25">
      <c r="C523" s="93" t="str">
        <f ca="1">INDEX('Version control'!$H$41:$H$64,MATCH($A$1,'Version control'!$F$41:$F$64,0),1)&amp;"-J: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25">
      <c r="C524" s="75"/>
      <c r="AQ524" s="3"/>
    </row>
    <row r="525" spans="3:43" x14ac:dyDescent="0.25">
      <c r="D525" s="75" t="s">
        <v>1078</v>
      </c>
      <c r="AQ525" s="3"/>
    </row>
    <row r="526" spans="3:43" x14ac:dyDescent="0.25">
      <c r="E526" s="116" t="s">
        <v>247</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25">
      <c r="E527" s="129"/>
      <c r="F527" s="2" t="s">
        <v>926</v>
      </c>
      <c r="G527" t="s">
        <v>207</v>
      </c>
      <c r="J527" s="150">
        <f>J58</f>
        <v>0</v>
      </c>
      <c r="K527" s="150">
        <f t="shared" ref="K527:Y527" si="151">K58</f>
        <v>42.949716657044405</v>
      </c>
      <c r="L527" s="150">
        <f t="shared" si="151"/>
        <v>51.394728769453245</v>
      </c>
      <c r="M527" s="150">
        <f t="shared" si="151"/>
        <v>25.765928672816155</v>
      </c>
      <c r="N527" s="150">
        <f t="shared" si="151"/>
        <v>124.03234502112436</v>
      </c>
      <c r="O527" s="150">
        <f t="shared" si="151"/>
        <v>32.524509406872198</v>
      </c>
      <c r="P527" s="150">
        <f t="shared" si="151"/>
        <v>442.05271467460517</v>
      </c>
      <c r="Q527" s="150">
        <f t="shared" si="151"/>
        <v>0</v>
      </c>
      <c r="R527" s="150">
        <f t="shared" si="151"/>
        <v>8383.1643992456902</v>
      </c>
      <c r="S527" s="150">
        <f t="shared" si="151"/>
        <v>1036.7343209799037</v>
      </c>
      <c r="T527" s="150">
        <f t="shared" si="151"/>
        <v>4622.4246135079247</v>
      </c>
      <c r="U527" s="150">
        <f t="shared" si="151"/>
        <v>0</v>
      </c>
      <c r="V527" s="150">
        <f t="shared" si="151"/>
        <v>0</v>
      </c>
      <c r="W527" s="150">
        <f t="shared" si="151"/>
        <v>0</v>
      </c>
      <c r="X527" s="150">
        <f t="shared" si="151"/>
        <v>53814.546731455142</v>
      </c>
      <c r="Y527" s="150">
        <f t="shared" si="151"/>
        <v>0</v>
      </c>
      <c r="AQ527" s="3"/>
    </row>
    <row r="528" spans="3:43" x14ac:dyDescent="0.25">
      <c r="E528" s="129"/>
      <c r="F528" s="2" t="s">
        <v>927</v>
      </c>
      <c r="G528" t="s">
        <v>207</v>
      </c>
      <c r="J528" s="148">
        <f>J67</f>
        <v>414037.19304487581</v>
      </c>
      <c r="K528" s="148">
        <f t="shared" ref="K528:Y528" si="152">K67</f>
        <v>0</v>
      </c>
      <c r="L528" s="148">
        <f t="shared" si="152"/>
        <v>8842.1747639928744</v>
      </c>
      <c r="M528" s="148">
        <f t="shared" si="152"/>
        <v>0</v>
      </c>
      <c r="N528" s="148">
        <f t="shared" si="152"/>
        <v>28368.276777796113</v>
      </c>
      <c r="O528" s="148">
        <f t="shared" si="152"/>
        <v>3068.499121163622</v>
      </c>
      <c r="P528" s="148">
        <f t="shared" si="152"/>
        <v>16832.080446901444</v>
      </c>
      <c r="Q528" s="148">
        <f t="shared" si="152"/>
        <v>3120.7676206896554</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25">
      <c r="E529" s="129"/>
      <c r="F529" s="2" t="s">
        <v>928</v>
      </c>
      <c r="G529" t="s">
        <v>207</v>
      </c>
      <c r="J529" s="148">
        <f>J76</f>
        <v>0</v>
      </c>
      <c r="K529" s="148">
        <f t="shared" ref="K529:Y529" si="153">K76</f>
        <v>0</v>
      </c>
      <c r="L529" s="148">
        <f t="shared" si="153"/>
        <v>26083.400569970734</v>
      </c>
      <c r="M529" s="148">
        <f t="shared" si="153"/>
        <v>0</v>
      </c>
      <c r="N529" s="148">
        <f t="shared" si="153"/>
        <v>24543.099162264127</v>
      </c>
      <c r="O529" s="148">
        <f t="shared" si="153"/>
        <v>5626.8294164921617</v>
      </c>
      <c r="P529" s="148">
        <f t="shared" si="153"/>
        <v>31044.745987401129</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25">
      <c r="E530" s="129"/>
      <c r="F530" s="2" t="s">
        <v>930</v>
      </c>
      <c r="G530" t="s">
        <v>207</v>
      </c>
      <c r="J530" s="149">
        <f>J85</f>
        <v>0</v>
      </c>
      <c r="K530" s="149">
        <f t="shared" ref="K530:Y530" si="154">K85</f>
        <v>0</v>
      </c>
      <c r="L530" s="149">
        <f t="shared" si="154"/>
        <v>21294.252059385202</v>
      </c>
      <c r="M530" s="149">
        <f t="shared" si="154"/>
        <v>0</v>
      </c>
      <c r="N530" s="149">
        <f t="shared" si="154"/>
        <v>17628.221372373271</v>
      </c>
      <c r="O530" s="149">
        <f t="shared" si="154"/>
        <v>8552.0900117834626</v>
      </c>
      <c r="P530" s="149">
        <f t="shared" si="154"/>
        <v>28627.87739438835</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25">
      <c r="E531" s="129"/>
      <c r="F531" s="2" t="s">
        <v>929</v>
      </c>
      <c r="G531" t="s">
        <v>207</v>
      </c>
      <c r="J531" s="149">
        <f>J94</f>
        <v>0</v>
      </c>
      <c r="K531" s="149">
        <f t="shared" ref="K531:Y531" si="155">K94</f>
        <v>0</v>
      </c>
      <c r="L531" s="149">
        <f t="shared" si="155"/>
        <v>53816.784649668458</v>
      </c>
      <c r="M531" s="149">
        <f t="shared" si="155"/>
        <v>0</v>
      </c>
      <c r="N531" s="149">
        <f t="shared" si="155"/>
        <v>14538.641677991591</v>
      </c>
      <c r="O531" s="149">
        <f t="shared" si="155"/>
        <v>24482.974530545041</v>
      </c>
      <c r="P531" s="149">
        <f t="shared" si="155"/>
        <v>50215.462316398218</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25">
      <c r="E532" s="118" t="s">
        <v>248</v>
      </c>
      <c r="F532" s="2"/>
      <c r="J532" s="201"/>
      <c r="K532" s="201"/>
      <c r="L532" s="201"/>
      <c r="M532" s="201"/>
      <c r="N532" s="201"/>
      <c r="O532" s="201"/>
      <c r="P532" s="201"/>
      <c r="Q532" s="201"/>
      <c r="R532" s="201"/>
      <c r="S532" s="201"/>
      <c r="T532" s="201"/>
      <c r="U532" s="201"/>
      <c r="V532" s="201"/>
      <c r="W532" s="201"/>
      <c r="X532" s="201"/>
      <c r="Y532" s="201"/>
      <c r="AQ532" s="3"/>
    </row>
    <row r="533" spans="5:43" x14ac:dyDescent="0.25">
      <c r="E533" s="129"/>
      <c r="F533" s="2" t="s">
        <v>926</v>
      </c>
      <c r="G533" t="s">
        <v>207</v>
      </c>
      <c r="J533" s="150">
        <f>J59</f>
        <v>0</v>
      </c>
      <c r="K533" s="150">
        <f t="shared" ref="K533:Y533" si="156">K59</f>
        <v>3119.337000290659</v>
      </c>
      <c r="L533" s="150">
        <f t="shared" si="156"/>
        <v>429.90214636273004</v>
      </c>
      <c r="M533" s="150">
        <f t="shared" si="156"/>
        <v>1609.0521821484306</v>
      </c>
      <c r="N533" s="150">
        <f t="shared" si="156"/>
        <v>849.34780499680642</v>
      </c>
      <c r="O533" s="150">
        <f t="shared" si="156"/>
        <v>340.94829159017985</v>
      </c>
      <c r="P533" s="150">
        <f t="shared" si="156"/>
        <v>5891.1463199191348</v>
      </c>
      <c r="Q533" s="150">
        <f t="shared" si="156"/>
        <v>0</v>
      </c>
      <c r="R533" s="150">
        <f t="shared" si="156"/>
        <v>76699.786920797414</v>
      </c>
      <c r="S533" s="150">
        <f t="shared" si="156"/>
        <v>8528.2795750860623</v>
      </c>
      <c r="T533" s="150">
        <f t="shared" si="156"/>
        <v>38095.306630822713</v>
      </c>
      <c r="U533" s="150">
        <f t="shared" si="156"/>
        <v>0</v>
      </c>
      <c r="V533" s="150">
        <f t="shared" si="156"/>
        <v>0</v>
      </c>
      <c r="W533" s="150">
        <f t="shared" si="156"/>
        <v>0</v>
      </c>
      <c r="X533" s="150">
        <f t="shared" si="156"/>
        <v>302507.33246507391</v>
      </c>
      <c r="Y533" s="150">
        <f t="shared" si="156"/>
        <v>0</v>
      </c>
      <c r="AQ533" s="3"/>
    </row>
    <row r="534" spans="5:43" x14ac:dyDescent="0.25">
      <c r="E534" s="129"/>
      <c r="F534" s="2" t="s">
        <v>927</v>
      </c>
      <c r="G534" t="s">
        <v>207</v>
      </c>
      <c r="J534" s="148">
        <f>J68</f>
        <v>2220877.655844843</v>
      </c>
      <c r="K534" s="148">
        <f t="shared" ref="K534:Y534" si="157">K68</f>
        <v>0</v>
      </c>
      <c r="L534" s="148">
        <f t="shared" si="157"/>
        <v>74327.869750998958</v>
      </c>
      <c r="M534" s="148">
        <f t="shared" si="157"/>
        <v>0</v>
      </c>
      <c r="N534" s="148">
        <f t="shared" si="157"/>
        <v>204974.47121884814</v>
      </c>
      <c r="O534" s="148">
        <f t="shared" si="157"/>
        <v>22166.959347146436</v>
      </c>
      <c r="P534" s="148">
        <f t="shared" si="157"/>
        <v>118085.4722621204</v>
      </c>
      <c r="Q534" s="148">
        <f t="shared" si="157"/>
        <v>32439.529862068968</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25">
      <c r="E535" s="129"/>
      <c r="F535" s="2" t="s">
        <v>928</v>
      </c>
      <c r="G535" t="s">
        <v>207</v>
      </c>
      <c r="J535" s="148">
        <f>J77</f>
        <v>0</v>
      </c>
      <c r="K535" s="148">
        <f t="shared" ref="K535:Y535" si="158">K77</f>
        <v>0</v>
      </c>
      <c r="L535" s="148">
        <f t="shared" si="158"/>
        <v>219258.68374857187</v>
      </c>
      <c r="M535" s="148">
        <f t="shared" si="158"/>
        <v>0</v>
      </c>
      <c r="N535" s="148">
        <f t="shared" si="158"/>
        <v>177335.7194820655</v>
      </c>
      <c r="O535" s="148">
        <f t="shared" si="158"/>
        <v>40648.438863300071</v>
      </c>
      <c r="P535" s="148">
        <f t="shared" si="158"/>
        <v>217794.43739853788</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25">
      <c r="E536" s="129"/>
      <c r="F536" s="2" t="s">
        <v>930</v>
      </c>
      <c r="G536" t="s">
        <v>207</v>
      </c>
      <c r="J536" s="149">
        <f>J86</f>
        <v>0</v>
      </c>
      <c r="K536" s="149">
        <f t="shared" ref="K536:Y536" si="159">K86</f>
        <v>0</v>
      </c>
      <c r="L536" s="149">
        <f t="shared" si="159"/>
        <v>179000.8041867968</v>
      </c>
      <c r="M536" s="149">
        <f t="shared" si="159"/>
        <v>0</v>
      </c>
      <c r="N536" s="149">
        <f t="shared" si="159"/>
        <v>127372.39496898772</v>
      </c>
      <c r="O536" s="149">
        <f t="shared" si="159"/>
        <v>61780.637418742961</v>
      </c>
      <c r="P536" s="149">
        <f t="shared" si="159"/>
        <v>200838.89407745432</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25">
      <c r="E537" s="129"/>
      <c r="F537" s="2" t="s">
        <v>929</v>
      </c>
      <c r="G537" t="s">
        <v>207</v>
      </c>
      <c r="J537" s="149">
        <f>J95</f>
        <v>0</v>
      </c>
      <c r="K537" s="149">
        <f t="shared" ref="K537:Y537" si="160">K95</f>
        <v>0</v>
      </c>
      <c r="L537" s="149">
        <f t="shared" si="160"/>
        <v>452387.23126659752</v>
      </c>
      <c r="M537" s="149">
        <f t="shared" si="160"/>
        <v>0</v>
      </c>
      <c r="N537" s="149">
        <f t="shared" si="160"/>
        <v>105048.69271859061</v>
      </c>
      <c r="O537" s="149">
        <f t="shared" si="160"/>
        <v>176865.97899692686</v>
      </c>
      <c r="P537" s="149">
        <f t="shared" si="160"/>
        <v>352286.61134305428</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25">
      <c r="E538" s="118" t="s">
        <v>249</v>
      </c>
      <c r="F538" s="2"/>
      <c r="J538" s="201"/>
      <c r="K538" s="201"/>
      <c r="L538" s="201"/>
      <c r="M538" s="201"/>
      <c r="N538" s="201"/>
      <c r="O538" s="201"/>
      <c r="P538" s="201"/>
      <c r="Q538" s="201"/>
      <c r="R538" s="201"/>
      <c r="S538" s="201"/>
      <c r="T538" s="201"/>
      <c r="U538" s="201"/>
      <c r="V538" s="201"/>
      <c r="W538" s="201"/>
      <c r="X538" s="201"/>
      <c r="Y538" s="201"/>
      <c r="AQ538" s="3"/>
    </row>
    <row r="539" spans="5:43" x14ac:dyDescent="0.25">
      <c r="E539" s="129"/>
      <c r="F539" s="2" t="s">
        <v>926</v>
      </c>
      <c r="G539" t="s">
        <v>207</v>
      </c>
      <c r="J539" s="150">
        <f>J60</f>
        <v>0</v>
      </c>
      <c r="K539" s="150">
        <f t="shared" ref="K539:Y539" si="161">K60</f>
        <v>24081.62170271924</v>
      </c>
      <c r="L539" s="150">
        <f t="shared" si="161"/>
        <v>443.07069877940268</v>
      </c>
      <c r="M539" s="150">
        <f t="shared" si="161"/>
        <v>11325.873677164167</v>
      </c>
      <c r="N539" s="150">
        <f t="shared" si="161"/>
        <v>933.78525142692774</v>
      </c>
      <c r="O539" s="150">
        <f t="shared" si="161"/>
        <v>235.83839931765723</v>
      </c>
      <c r="P539" s="150">
        <f t="shared" si="161"/>
        <v>7972.5156271940859</v>
      </c>
      <c r="Q539" s="150">
        <f t="shared" si="161"/>
        <v>0</v>
      </c>
      <c r="R539" s="150">
        <f t="shared" si="161"/>
        <v>33364.652963362067</v>
      </c>
      <c r="S539" s="150">
        <f t="shared" si="161"/>
        <v>8832.4293538785987</v>
      </c>
      <c r="T539" s="150">
        <f t="shared" si="161"/>
        <v>44866.446029929481</v>
      </c>
      <c r="U539" s="150">
        <f t="shared" si="161"/>
        <v>0</v>
      </c>
      <c r="V539" s="150">
        <f t="shared" si="161"/>
        <v>0</v>
      </c>
      <c r="W539" s="150">
        <f t="shared" si="161"/>
        <v>0</v>
      </c>
      <c r="X539" s="150">
        <f t="shared" si="161"/>
        <v>259913.71528039253</v>
      </c>
      <c r="Y539" s="150">
        <f t="shared" si="161"/>
        <v>0</v>
      </c>
      <c r="AQ539" s="3"/>
    </row>
    <row r="540" spans="5:43" x14ac:dyDescent="0.25">
      <c r="E540" s="129"/>
      <c r="F540" s="2" t="s">
        <v>927</v>
      </c>
      <c r="G540" t="s">
        <v>207</v>
      </c>
      <c r="J540" s="148">
        <f>J69</f>
        <v>2541068.4625321021</v>
      </c>
      <c r="K540" s="148">
        <f t="shared" ref="K540:Y540" si="162">K69</f>
        <v>0</v>
      </c>
      <c r="L540" s="148">
        <f t="shared" si="162"/>
        <v>61486.265517629632</v>
      </c>
      <c r="M540" s="148">
        <f t="shared" si="162"/>
        <v>0</v>
      </c>
      <c r="N540" s="148">
        <f t="shared" si="162"/>
        <v>182800.08330807119</v>
      </c>
      <c r="O540" s="148">
        <f t="shared" si="162"/>
        <v>22105.819031526087</v>
      </c>
      <c r="P540" s="148">
        <f t="shared" si="162"/>
        <v>134606.7008119339</v>
      </c>
      <c r="Q540" s="148">
        <f t="shared" si="162"/>
        <v>72051.073000000004</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25">
      <c r="E541" s="129"/>
      <c r="F541" s="2" t="s">
        <v>928</v>
      </c>
      <c r="G541" t="s">
        <v>207</v>
      </c>
      <c r="J541" s="148">
        <f>J78</f>
        <v>0</v>
      </c>
      <c r="K541" s="148">
        <f t="shared" ref="K541:Y541" si="163">K78</f>
        <v>0</v>
      </c>
      <c r="L541" s="148">
        <f t="shared" si="163"/>
        <v>181377.42533418277</v>
      </c>
      <c r="M541" s="148">
        <f t="shared" si="163"/>
        <v>0</v>
      </c>
      <c r="N541" s="148">
        <f t="shared" si="163"/>
        <v>158151.32539216164</v>
      </c>
      <c r="O541" s="148">
        <f t="shared" si="163"/>
        <v>40536.323424161295</v>
      </c>
      <c r="P541" s="148">
        <f t="shared" si="163"/>
        <v>248265.8544849015</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25">
      <c r="E542" s="129"/>
      <c r="F542" s="2" t="s">
        <v>930</v>
      </c>
      <c r="G542" t="s">
        <v>207</v>
      </c>
      <c r="J542" s="149">
        <f>J87</f>
        <v>0</v>
      </c>
      <c r="K542" s="149">
        <f t="shared" ref="K542:Y542" si="164">K87</f>
        <v>0</v>
      </c>
      <c r="L542" s="149">
        <f t="shared" si="164"/>
        <v>148074.88780412273</v>
      </c>
      <c r="M542" s="149">
        <f t="shared" si="164"/>
        <v>0</v>
      </c>
      <c r="N542" s="149">
        <f t="shared" si="164"/>
        <v>113593.09416937035</v>
      </c>
      <c r="O542" s="149">
        <f t="shared" si="164"/>
        <v>61610.235713581053</v>
      </c>
      <c r="P542" s="149">
        <f t="shared" si="164"/>
        <v>228938.076874302</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25">
      <c r="E543" s="129"/>
      <c r="F543" s="2" t="s">
        <v>929</v>
      </c>
      <c r="G543" t="s">
        <v>207</v>
      </c>
      <c r="J543" s="149">
        <f>J96</f>
        <v>0</v>
      </c>
      <c r="K543" s="149">
        <f t="shared" ref="K543:Y543" si="165">K96</f>
        <v>0</v>
      </c>
      <c r="L543" s="149">
        <f t="shared" si="165"/>
        <v>374228.4221467211</v>
      </c>
      <c r="M543" s="149">
        <f t="shared" si="165"/>
        <v>0</v>
      </c>
      <c r="N543" s="149">
        <f t="shared" si="165"/>
        <v>93684.397213834891</v>
      </c>
      <c r="O543" s="149">
        <f t="shared" si="165"/>
        <v>176378.15197432862</v>
      </c>
      <c r="P543" s="149">
        <f t="shared" si="165"/>
        <v>401574.70334575651</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25">
      <c r="E544" s="118" t="s">
        <v>212</v>
      </c>
      <c r="F544" s="2"/>
      <c r="J544" s="201"/>
      <c r="K544" s="201"/>
      <c r="L544" s="201"/>
      <c r="M544" s="201"/>
      <c r="N544" s="201"/>
      <c r="O544" s="201"/>
      <c r="P544" s="201"/>
      <c r="Q544" s="201"/>
      <c r="R544" s="201"/>
      <c r="S544" s="201"/>
      <c r="T544" s="201"/>
      <c r="U544" s="201"/>
      <c r="V544" s="201"/>
      <c r="W544" s="201"/>
      <c r="X544" s="201"/>
      <c r="Y544" s="201"/>
      <c r="AQ544" s="3"/>
    </row>
    <row r="545" spans="5:43" x14ac:dyDescent="0.25">
      <c r="E545" s="129"/>
      <c r="F545" s="2" t="s">
        <v>926</v>
      </c>
      <c r="G545" t="s">
        <v>212</v>
      </c>
      <c r="J545" s="150">
        <f>J61</f>
        <v>0</v>
      </c>
      <c r="K545" s="150">
        <f t="shared" ref="K545:Y545" si="166">K61</f>
        <v>0</v>
      </c>
      <c r="L545" s="150">
        <f t="shared" si="166"/>
        <v>59.530590717299575</v>
      </c>
      <c r="M545" s="150">
        <f t="shared" si="166"/>
        <v>0</v>
      </c>
      <c r="N545" s="150">
        <f t="shared" si="166"/>
        <v>65.03566608829766</v>
      </c>
      <c r="O545" s="150">
        <f t="shared" si="166"/>
        <v>9.0043923865300144</v>
      </c>
      <c r="P545" s="150">
        <f t="shared" si="166"/>
        <v>154.99570053535271</v>
      </c>
      <c r="Q545" s="150">
        <f t="shared" si="166"/>
        <v>0</v>
      </c>
      <c r="R545" s="150">
        <f t="shared" si="166"/>
        <v>0</v>
      </c>
      <c r="S545" s="150">
        <f t="shared" si="166"/>
        <v>0</v>
      </c>
      <c r="T545" s="150">
        <f t="shared" si="166"/>
        <v>0</v>
      </c>
      <c r="U545" s="150">
        <f t="shared" si="166"/>
        <v>0</v>
      </c>
      <c r="V545" s="150">
        <f t="shared" si="166"/>
        <v>0</v>
      </c>
      <c r="W545" s="150">
        <f t="shared" si="166"/>
        <v>0</v>
      </c>
      <c r="X545" s="150">
        <f t="shared" si="166"/>
        <v>304.24933518428963</v>
      </c>
      <c r="Y545" s="150">
        <f t="shared" si="166"/>
        <v>0</v>
      </c>
      <c r="AQ545" s="3"/>
    </row>
    <row r="546" spans="5:43" x14ac:dyDescent="0.25">
      <c r="E546" s="129"/>
      <c r="F546" s="2" t="s">
        <v>927</v>
      </c>
      <c r="G546" t="s">
        <v>212</v>
      </c>
      <c r="J546" s="148">
        <f>J70</f>
        <v>1518684.7490630394</v>
      </c>
      <c r="K546" s="148">
        <f t="shared" ref="K546:Y546" si="167">K70</f>
        <v>0</v>
      </c>
      <c r="L546" s="148">
        <f t="shared" si="167"/>
        <v>61383.441806114555</v>
      </c>
      <c r="M546" s="148">
        <f t="shared" si="167"/>
        <v>0</v>
      </c>
      <c r="N546" s="148">
        <f t="shared" si="167"/>
        <v>4555.404967032785</v>
      </c>
      <c r="O546" s="148">
        <f t="shared" si="167"/>
        <v>384.75674552999504</v>
      </c>
      <c r="P546" s="148">
        <f t="shared" si="167"/>
        <v>400.05973308576057</v>
      </c>
      <c r="Q546" s="148">
        <f t="shared" si="167"/>
        <v>2437</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25">
      <c r="E547" s="129"/>
      <c r="F547" s="2" t="s">
        <v>928</v>
      </c>
      <c r="G547" t="s">
        <v>212</v>
      </c>
      <c r="J547" s="148">
        <f>J79</f>
        <v>0</v>
      </c>
      <c r="K547" s="148">
        <f t="shared" ref="K547:Y547" si="168">K79</f>
        <v>0</v>
      </c>
      <c r="L547" s="148">
        <f t="shared" si="168"/>
        <v>44141.630274513212</v>
      </c>
      <c r="M547" s="148">
        <f t="shared" si="168"/>
        <v>0</v>
      </c>
      <c r="N547" s="148">
        <f t="shared" si="168"/>
        <v>2200.2778045610471</v>
      </c>
      <c r="O547" s="148">
        <f t="shared" si="168"/>
        <v>411.53105514161842</v>
      </c>
      <c r="P547" s="148">
        <f t="shared" si="168"/>
        <v>319.08378711177534</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25">
      <c r="E548" s="129"/>
      <c r="F548" s="2" t="s">
        <v>930</v>
      </c>
      <c r="G548" t="s">
        <v>212</v>
      </c>
      <c r="J548" s="149">
        <f>J88</f>
        <v>0</v>
      </c>
      <c r="K548" s="149">
        <f t="shared" ref="K548:Y548" si="169">K88</f>
        <v>0</v>
      </c>
      <c r="L548" s="149">
        <f t="shared" si="169"/>
        <v>17853.539337351296</v>
      </c>
      <c r="M548" s="149">
        <f t="shared" si="169"/>
        <v>0</v>
      </c>
      <c r="N548" s="149">
        <f t="shared" si="169"/>
        <v>1028.2807035115104</v>
      </c>
      <c r="O548" s="149">
        <f t="shared" si="169"/>
        <v>385.74838662672181</v>
      </c>
      <c r="P548" s="149">
        <f t="shared" si="169"/>
        <v>130.13991317247633</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25">
      <c r="E549" s="129"/>
      <c r="F549" s="2" t="s">
        <v>929</v>
      </c>
      <c r="G549" t="s">
        <v>212</v>
      </c>
      <c r="J549" s="149">
        <f>J97</f>
        <v>0</v>
      </c>
      <c r="K549" s="149">
        <f t="shared" ref="K549:Y549" si="170">K97</f>
        <v>0</v>
      </c>
      <c r="L549" s="149">
        <f t="shared" si="170"/>
        <v>18593.892029409602</v>
      </c>
      <c r="M549" s="149">
        <f t="shared" si="170"/>
        <v>0</v>
      </c>
      <c r="N549" s="149">
        <f t="shared" si="170"/>
        <v>461.51181181225269</v>
      </c>
      <c r="O549" s="149">
        <f t="shared" si="170"/>
        <v>514.66172920120471</v>
      </c>
      <c r="P549" s="149">
        <f t="shared" si="170"/>
        <v>114.7159234631458</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25">
      <c r="E550" s="118" t="s">
        <v>250</v>
      </c>
      <c r="F550" s="2"/>
      <c r="J550" s="201"/>
      <c r="K550" s="201"/>
      <c r="L550" s="201"/>
      <c r="M550" s="201"/>
      <c r="N550" s="201"/>
      <c r="O550" s="201"/>
      <c r="P550" s="201"/>
      <c r="Q550" s="201"/>
      <c r="R550" s="201"/>
      <c r="S550" s="201"/>
      <c r="T550" s="201"/>
      <c r="U550" s="201"/>
      <c r="V550" s="201"/>
      <c r="W550" s="201"/>
      <c r="X550" s="201"/>
      <c r="Y550" s="201"/>
      <c r="AQ550" s="3"/>
    </row>
    <row r="551" spans="5:43" x14ac:dyDescent="0.25">
      <c r="E551" s="129"/>
      <c r="F551" s="2" t="s">
        <v>926</v>
      </c>
      <c r="G551" t="s">
        <v>251</v>
      </c>
      <c r="J551" s="150">
        <f>J62</f>
        <v>0</v>
      </c>
      <c r="K551" s="150">
        <f t="shared" ref="K551:Y551" si="171">K62</f>
        <v>0</v>
      </c>
      <c r="L551" s="150">
        <f t="shared" si="171"/>
        <v>0</v>
      </c>
      <c r="M551" s="150">
        <f t="shared" si="171"/>
        <v>0</v>
      </c>
      <c r="N551" s="150">
        <f t="shared" si="171"/>
        <v>2128.9961389961395</v>
      </c>
      <c r="O551" s="150">
        <f t="shared" si="171"/>
        <v>704.99999999999989</v>
      </c>
      <c r="P551" s="150">
        <f t="shared" si="171"/>
        <v>25636.18581907091</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25">
      <c r="E552" s="129"/>
      <c r="F552" s="2" t="s">
        <v>927</v>
      </c>
      <c r="G552" t="s">
        <v>251</v>
      </c>
      <c r="J552" s="148">
        <f>J71</f>
        <v>0</v>
      </c>
      <c r="K552" s="148">
        <f t="shared" ref="K552:Y552" si="172">K71</f>
        <v>0</v>
      </c>
      <c r="L552" s="148">
        <f t="shared" si="172"/>
        <v>0</v>
      </c>
      <c r="M552" s="148">
        <f t="shared" si="172"/>
        <v>0</v>
      </c>
      <c r="N552" s="148">
        <f t="shared" si="172"/>
        <v>209089.92052076876</v>
      </c>
      <c r="O552" s="148">
        <f t="shared" si="172"/>
        <v>20989.350003962496</v>
      </c>
      <c r="P552" s="148">
        <f t="shared" si="172"/>
        <v>109776.54037156513</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25">
      <c r="E553" s="129"/>
      <c r="F553" s="2" t="s">
        <v>928</v>
      </c>
      <c r="G553" t="s">
        <v>251</v>
      </c>
      <c r="J553" s="148">
        <f>J80</f>
        <v>0</v>
      </c>
      <c r="K553" s="148">
        <f t="shared" ref="K553:Y553" si="173">K80</f>
        <v>0</v>
      </c>
      <c r="L553" s="148">
        <f t="shared" si="173"/>
        <v>0</v>
      </c>
      <c r="M553" s="148">
        <f t="shared" si="173"/>
        <v>0</v>
      </c>
      <c r="N553" s="148">
        <f t="shared" si="173"/>
        <v>263936.77954765828</v>
      </c>
      <c r="O553" s="148">
        <f t="shared" si="173"/>
        <v>51384.079521085798</v>
      </c>
      <c r="P553" s="148">
        <f t="shared" si="173"/>
        <v>229387.05456338989</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25">
      <c r="E554" s="129"/>
      <c r="F554" s="2" t="s">
        <v>930</v>
      </c>
      <c r="G554" t="s">
        <v>251</v>
      </c>
      <c r="J554" s="149">
        <f>J89</f>
        <v>0</v>
      </c>
      <c r="K554" s="149">
        <f t="shared" ref="K554:Y554" si="174">K89</f>
        <v>0</v>
      </c>
      <c r="L554" s="149">
        <f t="shared" si="174"/>
        <v>0</v>
      </c>
      <c r="M554" s="149">
        <f t="shared" si="174"/>
        <v>0</v>
      </c>
      <c r="N554" s="149">
        <f t="shared" si="174"/>
        <v>200020.16249079138</v>
      </c>
      <c r="O554" s="149">
        <f t="shared" si="174"/>
        <v>79194.96827633612</v>
      </c>
      <c r="P554" s="149">
        <f t="shared" si="174"/>
        <v>185918.38503155162</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25">
      <c r="E555" s="129"/>
      <c r="F555" s="2" t="s">
        <v>929</v>
      </c>
      <c r="G555" t="s">
        <v>251</v>
      </c>
      <c r="J555" s="149">
        <f>J98</f>
        <v>0</v>
      </c>
      <c r="K555" s="149">
        <f t="shared" ref="K555:Y555" si="175">K98</f>
        <v>0</v>
      </c>
      <c r="L555" s="149">
        <f t="shared" si="175"/>
        <v>0</v>
      </c>
      <c r="M555" s="149">
        <f t="shared" si="175"/>
        <v>0</v>
      </c>
      <c r="N555" s="149">
        <f t="shared" si="175"/>
        <v>172872.07566471983</v>
      </c>
      <c r="O555" s="149">
        <f t="shared" si="175"/>
        <v>225197.40466775131</v>
      </c>
      <c r="P555" s="149">
        <f t="shared" si="175"/>
        <v>412552.31506201811</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25">
      <c r="E556" s="118" t="s">
        <v>252</v>
      </c>
      <c r="F556" s="2"/>
      <c r="J556" s="201"/>
      <c r="K556" s="201"/>
      <c r="L556" s="201"/>
      <c r="M556" s="201"/>
      <c r="N556" s="201"/>
      <c r="O556" s="201"/>
      <c r="P556" s="201"/>
      <c r="Q556" s="201"/>
      <c r="R556" s="201"/>
      <c r="S556" s="201"/>
      <c r="T556" s="201"/>
      <c r="U556" s="201"/>
      <c r="V556" s="201"/>
      <c r="W556" s="201"/>
      <c r="X556" s="201"/>
      <c r="Y556" s="201"/>
      <c r="AQ556" s="3"/>
    </row>
    <row r="557" spans="5:43" x14ac:dyDescent="0.25">
      <c r="E557" s="129"/>
      <c r="F557" s="2" t="s">
        <v>926</v>
      </c>
      <c r="G557" t="s">
        <v>251</v>
      </c>
      <c r="J557" s="150">
        <f>J63</f>
        <v>0</v>
      </c>
      <c r="K557" s="150">
        <f t="shared" ref="K557:Y557" si="176">K63</f>
        <v>0</v>
      </c>
      <c r="L557" s="150">
        <f t="shared" si="176"/>
        <v>0</v>
      </c>
      <c r="M557" s="150">
        <f t="shared" si="176"/>
        <v>0</v>
      </c>
      <c r="N557" s="150">
        <f t="shared" si="176"/>
        <v>190.2821917808219</v>
      </c>
      <c r="O557" s="150">
        <f t="shared" si="176"/>
        <v>22.958904109589042</v>
      </c>
      <c r="P557" s="150">
        <f t="shared" si="176"/>
        <v>5912.7863013698634</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25">
      <c r="E558" s="129"/>
      <c r="F558" s="2" t="s">
        <v>927</v>
      </c>
      <c r="G558" t="s">
        <v>251</v>
      </c>
      <c r="J558" s="148">
        <f>J72</f>
        <v>0</v>
      </c>
      <c r="K558" s="148">
        <f t="shared" ref="K558:Y558" si="177">K72</f>
        <v>0</v>
      </c>
      <c r="L558" s="148">
        <f t="shared" si="177"/>
        <v>0</v>
      </c>
      <c r="M558" s="148">
        <f t="shared" si="177"/>
        <v>0</v>
      </c>
      <c r="N558" s="148">
        <f t="shared" si="177"/>
        <v>6016.9356846772953</v>
      </c>
      <c r="O558" s="148">
        <f t="shared" si="177"/>
        <v>255.34567876429412</v>
      </c>
      <c r="P558" s="148">
        <f t="shared" si="177"/>
        <v>715.30805909984042</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25">
      <c r="E559" s="129"/>
      <c r="F559" s="2" t="s">
        <v>928</v>
      </c>
      <c r="G559" t="s">
        <v>251</v>
      </c>
      <c r="J559" s="148">
        <f>J81</f>
        <v>0</v>
      </c>
      <c r="K559" s="148">
        <f t="shared" ref="K559:Y559" si="178">K81</f>
        <v>0</v>
      </c>
      <c r="L559" s="148">
        <f t="shared" si="178"/>
        <v>0</v>
      </c>
      <c r="M559" s="148">
        <f t="shared" si="178"/>
        <v>0</v>
      </c>
      <c r="N559" s="148">
        <f t="shared" si="178"/>
        <v>7595.2519538184324</v>
      </c>
      <c r="O559" s="148">
        <f t="shared" si="178"/>
        <v>625.11238606784434</v>
      </c>
      <c r="P559" s="148">
        <f t="shared" si="178"/>
        <v>1494.6946608719054</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25">
      <c r="E560" s="129"/>
      <c r="F560" s="2" t="s">
        <v>930</v>
      </c>
      <c r="G560" t="s">
        <v>251</v>
      </c>
      <c r="J560" s="149">
        <f>J90</f>
        <v>0</v>
      </c>
      <c r="K560" s="149">
        <f t="shared" ref="K560:Y560" si="179">K90</f>
        <v>0</v>
      </c>
      <c r="L560" s="149">
        <f t="shared" si="179"/>
        <v>0</v>
      </c>
      <c r="M560" s="149">
        <f t="shared" si="179"/>
        <v>0</v>
      </c>
      <c r="N560" s="149">
        <f t="shared" si="179"/>
        <v>5755.9372080121384</v>
      </c>
      <c r="O560" s="149">
        <f t="shared" si="179"/>
        <v>963.44541043053403</v>
      </c>
      <c r="P560" s="149">
        <f t="shared" si="179"/>
        <v>1211.4511779817706</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25">
      <c r="E561" s="129"/>
      <c r="F561" s="2" t="s">
        <v>929</v>
      </c>
      <c r="G561" t="s">
        <v>251</v>
      </c>
      <c r="J561" s="149">
        <f>J99</f>
        <v>0</v>
      </c>
      <c r="K561" s="149">
        <f t="shared" ref="K561:Y561" si="180">K99</f>
        <v>0</v>
      </c>
      <c r="L561" s="149">
        <f t="shared" si="180"/>
        <v>0</v>
      </c>
      <c r="M561" s="149">
        <f t="shared" si="180"/>
        <v>0</v>
      </c>
      <c r="N561" s="149">
        <f t="shared" si="180"/>
        <v>4974.7025507524068</v>
      </c>
      <c r="O561" s="149">
        <f t="shared" si="180"/>
        <v>2739.6362507647245</v>
      </c>
      <c r="P561" s="149">
        <f t="shared" si="180"/>
        <v>2688.2063760190863</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25">
      <c r="E562" s="129" t="s">
        <v>253</v>
      </c>
      <c r="F562" s="2"/>
      <c r="J562" s="201"/>
      <c r="K562" s="201"/>
      <c r="L562" s="201"/>
      <c r="M562" s="201"/>
      <c r="N562" s="201"/>
      <c r="O562" s="201"/>
      <c r="P562" s="201"/>
      <c r="Q562" s="201"/>
      <c r="R562" s="201"/>
      <c r="S562" s="201"/>
      <c r="T562" s="201"/>
      <c r="U562" s="201"/>
      <c r="V562" s="201"/>
      <c r="W562" s="201"/>
      <c r="X562" s="201"/>
      <c r="Y562" s="201"/>
      <c r="AQ562" s="3"/>
    </row>
    <row r="563" spans="4:43" x14ac:dyDescent="0.25">
      <c r="E563" s="129"/>
      <c r="F563" s="2" t="s">
        <v>926</v>
      </c>
      <c r="G563" t="s">
        <v>254</v>
      </c>
      <c r="J563" s="150">
        <f>J64</f>
        <v>0</v>
      </c>
      <c r="K563" s="150">
        <f t="shared" ref="K563:Y563" si="181">K64</f>
        <v>0</v>
      </c>
      <c r="L563" s="150">
        <f t="shared" si="181"/>
        <v>0</v>
      </c>
      <c r="M563" s="150">
        <f t="shared" si="181"/>
        <v>0</v>
      </c>
      <c r="N563" s="150">
        <f t="shared" si="181"/>
        <v>381.02899999999994</v>
      </c>
      <c r="O563" s="150">
        <f t="shared" si="181"/>
        <v>146.43099999999998</v>
      </c>
      <c r="P563" s="150">
        <f t="shared" si="181"/>
        <v>4654.5249999999996</v>
      </c>
      <c r="Q563" s="150">
        <f t="shared" si="181"/>
        <v>0</v>
      </c>
      <c r="R563" s="150">
        <f t="shared" si="181"/>
        <v>0</v>
      </c>
      <c r="S563" s="150">
        <f t="shared" si="181"/>
        <v>0</v>
      </c>
      <c r="T563" s="150">
        <f t="shared" si="181"/>
        <v>6042.679000000001</v>
      </c>
      <c r="U563" s="150">
        <f t="shared" si="181"/>
        <v>0</v>
      </c>
      <c r="V563" s="150">
        <f t="shared" si="181"/>
        <v>0</v>
      </c>
      <c r="W563" s="150">
        <f t="shared" si="181"/>
        <v>0</v>
      </c>
      <c r="X563" s="150">
        <f t="shared" si="181"/>
        <v>8398.768</v>
      </c>
      <c r="Y563" s="150">
        <f t="shared" si="181"/>
        <v>0</v>
      </c>
      <c r="AQ563" s="3"/>
    </row>
    <row r="564" spans="4:43" x14ac:dyDescent="0.25">
      <c r="E564" s="129"/>
      <c r="F564" s="2" t="s">
        <v>927</v>
      </c>
      <c r="G564" t="s">
        <v>254</v>
      </c>
      <c r="J564" s="148">
        <f>J73</f>
        <v>0</v>
      </c>
      <c r="K564" s="148">
        <f t="shared" ref="K564:Y564" si="182">K73</f>
        <v>0</v>
      </c>
      <c r="L564" s="148">
        <f t="shared" si="182"/>
        <v>0</v>
      </c>
      <c r="M564" s="148">
        <f t="shared" si="182"/>
        <v>0</v>
      </c>
      <c r="N564" s="148">
        <f t="shared" si="182"/>
        <v>33282.248170907609</v>
      </c>
      <c r="O564" s="148">
        <f t="shared" si="182"/>
        <v>4331.7769063989854</v>
      </c>
      <c r="P564" s="148">
        <f t="shared" si="182"/>
        <v>19591.499015199184</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25">
      <c r="E565" s="129"/>
      <c r="F565" s="2" t="s">
        <v>928</v>
      </c>
      <c r="G565" t="s">
        <v>254</v>
      </c>
      <c r="J565" s="148">
        <f>J82</f>
        <v>0</v>
      </c>
      <c r="K565" s="148">
        <f t="shared" ref="K565:Y565" si="183">K82</f>
        <v>0</v>
      </c>
      <c r="L565" s="148">
        <f t="shared" si="183"/>
        <v>0</v>
      </c>
      <c r="M565" s="148">
        <f t="shared" si="183"/>
        <v>0</v>
      </c>
      <c r="N565" s="148">
        <f t="shared" si="183"/>
        <v>28794.470795667741</v>
      </c>
      <c r="O565" s="148">
        <f t="shared" si="183"/>
        <v>7943.3523557159006</v>
      </c>
      <c r="P565" s="148">
        <f t="shared" si="183"/>
        <v>36134.16133305386</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25">
      <c r="E566" s="129"/>
      <c r="F566" s="2" t="s">
        <v>930</v>
      </c>
      <c r="G566" t="s">
        <v>254</v>
      </c>
      <c r="J566" s="149">
        <f>J91</f>
        <v>0</v>
      </c>
      <c r="K566" s="149">
        <f t="shared" ref="K566:Y566" si="184">K91</f>
        <v>0</v>
      </c>
      <c r="L566" s="149">
        <f t="shared" si="184"/>
        <v>0</v>
      </c>
      <c r="M566" s="149">
        <f t="shared" si="184"/>
        <v>0</v>
      </c>
      <c r="N566" s="149">
        <f t="shared" si="184"/>
        <v>20681.793368085051</v>
      </c>
      <c r="O566" s="149">
        <f t="shared" si="184"/>
        <v>12072.920522930024</v>
      </c>
      <c r="P566" s="149">
        <f t="shared" si="184"/>
        <v>33321.075998222761</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25">
      <c r="E567" s="120"/>
      <c r="F567" s="202" t="s">
        <v>929</v>
      </c>
      <c r="G567" s="96" t="s">
        <v>254</v>
      </c>
      <c r="H567" s="96"/>
      <c r="I567" s="96"/>
      <c r="J567" s="148">
        <f>J100</f>
        <v>0</v>
      </c>
      <c r="K567" s="148">
        <f t="shared" ref="K567:Y567" si="185">K100</f>
        <v>0</v>
      </c>
      <c r="L567" s="148">
        <f t="shared" si="185"/>
        <v>0</v>
      </c>
      <c r="M567" s="148">
        <f t="shared" si="185"/>
        <v>0</v>
      </c>
      <c r="N567" s="148">
        <f t="shared" si="185"/>
        <v>17057.034665339608</v>
      </c>
      <c r="O567" s="148">
        <f t="shared" si="185"/>
        <v>34562.429214955082</v>
      </c>
      <c r="P567" s="148">
        <f t="shared" si="185"/>
        <v>58447.68765352419</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25">
      <c r="AQ568" s="3"/>
    </row>
    <row r="569" spans="4:43" x14ac:dyDescent="0.25">
      <c r="D569" s="75" t="s">
        <v>1079</v>
      </c>
      <c r="AQ569" s="3"/>
    </row>
    <row r="570" spans="4:43" x14ac:dyDescent="0.25">
      <c r="E570" s="116" t="s">
        <v>247</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25">
      <c r="E571" s="129"/>
      <c r="F571" s="2" t="s">
        <v>926</v>
      </c>
      <c r="G571" t="s">
        <v>207</v>
      </c>
      <c r="J571" s="150">
        <f>J105</f>
        <v>0</v>
      </c>
      <c r="K571" s="150">
        <f t="shared" ref="K571:Y571" si="186">K105</f>
        <v>0</v>
      </c>
      <c r="L571" s="150">
        <f t="shared" si="186"/>
        <v>51.692430869477775</v>
      </c>
      <c r="M571" s="150">
        <f t="shared" si="186"/>
        <v>0</v>
      </c>
      <c r="N571" s="150">
        <f t="shared" si="186"/>
        <v>0</v>
      </c>
      <c r="O571" s="150">
        <f t="shared" si="186"/>
        <v>0</v>
      </c>
      <c r="P571" s="150">
        <f t="shared" si="186"/>
        <v>0</v>
      </c>
      <c r="Q571" s="150">
        <f t="shared" si="186"/>
        <v>0</v>
      </c>
      <c r="R571" s="150">
        <f t="shared" si="186"/>
        <v>135.12309960616332</v>
      </c>
      <c r="S571" s="150">
        <f t="shared" si="186"/>
        <v>0</v>
      </c>
      <c r="T571" s="150">
        <f t="shared" si="186"/>
        <v>0</v>
      </c>
      <c r="U571" s="150">
        <f t="shared" si="186"/>
        <v>0</v>
      </c>
      <c r="V571" s="150">
        <f t="shared" si="186"/>
        <v>0</v>
      </c>
      <c r="W571" s="150">
        <f t="shared" si="186"/>
        <v>0</v>
      </c>
      <c r="X571" s="150">
        <f t="shared" si="186"/>
        <v>0</v>
      </c>
      <c r="Y571" s="150">
        <f t="shared" si="186"/>
        <v>0</v>
      </c>
      <c r="AQ571" s="3"/>
    </row>
    <row r="572" spans="4:43" x14ac:dyDescent="0.25">
      <c r="E572" s="129"/>
      <c r="F572" s="2" t="s">
        <v>927</v>
      </c>
      <c r="G572" t="s">
        <v>207</v>
      </c>
      <c r="J572" s="148">
        <f>J114</f>
        <v>4412.0021358793929</v>
      </c>
      <c r="K572" s="148">
        <f t="shared" ref="K572:Y572" si="187">K114</f>
        <v>0</v>
      </c>
      <c r="L572" s="148">
        <f t="shared" si="187"/>
        <v>20.320998460550786</v>
      </c>
      <c r="M572" s="148">
        <f t="shared" si="187"/>
        <v>0</v>
      </c>
      <c r="N572" s="148">
        <f t="shared" si="187"/>
        <v>44.33554237575418</v>
      </c>
      <c r="O572" s="148">
        <f t="shared" si="187"/>
        <v>0</v>
      </c>
      <c r="P572" s="148">
        <f t="shared" si="187"/>
        <v>0</v>
      </c>
      <c r="Q572" s="148">
        <f t="shared" si="187"/>
        <v>3.5402788970786112</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25">
      <c r="E573" s="129"/>
      <c r="F573" s="2" t="s">
        <v>928</v>
      </c>
      <c r="G573" t="s">
        <v>207</v>
      </c>
      <c r="J573" s="148">
        <f>J123</f>
        <v>0</v>
      </c>
      <c r="K573" s="148">
        <f t="shared" ref="K573:Y573" si="188">K123</f>
        <v>0</v>
      </c>
      <c r="L573" s="148">
        <f t="shared" si="188"/>
        <v>13.132501934538336</v>
      </c>
      <c r="M573" s="148">
        <f t="shared" si="188"/>
        <v>0</v>
      </c>
      <c r="N573" s="148">
        <f t="shared" si="188"/>
        <v>207.52325554001433</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25">
      <c r="E574" s="129"/>
      <c r="F574" s="2" t="s">
        <v>930</v>
      </c>
      <c r="G574" t="s">
        <v>207</v>
      </c>
      <c r="J574" s="149">
        <f>J132</f>
        <v>0</v>
      </c>
      <c r="K574" s="149">
        <f t="shared" ref="K574:Y574" si="189">K132</f>
        <v>0</v>
      </c>
      <c r="L574" s="149">
        <f t="shared" si="189"/>
        <v>39.771044721190137</v>
      </c>
      <c r="M574" s="149">
        <f t="shared" si="189"/>
        <v>0</v>
      </c>
      <c r="N574" s="149">
        <f t="shared" si="189"/>
        <v>361.66914295819572</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25">
      <c r="E575" s="129"/>
      <c r="F575" s="2" t="s">
        <v>929</v>
      </c>
      <c r="G575" t="s">
        <v>207</v>
      </c>
      <c r="J575" s="149">
        <f>J141</f>
        <v>0</v>
      </c>
      <c r="K575" s="149">
        <f t="shared" ref="K575:Y575" si="190">K141</f>
        <v>0</v>
      </c>
      <c r="L575" s="149">
        <f t="shared" si="190"/>
        <v>78.185999999999993</v>
      </c>
      <c r="M575" s="149">
        <f t="shared" si="190"/>
        <v>0</v>
      </c>
      <c r="N575" s="149">
        <f t="shared" si="190"/>
        <v>231.60900000000001</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25">
      <c r="E576" s="118" t="s">
        <v>248</v>
      </c>
      <c r="F576" s="2"/>
      <c r="J576" s="201"/>
      <c r="K576" s="201"/>
      <c r="L576" s="201"/>
      <c r="M576" s="201"/>
      <c r="N576" s="201"/>
      <c r="O576" s="201"/>
      <c r="P576" s="201"/>
      <c r="Q576" s="201"/>
      <c r="R576" s="201"/>
      <c r="S576" s="201"/>
      <c r="T576" s="201"/>
      <c r="U576" s="201"/>
      <c r="V576" s="201"/>
      <c r="W576" s="201"/>
      <c r="X576" s="201"/>
      <c r="Y576" s="201"/>
      <c r="AQ576" s="3"/>
    </row>
    <row r="577" spans="5:43" x14ac:dyDescent="0.25">
      <c r="E577" s="129"/>
      <c r="F577" s="2" t="s">
        <v>926</v>
      </c>
      <c r="G577" t="s">
        <v>207</v>
      </c>
      <c r="J577" s="150">
        <f>J106</f>
        <v>0</v>
      </c>
      <c r="K577" s="150">
        <f t="shared" ref="K577:Y577" si="191">K106</f>
        <v>0</v>
      </c>
      <c r="L577" s="150">
        <f t="shared" si="191"/>
        <v>442.11414250627473</v>
      </c>
      <c r="M577" s="150">
        <f t="shared" si="191"/>
        <v>0</v>
      </c>
      <c r="N577" s="150">
        <f t="shared" si="191"/>
        <v>0</v>
      </c>
      <c r="O577" s="150">
        <f t="shared" si="191"/>
        <v>0</v>
      </c>
      <c r="P577" s="150">
        <f t="shared" si="191"/>
        <v>0</v>
      </c>
      <c r="Q577" s="150">
        <f t="shared" si="191"/>
        <v>0</v>
      </c>
      <c r="R577" s="150">
        <f t="shared" si="191"/>
        <v>1233.0122325268569</v>
      </c>
      <c r="S577" s="150">
        <f t="shared" si="191"/>
        <v>0</v>
      </c>
      <c r="T577" s="150">
        <f t="shared" si="191"/>
        <v>0</v>
      </c>
      <c r="U577" s="150">
        <f t="shared" si="191"/>
        <v>0</v>
      </c>
      <c r="V577" s="150">
        <f t="shared" si="191"/>
        <v>0</v>
      </c>
      <c r="W577" s="150">
        <f t="shared" si="191"/>
        <v>0</v>
      </c>
      <c r="X577" s="150">
        <f t="shared" si="191"/>
        <v>0</v>
      </c>
      <c r="Y577" s="150">
        <f t="shared" si="191"/>
        <v>0</v>
      </c>
      <c r="AQ577" s="3"/>
    </row>
    <row r="578" spans="5:43" x14ac:dyDescent="0.25">
      <c r="E578" s="129"/>
      <c r="F578" s="2" t="s">
        <v>927</v>
      </c>
      <c r="G578" t="s">
        <v>207</v>
      </c>
      <c r="J578" s="148">
        <f>J115</f>
        <v>23560.34322446982</v>
      </c>
      <c r="K578" s="148">
        <f t="shared" ref="K578:Y578" si="192">K115</f>
        <v>0</v>
      </c>
      <c r="L578" s="148">
        <f t="shared" si="192"/>
        <v>157.93698075487379</v>
      </c>
      <c r="M578" s="148">
        <f t="shared" si="192"/>
        <v>0</v>
      </c>
      <c r="N578" s="148">
        <f t="shared" si="192"/>
        <v>310.49047756649685</v>
      </c>
      <c r="O578" s="148">
        <f t="shared" si="192"/>
        <v>0</v>
      </c>
      <c r="P578" s="148">
        <f t="shared" si="192"/>
        <v>0</v>
      </c>
      <c r="Q578" s="148">
        <f t="shared" si="192"/>
        <v>54.762000803164575</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25">
      <c r="E579" s="129"/>
      <c r="F579" s="2" t="s">
        <v>928</v>
      </c>
      <c r="G579" t="s">
        <v>207</v>
      </c>
      <c r="J579" s="148">
        <f>J124</f>
        <v>0</v>
      </c>
      <c r="K579" s="148">
        <f t="shared" ref="K579:Y579" si="193">K124</f>
        <v>0</v>
      </c>
      <c r="L579" s="148">
        <f t="shared" si="193"/>
        <v>111.83354950922403</v>
      </c>
      <c r="M579" s="148">
        <f t="shared" si="193"/>
        <v>0</v>
      </c>
      <c r="N579" s="148">
        <f t="shared" si="193"/>
        <v>1478.0079161369983</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25">
      <c r="E580" s="129"/>
      <c r="F580" s="2" t="s">
        <v>930</v>
      </c>
      <c r="G580" t="s">
        <v>207</v>
      </c>
      <c r="J580" s="149">
        <f>J133</f>
        <v>0</v>
      </c>
      <c r="K580" s="149">
        <f t="shared" ref="K580:Y580" si="194">K133</f>
        <v>0</v>
      </c>
      <c r="L580" s="149">
        <f t="shared" si="194"/>
        <v>329.60005765008896</v>
      </c>
      <c r="M580" s="149">
        <f t="shared" si="194"/>
        <v>0</v>
      </c>
      <c r="N580" s="149">
        <f t="shared" si="194"/>
        <v>2411.8183069223987</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25">
      <c r="E581" s="129"/>
      <c r="F581" s="2" t="s">
        <v>929</v>
      </c>
      <c r="G581" t="s">
        <v>207</v>
      </c>
      <c r="J581" s="149">
        <f>J142</f>
        <v>0</v>
      </c>
      <c r="K581" s="149">
        <f t="shared" ref="K581:Y581" si="195">K142</f>
        <v>0</v>
      </c>
      <c r="L581" s="149">
        <f t="shared" si="195"/>
        <v>656.98</v>
      </c>
      <c r="M581" s="149">
        <f t="shared" si="195"/>
        <v>0</v>
      </c>
      <c r="N581" s="149">
        <f t="shared" si="195"/>
        <v>1557.96</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25">
      <c r="E582" s="118" t="s">
        <v>249</v>
      </c>
      <c r="F582" s="2"/>
      <c r="J582" s="201"/>
      <c r="K582" s="201"/>
      <c r="L582" s="201"/>
      <c r="M582" s="201"/>
      <c r="N582" s="201"/>
      <c r="O582" s="201"/>
      <c r="P582" s="201"/>
      <c r="Q582" s="201"/>
      <c r="R582" s="201"/>
      <c r="S582" s="201"/>
      <c r="T582" s="201"/>
      <c r="U582" s="201"/>
      <c r="V582" s="201"/>
      <c r="W582" s="201"/>
      <c r="X582" s="201"/>
      <c r="Y582" s="201"/>
      <c r="AQ582" s="3"/>
    </row>
    <row r="583" spans="5:43" x14ac:dyDescent="0.25">
      <c r="E583" s="129"/>
      <c r="F583" s="2" t="s">
        <v>926</v>
      </c>
      <c r="G583" t="s">
        <v>207</v>
      </c>
      <c r="J583" s="150">
        <f>J107</f>
        <v>0</v>
      </c>
      <c r="K583" s="150">
        <f t="shared" ref="K583:Y583" si="196">K107</f>
        <v>0</v>
      </c>
      <c r="L583" s="150">
        <f t="shared" si="196"/>
        <v>329.96533050226304</v>
      </c>
      <c r="M583" s="150">
        <f t="shared" si="196"/>
        <v>0</v>
      </c>
      <c r="N583" s="150">
        <f t="shared" si="196"/>
        <v>0</v>
      </c>
      <c r="O583" s="150">
        <f t="shared" si="196"/>
        <v>0</v>
      </c>
      <c r="P583" s="150">
        <f t="shared" si="196"/>
        <v>0</v>
      </c>
      <c r="Q583" s="150">
        <f t="shared" si="196"/>
        <v>0</v>
      </c>
      <c r="R583" s="150">
        <f t="shared" si="196"/>
        <v>536.82082476268477</v>
      </c>
      <c r="S583" s="150">
        <f t="shared" si="196"/>
        <v>0</v>
      </c>
      <c r="T583" s="150">
        <f t="shared" si="196"/>
        <v>0</v>
      </c>
      <c r="U583" s="150">
        <f t="shared" si="196"/>
        <v>0</v>
      </c>
      <c r="V583" s="150">
        <f t="shared" si="196"/>
        <v>0</v>
      </c>
      <c r="W583" s="150">
        <f t="shared" si="196"/>
        <v>0</v>
      </c>
      <c r="X583" s="150">
        <f t="shared" si="196"/>
        <v>0</v>
      </c>
      <c r="Y583" s="150">
        <f t="shared" si="196"/>
        <v>0</v>
      </c>
      <c r="AQ583" s="3"/>
    </row>
    <row r="584" spans="5:43" x14ac:dyDescent="0.25">
      <c r="E584" s="129"/>
      <c r="F584" s="2" t="s">
        <v>927</v>
      </c>
      <c r="G584" t="s">
        <v>207</v>
      </c>
      <c r="J584" s="148">
        <f>J116</f>
        <v>24322.859805914686</v>
      </c>
      <c r="K584" s="148">
        <f t="shared" ref="K584:Y584" si="197">K116</f>
        <v>0</v>
      </c>
      <c r="L584" s="148">
        <f t="shared" si="197"/>
        <v>131.34784029174614</v>
      </c>
      <c r="M584" s="148">
        <f t="shared" si="197"/>
        <v>0</v>
      </c>
      <c r="N584" s="148">
        <f t="shared" si="197"/>
        <v>302.06266107949341</v>
      </c>
      <c r="O584" s="148">
        <f t="shared" si="197"/>
        <v>0</v>
      </c>
      <c r="P584" s="148">
        <f t="shared" si="197"/>
        <v>0</v>
      </c>
      <c r="Q584" s="148">
        <f t="shared" si="197"/>
        <v>78.61836209396057</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25">
      <c r="E585" s="129"/>
      <c r="F585" s="2" t="s">
        <v>928</v>
      </c>
      <c r="G585" t="s">
        <v>207</v>
      </c>
      <c r="J585" s="148">
        <f>J125</f>
        <v>0</v>
      </c>
      <c r="K585" s="148">
        <f t="shared" ref="K585:Y585" si="198">K125</f>
        <v>0</v>
      </c>
      <c r="L585" s="148">
        <f t="shared" si="198"/>
        <v>82.843993643226185</v>
      </c>
      <c r="M585" s="148">
        <f t="shared" si="198"/>
        <v>0</v>
      </c>
      <c r="N585" s="148">
        <f t="shared" si="198"/>
        <v>1194.9359803241844</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25">
      <c r="E586" s="129"/>
      <c r="F586" s="2" t="s">
        <v>930</v>
      </c>
      <c r="G586" t="s">
        <v>207</v>
      </c>
      <c r="J586" s="149">
        <f>J134</f>
        <v>0</v>
      </c>
      <c r="K586" s="149">
        <f t="shared" ref="K586:Y586" si="199">K134</f>
        <v>0</v>
      </c>
      <c r="L586" s="149">
        <f t="shared" si="199"/>
        <v>250.75606649996607</v>
      </c>
      <c r="M586" s="149">
        <f t="shared" si="199"/>
        <v>0</v>
      </c>
      <c r="N586" s="149">
        <f t="shared" si="199"/>
        <v>1347.8960152201341</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25">
      <c r="E587" s="129"/>
      <c r="F587" s="2" t="s">
        <v>929</v>
      </c>
      <c r="G587" t="s">
        <v>207</v>
      </c>
      <c r="J587" s="149">
        <f>J143</f>
        <v>0</v>
      </c>
      <c r="K587" s="149">
        <f t="shared" ref="K587:Y587" si="200">K143</f>
        <v>0</v>
      </c>
      <c r="L587" s="149">
        <f t="shared" si="200"/>
        <v>496.58699999999999</v>
      </c>
      <c r="M587" s="149">
        <f t="shared" si="200"/>
        <v>0</v>
      </c>
      <c r="N587" s="149">
        <f t="shared" si="200"/>
        <v>1215.3820000000001</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25">
      <c r="E588" s="118" t="s">
        <v>212</v>
      </c>
      <c r="F588" s="2"/>
      <c r="J588" s="201"/>
      <c r="K588" s="201"/>
      <c r="L588" s="201"/>
      <c r="M588" s="201"/>
      <c r="N588" s="201"/>
      <c r="O588" s="201"/>
      <c r="P588" s="201"/>
      <c r="Q588" s="201"/>
      <c r="R588" s="201"/>
      <c r="S588" s="201"/>
      <c r="T588" s="201"/>
      <c r="U588" s="201"/>
      <c r="V588" s="201"/>
      <c r="W588" s="201"/>
      <c r="X588" s="201"/>
      <c r="Y588" s="201"/>
      <c r="AQ588" s="3"/>
    </row>
    <row r="589" spans="5:43" x14ac:dyDescent="0.25">
      <c r="E589" s="129"/>
      <c r="F589" s="2" t="s">
        <v>926</v>
      </c>
      <c r="G589" t="s">
        <v>212</v>
      </c>
      <c r="J589" s="150">
        <f>J108</f>
        <v>0</v>
      </c>
      <c r="K589" s="150">
        <f t="shared" ref="K589:Y589" si="201">K108</f>
        <v>0</v>
      </c>
      <c r="L589" s="150">
        <f t="shared" si="201"/>
        <v>120.66191919222645</v>
      </c>
      <c r="M589" s="150">
        <f t="shared" si="201"/>
        <v>0</v>
      </c>
      <c r="N589" s="150">
        <f t="shared" si="201"/>
        <v>0</v>
      </c>
      <c r="O589" s="150">
        <f t="shared" si="201"/>
        <v>0</v>
      </c>
      <c r="P589" s="150">
        <f t="shared" si="201"/>
        <v>0</v>
      </c>
      <c r="Q589" s="150">
        <f t="shared" si="201"/>
        <v>0</v>
      </c>
      <c r="R589" s="150">
        <f t="shared" si="201"/>
        <v>0</v>
      </c>
      <c r="S589" s="150">
        <f t="shared" si="201"/>
        <v>0</v>
      </c>
      <c r="T589" s="150">
        <f t="shared" si="201"/>
        <v>0</v>
      </c>
      <c r="U589" s="150">
        <f t="shared" si="201"/>
        <v>0</v>
      </c>
      <c r="V589" s="150">
        <f t="shared" si="201"/>
        <v>0</v>
      </c>
      <c r="W589" s="150">
        <f t="shared" si="201"/>
        <v>0</v>
      </c>
      <c r="X589" s="150">
        <f t="shared" si="201"/>
        <v>0</v>
      </c>
      <c r="Y589" s="150">
        <f t="shared" si="201"/>
        <v>0</v>
      </c>
      <c r="AQ589" s="3"/>
    </row>
    <row r="590" spans="5:43" x14ac:dyDescent="0.25">
      <c r="E590" s="129"/>
      <c r="F590" s="2" t="s">
        <v>927</v>
      </c>
      <c r="G590" t="s">
        <v>212</v>
      </c>
      <c r="J590" s="148">
        <f>J117</f>
        <v>19353.401655970189</v>
      </c>
      <c r="K590" s="148">
        <f t="shared" ref="K590:Y590" si="202">K117</f>
        <v>0</v>
      </c>
      <c r="L590" s="148">
        <f t="shared" si="202"/>
        <v>79.585521169340822</v>
      </c>
      <c r="M590" s="148">
        <f t="shared" si="202"/>
        <v>0</v>
      </c>
      <c r="N590" s="148">
        <f t="shared" si="202"/>
        <v>11.552736943936573</v>
      </c>
      <c r="O590" s="148">
        <f t="shared" si="202"/>
        <v>0</v>
      </c>
      <c r="P590" s="148">
        <f t="shared" si="202"/>
        <v>0</v>
      </c>
      <c r="Q590" s="148">
        <f t="shared" si="202"/>
        <v>0</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25">
      <c r="E591" s="129"/>
      <c r="F591" s="2" t="s">
        <v>928</v>
      </c>
      <c r="G591" t="s">
        <v>212</v>
      </c>
      <c r="J591" s="148">
        <f>J126</f>
        <v>0</v>
      </c>
      <c r="K591" s="148">
        <f t="shared" ref="K591:Y591" si="203">K126</f>
        <v>0</v>
      </c>
      <c r="L591" s="148">
        <f t="shared" si="203"/>
        <v>52.629134966822164</v>
      </c>
      <c r="M591" s="148">
        <f t="shared" si="203"/>
        <v>0</v>
      </c>
      <c r="N591" s="148">
        <f t="shared" si="203"/>
        <v>50.061860090391804</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25">
      <c r="E592" s="129"/>
      <c r="F592" s="2" t="s">
        <v>930</v>
      </c>
      <c r="G592" t="s">
        <v>212</v>
      </c>
      <c r="J592" s="149">
        <f>J135</f>
        <v>0</v>
      </c>
      <c r="K592" s="149">
        <f t="shared" ref="K592:Y592" si="204">K135</f>
        <v>0</v>
      </c>
      <c r="L592" s="149">
        <f t="shared" si="204"/>
        <v>68.032784225404285</v>
      </c>
      <c r="M592" s="149">
        <f t="shared" si="204"/>
        <v>0</v>
      </c>
      <c r="N592" s="149">
        <f t="shared" si="204"/>
        <v>56.480047281467677</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25">
      <c r="E593" s="129"/>
      <c r="F593" s="2" t="s">
        <v>929</v>
      </c>
      <c r="G593" t="s">
        <v>212</v>
      </c>
      <c r="J593" s="149">
        <f>J144</f>
        <v>0</v>
      </c>
      <c r="K593" s="149">
        <f t="shared" ref="K593:Y593" si="205">K144</f>
        <v>0</v>
      </c>
      <c r="L593" s="149">
        <f t="shared" si="205"/>
        <v>79.991780821917814</v>
      </c>
      <c r="M593" s="149">
        <f t="shared" si="205"/>
        <v>0</v>
      </c>
      <c r="N593" s="149">
        <f t="shared" si="205"/>
        <v>11.482191780821918</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25">
      <c r="E594" s="118" t="s">
        <v>250</v>
      </c>
      <c r="F594" s="2"/>
      <c r="J594" s="201"/>
      <c r="K594" s="201"/>
      <c r="L594" s="201"/>
      <c r="M594" s="201"/>
      <c r="N594" s="201"/>
      <c r="O594" s="201"/>
      <c r="P594" s="201"/>
      <c r="Q594" s="201"/>
      <c r="R594" s="201"/>
      <c r="S594" s="201"/>
      <c r="T594" s="201"/>
      <c r="U594" s="201"/>
      <c r="V594" s="201"/>
      <c r="W594" s="201"/>
      <c r="X594" s="201"/>
      <c r="Y594" s="201"/>
      <c r="AQ594" s="3"/>
    </row>
    <row r="595" spans="5:43" x14ac:dyDescent="0.25">
      <c r="E595" s="129"/>
      <c r="F595" s="2" t="s">
        <v>926</v>
      </c>
      <c r="G595" t="s">
        <v>251</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25">
      <c r="E596" s="129"/>
      <c r="F596" s="2" t="s">
        <v>927</v>
      </c>
      <c r="G596" t="s">
        <v>251</v>
      </c>
      <c r="J596" s="148">
        <f>J118</f>
        <v>0</v>
      </c>
      <c r="K596" s="148">
        <f t="shared" ref="K596:Y596" si="207">K118</f>
        <v>0</v>
      </c>
      <c r="L596" s="148">
        <f t="shared" si="207"/>
        <v>0</v>
      </c>
      <c r="M596" s="148">
        <f t="shared" si="207"/>
        <v>0</v>
      </c>
      <c r="N596" s="148">
        <f t="shared" si="207"/>
        <v>765.04791317624438</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25">
      <c r="E597" s="129"/>
      <c r="F597" s="2" t="s">
        <v>928</v>
      </c>
      <c r="G597" t="s">
        <v>251</v>
      </c>
      <c r="J597" s="148">
        <f>J127</f>
        <v>0</v>
      </c>
      <c r="K597" s="148">
        <f t="shared" ref="K597:Y597" si="208">K127</f>
        <v>0</v>
      </c>
      <c r="L597" s="148">
        <f t="shared" si="208"/>
        <v>0</v>
      </c>
      <c r="M597" s="148">
        <f t="shared" si="208"/>
        <v>0</v>
      </c>
      <c r="N597" s="148">
        <f t="shared" si="208"/>
        <v>5844.4012561936916</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25">
      <c r="E598" s="129"/>
      <c r="F598" s="2" t="s">
        <v>930</v>
      </c>
      <c r="G598" t="s">
        <v>251</v>
      </c>
      <c r="J598" s="149">
        <f>J136</f>
        <v>0</v>
      </c>
      <c r="K598" s="149">
        <f t="shared" ref="K598:Y598" si="209">K136</f>
        <v>0</v>
      </c>
      <c r="L598" s="149">
        <f t="shared" si="209"/>
        <v>0</v>
      </c>
      <c r="M598" s="149">
        <f t="shared" si="209"/>
        <v>0</v>
      </c>
      <c r="N598" s="149">
        <f t="shared" si="209"/>
        <v>9768.4809048174811</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25">
      <c r="E599" s="129"/>
      <c r="F599" s="2" t="s">
        <v>929</v>
      </c>
      <c r="G599" t="s">
        <v>251</v>
      </c>
      <c r="J599" s="149">
        <f>J145</f>
        <v>0</v>
      </c>
      <c r="K599" s="149">
        <f t="shared" ref="K599:Y599" si="210">K145</f>
        <v>0</v>
      </c>
      <c r="L599" s="149">
        <f t="shared" si="210"/>
        <v>0</v>
      </c>
      <c r="M599" s="149">
        <f t="shared" si="210"/>
        <v>0</v>
      </c>
      <c r="N599" s="149">
        <f t="shared" si="210"/>
        <v>6538.3150684931506</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25">
      <c r="E600" s="118" t="s">
        <v>252</v>
      </c>
      <c r="F600" s="2"/>
      <c r="J600" s="201"/>
      <c r="K600" s="201"/>
      <c r="L600" s="201"/>
      <c r="M600" s="201"/>
      <c r="N600" s="201"/>
      <c r="O600" s="201"/>
      <c r="P600" s="201"/>
      <c r="Q600" s="201"/>
      <c r="R600" s="201"/>
      <c r="S600" s="201"/>
      <c r="T600" s="201"/>
      <c r="U600" s="201"/>
      <c r="V600" s="201"/>
      <c r="W600" s="201"/>
      <c r="X600" s="201"/>
      <c r="Y600" s="201"/>
      <c r="AQ600" s="3"/>
    </row>
    <row r="601" spans="5:43" x14ac:dyDescent="0.25">
      <c r="E601" s="129"/>
      <c r="F601" s="2" t="s">
        <v>926</v>
      </c>
      <c r="G601" t="s">
        <v>251</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25">
      <c r="E602" s="129"/>
      <c r="F602" s="2" t="s">
        <v>927</v>
      </c>
      <c r="G602" t="s">
        <v>251</v>
      </c>
      <c r="J602" s="148">
        <f>J119</f>
        <v>0</v>
      </c>
      <c r="K602" s="148">
        <f t="shared" ref="K602:Y602" si="212">K119</f>
        <v>0</v>
      </c>
      <c r="L602" s="148">
        <f t="shared" si="212"/>
        <v>0</v>
      </c>
      <c r="M602" s="148">
        <f t="shared" si="212"/>
        <v>0</v>
      </c>
      <c r="N602" s="148">
        <f t="shared" si="212"/>
        <v>32.831877260100747</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25">
      <c r="E603" s="129"/>
      <c r="F603" s="2" t="s">
        <v>928</v>
      </c>
      <c r="G603" t="s">
        <v>251</v>
      </c>
      <c r="J603" s="148">
        <f>J128</f>
        <v>0</v>
      </c>
      <c r="K603" s="148">
        <f t="shared" ref="K603:Y603" si="213">K128</f>
        <v>0</v>
      </c>
      <c r="L603" s="148">
        <f t="shared" si="213"/>
        <v>0</v>
      </c>
      <c r="M603" s="148">
        <f t="shared" si="213"/>
        <v>0</v>
      </c>
      <c r="N603" s="148">
        <f t="shared" si="213"/>
        <v>0</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25">
      <c r="E604" s="129"/>
      <c r="F604" s="2" t="s">
        <v>930</v>
      </c>
      <c r="G604" t="s">
        <v>251</v>
      </c>
      <c r="J604" s="149">
        <f>J137</f>
        <v>0</v>
      </c>
      <c r="K604" s="149">
        <f t="shared" ref="K604:Y604" si="214">K137</f>
        <v>0</v>
      </c>
      <c r="L604" s="149">
        <f t="shared" si="214"/>
        <v>0</v>
      </c>
      <c r="M604" s="149">
        <f t="shared" si="214"/>
        <v>0</v>
      </c>
      <c r="N604" s="149">
        <f t="shared" si="214"/>
        <v>98.103162338540002</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25">
      <c r="E605" s="129"/>
      <c r="F605" s="2" t="s">
        <v>929</v>
      </c>
      <c r="G605" t="s">
        <v>251</v>
      </c>
      <c r="J605" s="149">
        <f>J146</f>
        <v>0</v>
      </c>
      <c r="K605" s="149">
        <f t="shared" ref="K605:Y605" si="215">K146</f>
        <v>0</v>
      </c>
      <c r="L605" s="149">
        <f t="shared" si="215"/>
        <v>0</v>
      </c>
      <c r="M605" s="149">
        <f t="shared" si="215"/>
        <v>0</v>
      </c>
      <c r="N605" s="149">
        <f t="shared" si="215"/>
        <v>0.42955710508269518</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25">
      <c r="E606" s="129" t="s">
        <v>253</v>
      </c>
      <c r="F606" s="2"/>
      <c r="J606" s="201"/>
      <c r="K606" s="201"/>
      <c r="L606" s="201"/>
      <c r="M606" s="201"/>
      <c r="N606" s="201"/>
      <c r="O606" s="201"/>
      <c r="P606" s="201"/>
      <c r="Q606" s="201"/>
      <c r="R606" s="201"/>
      <c r="S606" s="201"/>
      <c r="T606" s="201"/>
      <c r="U606" s="201"/>
      <c r="V606" s="201"/>
      <c r="W606" s="201"/>
      <c r="X606" s="201"/>
      <c r="Y606" s="201"/>
      <c r="AQ606" s="3"/>
    </row>
    <row r="607" spans="5:43" x14ac:dyDescent="0.25">
      <c r="E607" s="129"/>
      <c r="F607" s="2" t="s">
        <v>926</v>
      </c>
      <c r="G607" t="s">
        <v>254</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0</v>
      </c>
      <c r="U607" s="150">
        <f t="shared" si="216"/>
        <v>0</v>
      </c>
      <c r="V607" s="150">
        <f t="shared" si="216"/>
        <v>0</v>
      </c>
      <c r="W607" s="150">
        <f t="shared" si="216"/>
        <v>0</v>
      </c>
      <c r="X607" s="150">
        <f t="shared" si="216"/>
        <v>0</v>
      </c>
      <c r="Y607" s="150">
        <f t="shared" si="216"/>
        <v>0</v>
      </c>
      <c r="AQ607" s="3"/>
    </row>
    <row r="608" spans="5:43" x14ac:dyDescent="0.25">
      <c r="E608" s="129"/>
      <c r="F608" s="2" t="s">
        <v>927</v>
      </c>
      <c r="G608" t="s">
        <v>254</v>
      </c>
      <c r="J608" s="148">
        <f>J120</f>
        <v>0</v>
      </c>
      <c r="K608" s="148">
        <f t="shared" ref="K608:Y608" si="217">K120</f>
        <v>0</v>
      </c>
      <c r="L608" s="148">
        <f t="shared" si="217"/>
        <v>0</v>
      </c>
      <c r="M608" s="148">
        <f t="shared" si="217"/>
        <v>0</v>
      </c>
      <c r="N608" s="148">
        <f t="shared" si="217"/>
        <v>74.458303748948666</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25">
      <c r="E609" s="129"/>
      <c r="F609" s="2" t="s">
        <v>928</v>
      </c>
      <c r="G609" t="s">
        <v>254</v>
      </c>
      <c r="J609" s="148">
        <f>J129</f>
        <v>0</v>
      </c>
      <c r="K609" s="148">
        <f t="shared" ref="K609:Y609" si="218">K129</f>
        <v>0</v>
      </c>
      <c r="L609" s="148">
        <f t="shared" si="218"/>
        <v>0</v>
      </c>
      <c r="M609" s="148">
        <f t="shared" si="218"/>
        <v>0</v>
      </c>
      <c r="N609" s="148">
        <f t="shared" si="218"/>
        <v>372.87674036583576</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25">
      <c r="E610" s="129"/>
      <c r="F610" s="2" t="s">
        <v>930</v>
      </c>
      <c r="G610" t="s">
        <v>254</v>
      </c>
      <c r="J610" s="149">
        <f>J138</f>
        <v>0</v>
      </c>
      <c r="K610" s="149">
        <f t="shared" ref="K610:Y610" si="219">K138</f>
        <v>0</v>
      </c>
      <c r="L610" s="149">
        <f t="shared" si="219"/>
        <v>0</v>
      </c>
      <c r="M610" s="149">
        <f t="shared" si="219"/>
        <v>0</v>
      </c>
      <c r="N610" s="149">
        <f t="shared" si="219"/>
        <v>254.42933667479551</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25">
      <c r="E611" s="120"/>
      <c r="F611" s="202" t="s">
        <v>929</v>
      </c>
      <c r="G611" s="96" t="s">
        <v>254</v>
      </c>
      <c r="H611" s="96"/>
      <c r="I611" s="96"/>
      <c r="J611" s="148">
        <f>J147</f>
        <v>0</v>
      </c>
      <c r="K611" s="148">
        <f t="shared" ref="K611:Y611" si="220">K147</f>
        <v>0</v>
      </c>
      <c r="L611" s="148">
        <f t="shared" si="220"/>
        <v>0</v>
      </c>
      <c r="M611" s="148">
        <f t="shared" si="220"/>
        <v>0</v>
      </c>
      <c r="N611" s="148">
        <f t="shared" si="220"/>
        <v>561.73322191689988</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25">
      <c r="AQ612" s="3"/>
    </row>
    <row r="613" spans="4:43" x14ac:dyDescent="0.25">
      <c r="D613" s="75" t="s">
        <v>1080</v>
      </c>
      <c r="AQ613" s="3"/>
    </row>
    <row r="614" spans="4:43" x14ac:dyDescent="0.25">
      <c r="E614" s="116" t="s">
        <v>247</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25">
      <c r="E615" s="129"/>
      <c r="F615" s="2" t="s">
        <v>926</v>
      </c>
      <c r="G615" t="s">
        <v>207</v>
      </c>
      <c r="J615" s="150">
        <f>J152</f>
        <v>0</v>
      </c>
      <c r="K615" s="150">
        <f t="shared" ref="K615:Y615" si="221">K152</f>
        <v>0</v>
      </c>
      <c r="L615" s="150">
        <f t="shared" si="221"/>
        <v>70.985493546545925</v>
      </c>
      <c r="M615" s="150">
        <f t="shared" si="221"/>
        <v>0</v>
      </c>
      <c r="N615" s="150">
        <f t="shared" si="221"/>
        <v>12.045770896969415</v>
      </c>
      <c r="O615" s="150">
        <f t="shared" si="221"/>
        <v>0</v>
      </c>
      <c r="P615" s="150">
        <f t="shared" si="221"/>
        <v>0</v>
      </c>
      <c r="Q615" s="150">
        <f t="shared" si="221"/>
        <v>0</v>
      </c>
      <c r="R615" s="150">
        <f t="shared" si="221"/>
        <v>288.39483167076304</v>
      </c>
      <c r="S615" s="150">
        <f t="shared" si="221"/>
        <v>0</v>
      </c>
      <c r="T615" s="150">
        <f t="shared" si="221"/>
        <v>2.3230095129862165</v>
      </c>
      <c r="U615" s="150">
        <f t="shared" si="221"/>
        <v>0</v>
      </c>
      <c r="V615" s="150">
        <f t="shared" si="221"/>
        <v>0</v>
      </c>
      <c r="W615" s="150">
        <f t="shared" si="221"/>
        <v>0</v>
      </c>
      <c r="X615" s="150">
        <f t="shared" si="221"/>
        <v>0</v>
      </c>
      <c r="Y615" s="150">
        <f t="shared" si="221"/>
        <v>0</v>
      </c>
      <c r="AQ615" s="3"/>
    </row>
    <row r="616" spans="4:43" x14ac:dyDescent="0.25">
      <c r="E616" s="129"/>
      <c r="F616" s="2" t="s">
        <v>927</v>
      </c>
      <c r="G616" t="s">
        <v>207</v>
      </c>
      <c r="J616" s="148">
        <f>J161</f>
        <v>13965.52024182292</v>
      </c>
      <c r="K616" s="148">
        <f t="shared" ref="K616:Y616" si="222">K161</f>
        <v>0</v>
      </c>
      <c r="L616" s="148">
        <f t="shared" si="222"/>
        <v>211.0535821228768</v>
      </c>
      <c r="M616" s="148">
        <f t="shared" si="222"/>
        <v>0</v>
      </c>
      <c r="N616" s="148">
        <f t="shared" si="222"/>
        <v>562.08432284698426</v>
      </c>
      <c r="O616" s="148">
        <f t="shared" si="222"/>
        <v>0</v>
      </c>
      <c r="P616" s="148">
        <f t="shared" si="222"/>
        <v>0</v>
      </c>
      <c r="Q616" s="148">
        <f t="shared" si="222"/>
        <v>0</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25">
      <c r="E617" s="129"/>
      <c r="F617" s="2" t="s">
        <v>928</v>
      </c>
      <c r="G617" t="s">
        <v>207</v>
      </c>
      <c r="J617" s="148">
        <f>J170</f>
        <v>0</v>
      </c>
      <c r="K617" s="148">
        <f t="shared" ref="K617:Y617" si="223">K170</f>
        <v>0</v>
      </c>
      <c r="L617" s="148">
        <f t="shared" si="223"/>
        <v>169.76903162227174</v>
      </c>
      <c r="M617" s="148">
        <f t="shared" si="223"/>
        <v>0</v>
      </c>
      <c r="N617" s="148">
        <f t="shared" si="223"/>
        <v>1221.6881531936185</v>
      </c>
      <c r="O617" s="148">
        <f t="shared" si="223"/>
        <v>0.38774383891471487</v>
      </c>
      <c r="P617" s="148">
        <f t="shared" si="223"/>
        <v>222.94135647985203</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25">
      <c r="E618" s="129"/>
      <c r="F618" s="2" t="s">
        <v>930</v>
      </c>
      <c r="G618" t="s">
        <v>207</v>
      </c>
      <c r="J618" s="149">
        <f>J179</f>
        <v>0</v>
      </c>
      <c r="K618" s="149">
        <f t="shared" ref="K618:Y618" si="224">K179</f>
        <v>0</v>
      </c>
      <c r="L618" s="149">
        <f t="shared" si="224"/>
        <v>217.93925999372698</v>
      </c>
      <c r="M618" s="149">
        <f t="shared" si="224"/>
        <v>0</v>
      </c>
      <c r="N618" s="149">
        <f t="shared" si="224"/>
        <v>879.2166259620443</v>
      </c>
      <c r="O618" s="149">
        <f t="shared" si="224"/>
        <v>54.790446415701311</v>
      </c>
      <c r="P618" s="149">
        <f t="shared" si="224"/>
        <v>458.69120612505856</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25">
      <c r="E619" s="129"/>
      <c r="F619" s="2" t="s">
        <v>929</v>
      </c>
      <c r="G619" t="s">
        <v>207</v>
      </c>
      <c r="J619" s="149">
        <f>J188</f>
        <v>0</v>
      </c>
      <c r="K619" s="149">
        <f t="shared" ref="K619:Y619" si="225">K188</f>
        <v>0</v>
      </c>
      <c r="L619" s="149">
        <f t="shared" si="225"/>
        <v>363.416</v>
      </c>
      <c r="M619" s="149">
        <f t="shared" si="225"/>
        <v>0</v>
      </c>
      <c r="N619" s="149">
        <f t="shared" si="225"/>
        <v>3482.2709999999997</v>
      </c>
      <c r="O619" s="149">
        <f t="shared" si="225"/>
        <v>1278.9470000000001</v>
      </c>
      <c r="P619" s="149">
        <f t="shared" si="225"/>
        <v>192.81700000000001</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25">
      <c r="E620" s="118" t="s">
        <v>248</v>
      </c>
      <c r="F620" s="2"/>
      <c r="J620" s="201"/>
      <c r="K620" s="201"/>
      <c r="L620" s="201"/>
      <c r="M620" s="201"/>
      <c r="N620" s="201"/>
      <c r="O620" s="201"/>
      <c r="P620" s="201"/>
      <c r="Q620" s="201"/>
      <c r="R620" s="201"/>
      <c r="S620" s="201"/>
      <c r="T620" s="201"/>
      <c r="U620" s="201"/>
      <c r="V620" s="201"/>
      <c r="W620" s="201"/>
      <c r="X620" s="201"/>
      <c r="Y620" s="201"/>
      <c r="AQ620" s="3"/>
    </row>
    <row r="621" spans="4:43" x14ac:dyDescent="0.25">
      <c r="E621" s="129"/>
      <c r="F621" s="2" t="s">
        <v>926</v>
      </c>
      <c r="G621" t="s">
        <v>207</v>
      </c>
      <c r="J621" s="150">
        <f>J153</f>
        <v>0</v>
      </c>
      <c r="K621" s="150">
        <f t="shared" ref="K621:Y621" si="226">K153</f>
        <v>0</v>
      </c>
      <c r="L621" s="150">
        <f t="shared" si="226"/>
        <v>592.05742416768396</v>
      </c>
      <c r="M621" s="150">
        <f t="shared" si="226"/>
        <v>0</v>
      </c>
      <c r="N621" s="150">
        <f t="shared" si="226"/>
        <v>104.91898137272941</v>
      </c>
      <c r="O621" s="150">
        <f t="shared" si="226"/>
        <v>0</v>
      </c>
      <c r="P621" s="150">
        <f t="shared" si="226"/>
        <v>0</v>
      </c>
      <c r="Q621" s="150">
        <f t="shared" si="226"/>
        <v>0</v>
      </c>
      <c r="R621" s="150">
        <f t="shared" si="226"/>
        <v>2734.4347752387589</v>
      </c>
      <c r="S621" s="150">
        <f t="shared" si="226"/>
        <v>0</v>
      </c>
      <c r="T621" s="150">
        <f t="shared" si="226"/>
        <v>28.767744483149521</v>
      </c>
      <c r="U621" s="150">
        <f t="shared" si="226"/>
        <v>0</v>
      </c>
      <c r="V621" s="150">
        <f t="shared" si="226"/>
        <v>0</v>
      </c>
      <c r="W621" s="150">
        <f t="shared" si="226"/>
        <v>0</v>
      </c>
      <c r="X621" s="150">
        <f t="shared" si="226"/>
        <v>0</v>
      </c>
      <c r="Y621" s="150">
        <f t="shared" si="226"/>
        <v>0</v>
      </c>
      <c r="AQ621" s="3"/>
    </row>
    <row r="622" spans="4:43" x14ac:dyDescent="0.25">
      <c r="E622" s="129"/>
      <c r="F622" s="2" t="s">
        <v>927</v>
      </c>
      <c r="G622" t="s">
        <v>207</v>
      </c>
      <c r="J622" s="148">
        <f>J162</f>
        <v>74417.350985561308</v>
      </c>
      <c r="K622" s="148">
        <f t="shared" ref="K622:Y622" si="227">K162</f>
        <v>0</v>
      </c>
      <c r="L622" s="148">
        <f t="shared" si="227"/>
        <v>1747.4831462086197</v>
      </c>
      <c r="M622" s="148">
        <f t="shared" si="227"/>
        <v>0</v>
      </c>
      <c r="N622" s="148">
        <f t="shared" si="227"/>
        <v>3543.7331850241781</v>
      </c>
      <c r="O622" s="148">
        <f t="shared" si="227"/>
        <v>0</v>
      </c>
      <c r="P622" s="148">
        <f t="shared" si="227"/>
        <v>0</v>
      </c>
      <c r="Q622" s="148">
        <f t="shared" si="227"/>
        <v>0</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25">
      <c r="E623" s="129"/>
      <c r="F623" s="2" t="s">
        <v>928</v>
      </c>
      <c r="G623" t="s">
        <v>207</v>
      </c>
      <c r="J623" s="148">
        <f>J171</f>
        <v>0</v>
      </c>
      <c r="K623" s="148">
        <f t="shared" ref="K623:Y623" si="228">K171</f>
        <v>0</v>
      </c>
      <c r="L623" s="148">
        <f t="shared" si="228"/>
        <v>1418.2264322956496</v>
      </c>
      <c r="M623" s="148">
        <f t="shared" si="228"/>
        <v>0</v>
      </c>
      <c r="N623" s="148">
        <f t="shared" si="228"/>
        <v>8467.1384504198923</v>
      </c>
      <c r="O623" s="148">
        <f t="shared" si="228"/>
        <v>2.4852648185313768</v>
      </c>
      <c r="P623" s="148">
        <f t="shared" si="228"/>
        <v>1768.12828960659</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25">
      <c r="E624" s="129"/>
      <c r="F624" s="2" t="s">
        <v>930</v>
      </c>
      <c r="G624" t="s">
        <v>207</v>
      </c>
      <c r="J624" s="149">
        <f>J180</f>
        <v>0</v>
      </c>
      <c r="K624" s="149">
        <f t="shared" ref="K624:Y624" si="229">K180</f>
        <v>0</v>
      </c>
      <c r="L624" s="149">
        <f t="shared" si="229"/>
        <v>1781.6554912068107</v>
      </c>
      <c r="M624" s="149">
        <f t="shared" si="229"/>
        <v>0</v>
      </c>
      <c r="N624" s="149">
        <f t="shared" si="229"/>
        <v>5849.8864446908874</v>
      </c>
      <c r="O624" s="149">
        <f t="shared" si="229"/>
        <v>301.23743141410893</v>
      </c>
      <c r="P624" s="149">
        <f t="shared" si="229"/>
        <v>2906.1966948994973</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25">
      <c r="E625" s="129"/>
      <c r="F625" s="2" t="s">
        <v>929</v>
      </c>
      <c r="G625" t="s">
        <v>207</v>
      </c>
      <c r="J625" s="149">
        <f>J189</f>
        <v>0</v>
      </c>
      <c r="K625" s="149">
        <f t="shared" ref="K625:Y625" si="230">K189</f>
        <v>0</v>
      </c>
      <c r="L625" s="149">
        <f t="shared" si="230"/>
        <v>2871.8290000000002</v>
      </c>
      <c r="M625" s="149">
        <f t="shared" si="230"/>
        <v>0</v>
      </c>
      <c r="N625" s="149">
        <f t="shared" si="230"/>
        <v>23055.248</v>
      </c>
      <c r="O625" s="149">
        <f t="shared" si="230"/>
        <v>8233.9170000000013</v>
      </c>
      <c r="P625" s="149">
        <f t="shared" si="230"/>
        <v>1277.2540000000001</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25">
      <c r="E626" s="118" t="s">
        <v>249</v>
      </c>
      <c r="F626" s="2"/>
      <c r="J626" s="201"/>
      <c r="K626" s="201"/>
      <c r="L626" s="201"/>
      <c r="M626" s="201"/>
      <c r="N626" s="201"/>
      <c r="O626" s="201"/>
      <c r="P626" s="201"/>
      <c r="Q626" s="201"/>
      <c r="R626" s="201"/>
      <c r="S626" s="201"/>
      <c r="T626" s="201"/>
      <c r="U626" s="201"/>
      <c r="V626" s="201"/>
      <c r="W626" s="201"/>
      <c r="X626" s="201"/>
      <c r="Y626" s="201"/>
      <c r="AQ626" s="3"/>
    </row>
    <row r="627" spans="5:43" x14ac:dyDescent="0.25">
      <c r="E627" s="129"/>
      <c r="F627" s="2" t="s">
        <v>926</v>
      </c>
      <c r="G627" t="s">
        <v>207</v>
      </c>
      <c r="J627" s="150">
        <f>J154</f>
        <v>0</v>
      </c>
      <c r="K627" s="150">
        <f t="shared" ref="K627:Y627" si="231">K154</f>
        <v>0</v>
      </c>
      <c r="L627" s="150">
        <f t="shared" si="231"/>
        <v>475.54692631533351</v>
      </c>
      <c r="M627" s="150">
        <f t="shared" si="231"/>
        <v>0</v>
      </c>
      <c r="N627" s="150">
        <f t="shared" si="231"/>
        <v>64.704865253482339</v>
      </c>
      <c r="O627" s="150">
        <f t="shared" si="231"/>
        <v>0</v>
      </c>
      <c r="P627" s="150">
        <f t="shared" si="231"/>
        <v>0</v>
      </c>
      <c r="Q627" s="150">
        <f t="shared" si="231"/>
        <v>0</v>
      </c>
      <c r="R627" s="150">
        <f t="shared" si="231"/>
        <v>1119.1280628397724</v>
      </c>
      <c r="S627" s="150">
        <f t="shared" si="231"/>
        <v>0</v>
      </c>
      <c r="T627" s="150">
        <f t="shared" si="231"/>
        <v>21.818802192518774</v>
      </c>
      <c r="U627" s="150">
        <f t="shared" si="231"/>
        <v>0</v>
      </c>
      <c r="V627" s="150">
        <f t="shared" si="231"/>
        <v>0</v>
      </c>
      <c r="W627" s="150">
        <f t="shared" si="231"/>
        <v>0</v>
      </c>
      <c r="X627" s="150">
        <f t="shared" si="231"/>
        <v>0</v>
      </c>
      <c r="Y627" s="150">
        <f t="shared" si="231"/>
        <v>0</v>
      </c>
      <c r="AQ627" s="3"/>
    </row>
    <row r="628" spans="5:43" x14ac:dyDescent="0.25">
      <c r="E628" s="129"/>
      <c r="F628" s="2" t="s">
        <v>927</v>
      </c>
      <c r="G628" t="s">
        <v>207</v>
      </c>
      <c r="J628" s="148">
        <f>J163</f>
        <v>76556.398456911411</v>
      </c>
      <c r="K628" s="148">
        <f t="shared" ref="K628:Y628" si="232">K163</f>
        <v>0</v>
      </c>
      <c r="L628" s="148">
        <f t="shared" si="232"/>
        <v>1333.8253788269296</v>
      </c>
      <c r="M628" s="148">
        <f t="shared" si="232"/>
        <v>0</v>
      </c>
      <c r="N628" s="148">
        <f t="shared" si="232"/>
        <v>2921.0587052619221</v>
      </c>
      <c r="O628" s="148">
        <f t="shared" si="232"/>
        <v>0</v>
      </c>
      <c r="P628" s="148">
        <f t="shared" si="232"/>
        <v>0</v>
      </c>
      <c r="Q628" s="148">
        <f t="shared" si="232"/>
        <v>0</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25">
      <c r="E629" s="129"/>
      <c r="F629" s="2" t="s">
        <v>928</v>
      </c>
      <c r="G629" t="s">
        <v>207</v>
      </c>
      <c r="J629" s="148">
        <f>J172</f>
        <v>0</v>
      </c>
      <c r="K629" s="148">
        <f t="shared" ref="K629:Y629" si="233">K172</f>
        <v>0</v>
      </c>
      <c r="L629" s="148">
        <f t="shared" si="233"/>
        <v>1060.2979989450546</v>
      </c>
      <c r="M629" s="148">
        <f t="shared" si="233"/>
        <v>0</v>
      </c>
      <c r="N629" s="148">
        <f t="shared" si="233"/>
        <v>7079.7738942261676</v>
      </c>
      <c r="O629" s="148">
        <f t="shared" si="233"/>
        <v>3.4592126789653053</v>
      </c>
      <c r="P629" s="148">
        <f t="shared" si="233"/>
        <v>1450.7985885421429</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25">
      <c r="E630" s="129"/>
      <c r="F630" s="2" t="s">
        <v>930</v>
      </c>
      <c r="G630" t="s">
        <v>207</v>
      </c>
      <c r="J630" s="149">
        <f>J181</f>
        <v>0</v>
      </c>
      <c r="K630" s="149">
        <f t="shared" ref="K630:Y630" si="234">K181</f>
        <v>0</v>
      </c>
      <c r="L630" s="149">
        <f t="shared" si="234"/>
        <v>1376.5411593478129</v>
      </c>
      <c r="M630" s="149">
        <f t="shared" si="234"/>
        <v>0</v>
      </c>
      <c r="N630" s="149">
        <f t="shared" si="234"/>
        <v>5022.1244925955807</v>
      </c>
      <c r="O630" s="149">
        <f t="shared" si="234"/>
        <v>373.68096625992473</v>
      </c>
      <c r="P630" s="149">
        <f t="shared" si="234"/>
        <v>3538.9172771830781</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25">
      <c r="E631" s="129"/>
      <c r="F631" s="2" t="s">
        <v>929</v>
      </c>
      <c r="G631" t="s">
        <v>207</v>
      </c>
      <c r="J631" s="149">
        <f>J190</f>
        <v>0</v>
      </c>
      <c r="K631" s="149">
        <f t="shared" ref="K631:Y631" si="235">K190</f>
        <v>0</v>
      </c>
      <c r="L631" s="149">
        <f t="shared" si="235"/>
        <v>2256.2660000000001</v>
      </c>
      <c r="M631" s="149">
        <f t="shared" si="235"/>
        <v>0</v>
      </c>
      <c r="N631" s="149">
        <f t="shared" si="235"/>
        <v>21992.912</v>
      </c>
      <c r="O631" s="149">
        <f t="shared" si="235"/>
        <v>6473.2839999999997</v>
      </c>
      <c r="P631" s="149">
        <f t="shared" si="235"/>
        <v>1450.789</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25">
      <c r="E632" s="118" t="s">
        <v>212</v>
      </c>
      <c r="F632" s="2"/>
      <c r="J632" s="201"/>
      <c r="K632" s="201"/>
      <c r="L632" s="201"/>
      <c r="M632" s="201"/>
      <c r="N632" s="201"/>
      <c r="O632" s="201"/>
      <c r="P632" s="201"/>
      <c r="Q632" s="201"/>
      <c r="R632" s="201"/>
      <c r="S632" s="201"/>
      <c r="T632" s="201"/>
      <c r="U632" s="201"/>
      <c r="V632" s="201"/>
      <c r="W632" s="201"/>
      <c r="X632" s="201"/>
      <c r="Y632" s="201"/>
      <c r="AQ632" s="3"/>
    </row>
    <row r="633" spans="5:43" x14ac:dyDescent="0.25">
      <c r="E633" s="129"/>
      <c r="F633" s="2" t="s">
        <v>926</v>
      </c>
      <c r="G633" t="s">
        <v>212</v>
      </c>
      <c r="J633" s="150">
        <f>J155</f>
        <v>0</v>
      </c>
      <c r="K633" s="150">
        <f t="shared" ref="K633:Y633" si="236">K155</f>
        <v>0</v>
      </c>
      <c r="L633" s="150">
        <f t="shared" si="236"/>
        <v>133.49829357437818</v>
      </c>
      <c r="M633" s="150">
        <f t="shared" si="236"/>
        <v>0</v>
      </c>
      <c r="N633" s="150">
        <f t="shared" si="236"/>
        <v>3.850912314645524</v>
      </c>
      <c r="O633" s="150">
        <f t="shared" si="236"/>
        <v>0</v>
      </c>
      <c r="P633" s="150">
        <f t="shared" si="236"/>
        <v>0</v>
      </c>
      <c r="Q633" s="150">
        <f t="shared" si="236"/>
        <v>0</v>
      </c>
      <c r="R633" s="150">
        <f t="shared" si="236"/>
        <v>0</v>
      </c>
      <c r="S633" s="150">
        <f t="shared" si="236"/>
        <v>0</v>
      </c>
      <c r="T633" s="150">
        <f t="shared" si="236"/>
        <v>2.5672748764303495</v>
      </c>
      <c r="U633" s="150">
        <f t="shared" si="236"/>
        <v>0</v>
      </c>
      <c r="V633" s="150">
        <f t="shared" si="236"/>
        <v>0</v>
      </c>
      <c r="W633" s="150">
        <f t="shared" si="236"/>
        <v>0</v>
      </c>
      <c r="X633" s="150">
        <f t="shared" si="236"/>
        <v>0</v>
      </c>
      <c r="Y633" s="150">
        <f t="shared" si="236"/>
        <v>0</v>
      </c>
      <c r="AQ633" s="3"/>
    </row>
    <row r="634" spans="5:43" x14ac:dyDescent="0.25">
      <c r="E634" s="129"/>
      <c r="F634" s="2" t="s">
        <v>927</v>
      </c>
      <c r="G634" t="s">
        <v>212</v>
      </c>
      <c r="J634" s="148">
        <f>J164</f>
        <v>61570.95336142907</v>
      </c>
      <c r="K634" s="148">
        <f t="shared" ref="K634:Y634" si="237">K164</f>
        <v>0</v>
      </c>
      <c r="L634" s="148">
        <f t="shared" si="237"/>
        <v>560.94956050003134</v>
      </c>
      <c r="M634" s="148">
        <f t="shared" si="237"/>
        <v>0</v>
      </c>
      <c r="N634" s="148">
        <f t="shared" si="237"/>
        <v>74.450971416480158</v>
      </c>
      <c r="O634" s="148">
        <f t="shared" si="237"/>
        <v>0</v>
      </c>
      <c r="P634" s="148">
        <f t="shared" si="237"/>
        <v>0</v>
      </c>
      <c r="Q634" s="148">
        <f t="shared" si="237"/>
        <v>0</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25">
      <c r="E635" s="129"/>
      <c r="F635" s="2" t="s">
        <v>928</v>
      </c>
      <c r="G635" t="s">
        <v>212</v>
      </c>
      <c r="J635" s="148">
        <f>J173</f>
        <v>0</v>
      </c>
      <c r="K635" s="148">
        <f t="shared" ref="K635:Y635" si="238">K173</f>
        <v>0</v>
      </c>
      <c r="L635" s="148">
        <f t="shared" si="238"/>
        <v>386.37486890276762</v>
      </c>
      <c r="M635" s="148">
        <f t="shared" si="238"/>
        <v>0</v>
      </c>
      <c r="N635" s="148">
        <f t="shared" si="238"/>
        <v>143.76739308009954</v>
      </c>
      <c r="O635" s="148">
        <f t="shared" si="238"/>
        <v>2.5672748764303495</v>
      </c>
      <c r="P635" s="148">
        <f t="shared" si="238"/>
        <v>3.850912314645524</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25">
      <c r="E636" s="129"/>
      <c r="F636" s="2" t="s">
        <v>930</v>
      </c>
      <c r="G636" t="s">
        <v>212</v>
      </c>
      <c r="J636" s="149">
        <f>J182</f>
        <v>0</v>
      </c>
      <c r="K636" s="149">
        <f t="shared" ref="K636:Y636" si="239">K182</f>
        <v>0</v>
      </c>
      <c r="L636" s="149">
        <f t="shared" si="239"/>
        <v>274.69841177804739</v>
      </c>
      <c r="M636" s="149">
        <f t="shared" si="239"/>
        <v>0</v>
      </c>
      <c r="N636" s="149">
        <f t="shared" si="239"/>
        <v>70.600059101834617</v>
      </c>
      <c r="O636" s="149">
        <f t="shared" si="239"/>
        <v>1.2836374382151747</v>
      </c>
      <c r="P636" s="149">
        <f t="shared" si="239"/>
        <v>5.1345497528606989</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25">
      <c r="E637" s="129"/>
      <c r="F637" s="2" t="s">
        <v>929</v>
      </c>
      <c r="G637" t="s">
        <v>212</v>
      </c>
      <c r="J637" s="149">
        <f>J191</f>
        <v>0</v>
      </c>
      <c r="K637" s="149">
        <f t="shared" ref="K637:Y637" si="240">K191</f>
        <v>0</v>
      </c>
      <c r="L637" s="149">
        <f t="shared" si="240"/>
        <v>122.35616438356165</v>
      </c>
      <c r="M637" s="149">
        <f t="shared" si="240"/>
        <v>0</v>
      </c>
      <c r="N637" s="149">
        <f t="shared" si="240"/>
        <v>103.84931506849315</v>
      </c>
      <c r="O637" s="149">
        <f t="shared" si="240"/>
        <v>28.265753424657536</v>
      </c>
      <c r="P637" s="149">
        <f t="shared" si="240"/>
        <v>2.4136986301369863</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25">
      <c r="E638" s="118" t="s">
        <v>250</v>
      </c>
      <c r="F638" s="2"/>
      <c r="J638" s="201"/>
      <c r="K638" s="201"/>
      <c r="L638" s="201"/>
      <c r="M638" s="201"/>
      <c r="N638" s="201"/>
      <c r="O638" s="201"/>
      <c r="P638" s="201"/>
      <c r="Q638" s="201"/>
      <c r="R638" s="201"/>
      <c r="S638" s="201"/>
      <c r="T638" s="201"/>
      <c r="U638" s="201"/>
      <c r="V638" s="201"/>
      <c r="W638" s="201"/>
      <c r="X638" s="201"/>
      <c r="Y638" s="201"/>
      <c r="AQ638" s="3"/>
    </row>
    <row r="639" spans="5:43" x14ac:dyDescent="0.25">
      <c r="E639" s="129"/>
      <c r="F639" s="2" t="s">
        <v>926</v>
      </c>
      <c r="G639" t="s">
        <v>251</v>
      </c>
      <c r="J639" s="150">
        <f>J156</f>
        <v>0</v>
      </c>
      <c r="K639" s="150">
        <f t="shared" ref="K639:Y639" si="241">K156</f>
        <v>0</v>
      </c>
      <c r="L639" s="150">
        <f t="shared" si="241"/>
        <v>0</v>
      </c>
      <c r="M639" s="150">
        <f t="shared" si="241"/>
        <v>0</v>
      </c>
      <c r="N639" s="150">
        <f t="shared" si="241"/>
        <v>770.18246292910464</v>
      </c>
      <c r="O639" s="150">
        <f t="shared" si="241"/>
        <v>0</v>
      </c>
      <c r="P639" s="150">
        <f t="shared" si="241"/>
        <v>0</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25">
      <c r="E640" s="129"/>
      <c r="F640" s="2" t="s">
        <v>927</v>
      </c>
      <c r="G640" t="s">
        <v>251</v>
      </c>
      <c r="J640" s="148">
        <f>J165</f>
        <v>0</v>
      </c>
      <c r="K640" s="148">
        <f t="shared" ref="K640:Y640" si="242">K165</f>
        <v>0</v>
      </c>
      <c r="L640" s="148">
        <f t="shared" si="242"/>
        <v>0</v>
      </c>
      <c r="M640" s="148">
        <f t="shared" si="242"/>
        <v>0</v>
      </c>
      <c r="N640" s="148">
        <f t="shared" si="242"/>
        <v>4282.2144938858219</v>
      </c>
      <c r="O640" s="148">
        <f t="shared" si="242"/>
        <v>0</v>
      </c>
      <c r="P640" s="148">
        <f t="shared" si="242"/>
        <v>0</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25">
      <c r="E641" s="129"/>
      <c r="F641" s="2" t="s">
        <v>928</v>
      </c>
      <c r="G641" t="s">
        <v>251</v>
      </c>
      <c r="J641" s="148">
        <f>J174</f>
        <v>0</v>
      </c>
      <c r="K641" s="148">
        <f t="shared" ref="K641:Y641" si="243">K174</f>
        <v>0</v>
      </c>
      <c r="L641" s="148">
        <f t="shared" si="243"/>
        <v>0</v>
      </c>
      <c r="M641" s="148">
        <f t="shared" si="243"/>
        <v>0</v>
      </c>
      <c r="N641" s="148">
        <f t="shared" si="243"/>
        <v>19656.340091388967</v>
      </c>
      <c r="O641" s="148">
        <f t="shared" si="243"/>
        <v>355.5675703856034</v>
      </c>
      <c r="P641" s="148">
        <f t="shared" si="243"/>
        <v>3080.7298517164186</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25">
      <c r="E642" s="129"/>
      <c r="F642" s="2" t="s">
        <v>930</v>
      </c>
      <c r="G642" t="s">
        <v>251</v>
      </c>
      <c r="J642" s="149">
        <f>J183</f>
        <v>0</v>
      </c>
      <c r="K642" s="149">
        <f t="shared" ref="K642:Y642" si="244">K183</f>
        <v>0</v>
      </c>
      <c r="L642" s="149">
        <f t="shared" si="244"/>
        <v>0</v>
      </c>
      <c r="M642" s="149">
        <f t="shared" si="244"/>
        <v>0</v>
      </c>
      <c r="N642" s="149">
        <f t="shared" si="244"/>
        <v>13782.415174116331</v>
      </c>
      <c r="O642" s="149">
        <f t="shared" si="244"/>
        <v>263.14567483411082</v>
      </c>
      <c r="P642" s="149">
        <f t="shared" si="244"/>
        <v>6674.9146787189075</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25">
      <c r="E643" s="129"/>
      <c r="F643" s="2" t="s">
        <v>929</v>
      </c>
      <c r="G643" t="s">
        <v>251</v>
      </c>
      <c r="J643" s="149">
        <f>J192</f>
        <v>0</v>
      </c>
      <c r="K643" s="149">
        <f t="shared" ref="K643:Y643" si="245">K192</f>
        <v>0</v>
      </c>
      <c r="L643" s="149">
        <f t="shared" si="245"/>
        <v>0</v>
      </c>
      <c r="M643" s="149">
        <f t="shared" si="245"/>
        <v>0</v>
      </c>
      <c r="N643" s="149">
        <f t="shared" si="245"/>
        <v>56907.356164383564</v>
      </c>
      <c r="O643" s="149">
        <f t="shared" si="245"/>
        <v>20910.413698630138</v>
      </c>
      <c r="P643" s="149">
        <f t="shared" si="245"/>
        <v>9191.0958904109593</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25">
      <c r="E644" s="118" t="s">
        <v>252</v>
      </c>
      <c r="F644" s="2"/>
      <c r="J644" s="201"/>
      <c r="K644" s="201"/>
      <c r="L644" s="201"/>
      <c r="M644" s="201"/>
      <c r="N644" s="201"/>
      <c r="O644" s="201"/>
      <c r="P644" s="201"/>
      <c r="Q644" s="201"/>
      <c r="R644" s="201"/>
      <c r="S644" s="201"/>
      <c r="T644" s="201"/>
      <c r="U644" s="201"/>
      <c r="V644" s="201"/>
      <c r="W644" s="201"/>
      <c r="X644" s="201"/>
      <c r="Y644" s="201"/>
      <c r="AQ644" s="3"/>
    </row>
    <row r="645" spans="5:43" x14ac:dyDescent="0.25">
      <c r="E645" s="129"/>
      <c r="F645" s="2" t="s">
        <v>926</v>
      </c>
      <c r="G645" t="s">
        <v>251</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25">
      <c r="E646" s="129"/>
      <c r="F646" s="2" t="s">
        <v>927</v>
      </c>
      <c r="G646" t="s">
        <v>251</v>
      </c>
      <c r="J646" s="148">
        <f>J166</f>
        <v>0</v>
      </c>
      <c r="K646" s="148">
        <f t="shared" ref="K646:Y646" si="247">K166</f>
        <v>0</v>
      </c>
      <c r="L646" s="148">
        <f t="shared" si="247"/>
        <v>0</v>
      </c>
      <c r="M646" s="148">
        <f t="shared" si="247"/>
        <v>0</v>
      </c>
      <c r="N646" s="148">
        <f t="shared" si="247"/>
        <v>135.48997157803211</v>
      </c>
      <c r="O646" s="148">
        <f t="shared" si="247"/>
        <v>0</v>
      </c>
      <c r="P646" s="148">
        <f t="shared" si="247"/>
        <v>0</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25">
      <c r="E647" s="129"/>
      <c r="F647" s="2" t="s">
        <v>928</v>
      </c>
      <c r="G647" t="s">
        <v>251</v>
      </c>
      <c r="J647" s="148">
        <f>J175</f>
        <v>0</v>
      </c>
      <c r="K647" s="148">
        <f t="shared" ref="K647:Y647" si="248">K175</f>
        <v>0</v>
      </c>
      <c r="L647" s="148">
        <f t="shared" si="248"/>
        <v>0</v>
      </c>
      <c r="M647" s="148">
        <f t="shared" si="248"/>
        <v>0</v>
      </c>
      <c r="N647" s="148">
        <f t="shared" si="248"/>
        <v>8.6985313779245779</v>
      </c>
      <c r="O647" s="148">
        <f t="shared" si="248"/>
        <v>0</v>
      </c>
      <c r="P647" s="148">
        <f t="shared" si="248"/>
        <v>0</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25">
      <c r="E648" s="129"/>
      <c r="F648" s="2" t="s">
        <v>930</v>
      </c>
      <c r="G648" t="s">
        <v>251</v>
      </c>
      <c r="J648" s="149">
        <f>J184</f>
        <v>0</v>
      </c>
      <c r="K648" s="149">
        <f t="shared" ref="K648:Y648" si="249">K184</f>
        <v>0</v>
      </c>
      <c r="L648" s="149">
        <f t="shared" si="249"/>
        <v>0</v>
      </c>
      <c r="M648" s="149">
        <f t="shared" si="249"/>
        <v>0</v>
      </c>
      <c r="N648" s="149">
        <f t="shared" si="249"/>
        <v>36.820882928827466</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25">
      <c r="E649" s="129"/>
      <c r="F649" s="2" t="s">
        <v>929</v>
      </c>
      <c r="G649" t="s">
        <v>251</v>
      </c>
      <c r="J649" s="149">
        <f>J193</f>
        <v>0</v>
      </c>
      <c r="K649" s="149">
        <f t="shared" ref="K649:Y649" si="250">K193</f>
        <v>0</v>
      </c>
      <c r="L649" s="149">
        <f t="shared" si="250"/>
        <v>0</v>
      </c>
      <c r="M649" s="149">
        <f t="shared" si="250"/>
        <v>0</v>
      </c>
      <c r="N649" s="149">
        <f t="shared" si="250"/>
        <v>112.94607990012896</v>
      </c>
      <c r="O649" s="149">
        <f t="shared" si="250"/>
        <v>0</v>
      </c>
      <c r="P649" s="149">
        <f t="shared" si="250"/>
        <v>0</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25">
      <c r="E650" s="129" t="s">
        <v>253</v>
      </c>
      <c r="F650" s="2"/>
      <c r="J650" s="201"/>
      <c r="K650" s="201"/>
      <c r="L650" s="201"/>
      <c r="M650" s="201"/>
      <c r="N650" s="201"/>
      <c r="O650" s="201"/>
      <c r="P650" s="201"/>
      <c r="Q650" s="201"/>
      <c r="R650" s="201"/>
      <c r="S650" s="201"/>
      <c r="T650" s="201"/>
      <c r="U650" s="201"/>
      <c r="V650" s="201"/>
      <c r="W650" s="201"/>
      <c r="X650" s="201"/>
      <c r="Y650" s="201"/>
      <c r="AQ650" s="3"/>
    </row>
    <row r="651" spans="5:43" x14ac:dyDescent="0.25">
      <c r="E651" s="129"/>
      <c r="F651" s="2" t="s">
        <v>926</v>
      </c>
      <c r="G651" t="s">
        <v>254</v>
      </c>
      <c r="J651" s="150">
        <f>J158</f>
        <v>0</v>
      </c>
      <c r="K651" s="150">
        <f t="shared" ref="K651:Y651" si="251">K158</f>
        <v>0</v>
      </c>
      <c r="L651" s="150">
        <f t="shared" si="251"/>
        <v>0</v>
      </c>
      <c r="M651" s="150">
        <f t="shared" si="251"/>
        <v>0</v>
      </c>
      <c r="N651" s="150">
        <f t="shared" si="251"/>
        <v>3.9307738658755791</v>
      </c>
      <c r="O651" s="150">
        <f t="shared" si="251"/>
        <v>0</v>
      </c>
      <c r="P651" s="150">
        <f t="shared" si="251"/>
        <v>0</v>
      </c>
      <c r="Q651" s="150">
        <f t="shared" si="251"/>
        <v>0</v>
      </c>
      <c r="R651" s="150">
        <f t="shared" si="251"/>
        <v>0</v>
      </c>
      <c r="S651" s="150">
        <f t="shared" si="251"/>
        <v>0</v>
      </c>
      <c r="T651" s="150">
        <f t="shared" si="251"/>
        <v>5.8391330320959867</v>
      </c>
      <c r="U651" s="150">
        <f t="shared" si="251"/>
        <v>0</v>
      </c>
      <c r="V651" s="150">
        <f t="shared" si="251"/>
        <v>0</v>
      </c>
      <c r="W651" s="150">
        <f t="shared" si="251"/>
        <v>0</v>
      </c>
      <c r="X651" s="150">
        <f t="shared" si="251"/>
        <v>0</v>
      </c>
      <c r="Y651" s="150">
        <f t="shared" si="251"/>
        <v>0</v>
      </c>
      <c r="AQ651" s="3"/>
    </row>
    <row r="652" spans="5:43" x14ac:dyDescent="0.25">
      <c r="E652" s="129"/>
      <c r="F652" s="2" t="s">
        <v>927</v>
      </c>
      <c r="G652" t="s">
        <v>254</v>
      </c>
      <c r="J652" s="148">
        <f>J167</f>
        <v>0</v>
      </c>
      <c r="K652" s="148">
        <f t="shared" ref="K652:Y652" si="252">K167</f>
        <v>0</v>
      </c>
      <c r="L652" s="148">
        <f t="shared" si="252"/>
        <v>0</v>
      </c>
      <c r="M652" s="148">
        <f t="shared" si="252"/>
        <v>0</v>
      </c>
      <c r="N652" s="148">
        <f t="shared" si="252"/>
        <v>373.10185788891516</v>
      </c>
      <c r="O652" s="148">
        <f t="shared" si="252"/>
        <v>0</v>
      </c>
      <c r="P652" s="148">
        <f t="shared" si="252"/>
        <v>0</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25">
      <c r="E653" s="129"/>
      <c r="F653" s="2" t="s">
        <v>928</v>
      </c>
      <c r="G653" t="s">
        <v>254</v>
      </c>
      <c r="J653" s="148">
        <f>J176</f>
        <v>0</v>
      </c>
      <c r="K653" s="148">
        <f t="shared" ref="K653:Y653" si="253">K176</f>
        <v>0</v>
      </c>
      <c r="L653" s="148">
        <f t="shared" si="253"/>
        <v>0</v>
      </c>
      <c r="M653" s="148">
        <f t="shared" si="253"/>
        <v>0</v>
      </c>
      <c r="N653" s="148">
        <f t="shared" si="253"/>
        <v>1151.9678766385236</v>
      </c>
      <c r="O653" s="148">
        <f t="shared" si="253"/>
        <v>0</v>
      </c>
      <c r="P653" s="148">
        <f t="shared" si="253"/>
        <v>0.47150504326395015</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25">
      <c r="E654" s="129"/>
      <c r="F654" s="2" t="s">
        <v>930</v>
      </c>
      <c r="G654" t="s">
        <v>254</v>
      </c>
      <c r="J654" s="149">
        <f>J185</f>
        <v>0</v>
      </c>
      <c r="K654" s="149">
        <f t="shared" ref="K654:Y654" si="254">K185</f>
        <v>0</v>
      </c>
      <c r="L654" s="149">
        <f t="shared" si="254"/>
        <v>0</v>
      </c>
      <c r="M654" s="149">
        <f t="shared" si="254"/>
        <v>0</v>
      </c>
      <c r="N654" s="149">
        <f t="shared" si="254"/>
        <v>754.33685858150238</v>
      </c>
      <c r="O654" s="149">
        <f t="shared" si="254"/>
        <v>0.6820664859261435</v>
      </c>
      <c r="P654" s="149">
        <f t="shared" si="254"/>
        <v>277.223424074891</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25">
      <c r="E655" s="120"/>
      <c r="F655" s="202" t="s">
        <v>929</v>
      </c>
      <c r="G655" s="96" t="s">
        <v>254</v>
      </c>
      <c r="H655" s="96"/>
      <c r="I655" s="96"/>
      <c r="J655" s="148">
        <f>J194</f>
        <v>0</v>
      </c>
      <c r="K655" s="148">
        <f t="shared" ref="K655:Y655" si="255">K194</f>
        <v>0</v>
      </c>
      <c r="L655" s="148">
        <f t="shared" si="255"/>
        <v>0</v>
      </c>
      <c r="M655" s="148">
        <f t="shared" si="255"/>
        <v>0</v>
      </c>
      <c r="N655" s="148">
        <f t="shared" si="255"/>
        <v>4319.2549914540596</v>
      </c>
      <c r="O655" s="148">
        <f t="shared" si="255"/>
        <v>689.60628538872209</v>
      </c>
      <c r="P655" s="148">
        <f t="shared" si="255"/>
        <v>2.2164755623706265</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25">
      <c r="AQ656" s="3"/>
    </row>
    <row r="657" spans="3:43" x14ac:dyDescent="0.25">
      <c r="C657" s="93" t="str">
        <f ca="1">INDEX('Version control'!$H$41:$H$64,MATCH($A$1,'Version control'!$F$41:$F$64,0),1)&amp;"-K: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25">
      <c r="AQ658" s="3"/>
    </row>
    <row r="659" spans="3:43" x14ac:dyDescent="0.25">
      <c r="D659" s="86" t="s">
        <v>1057</v>
      </c>
      <c r="I659" t="s">
        <v>154</v>
      </c>
      <c r="AA659" t="s">
        <v>1086</v>
      </c>
      <c r="AQ659" s="3"/>
    </row>
    <row r="660" spans="3:43" x14ac:dyDescent="0.25">
      <c r="D660" s="86" t="s">
        <v>1058</v>
      </c>
      <c r="AQ660" s="3"/>
    </row>
    <row r="661" spans="3:43" x14ac:dyDescent="0.25">
      <c r="D661" s="86" t="s">
        <v>1059</v>
      </c>
      <c r="AQ661" s="3"/>
    </row>
    <row r="662" spans="3:43" x14ac:dyDescent="0.25">
      <c r="D662" s="86" t="s">
        <v>1060</v>
      </c>
      <c r="AQ662" s="3"/>
    </row>
    <row r="663" spans="3:43" x14ac:dyDescent="0.25">
      <c r="AQ663" s="3"/>
    </row>
    <row r="664" spans="3:43" x14ac:dyDescent="0.25">
      <c r="E664" s="75" t="s">
        <v>935</v>
      </c>
      <c r="J664" s="203" t="s">
        <v>926</v>
      </c>
      <c r="K664" s="203" t="s">
        <v>931</v>
      </c>
      <c r="L664" s="203" t="s">
        <v>932</v>
      </c>
      <c r="M664" s="203" t="s">
        <v>933</v>
      </c>
      <c r="N664" s="203" t="s">
        <v>934</v>
      </c>
      <c r="AQ664" s="3"/>
    </row>
    <row r="665" spans="3:43" x14ac:dyDescent="0.25">
      <c r="E665" s="75"/>
      <c r="F665" s="95" t="s">
        <v>247</v>
      </c>
      <c r="G665" s="95" t="s">
        <v>167</v>
      </c>
      <c r="H665" s="95"/>
      <c r="I665" s="95"/>
      <c r="J665" s="204">
        <f>'Inputs by customer type'!J169</f>
        <v>4.6685129721709757E-4</v>
      </c>
      <c r="K665" s="204">
        <f>'Inputs by customer type'!K169</f>
        <v>8.0319146683460005E-2</v>
      </c>
      <c r="L665" s="204">
        <f>'Inputs by customer type'!L169</f>
        <v>0.23693226296704442</v>
      </c>
      <c r="M665" s="204">
        <f>'Inputs by customer type'!M169</f>
        <v>0.19342935423954358</v>
      </c>
      <c r="N665" s="204">
        <f>'Inputs by customer type'!N169</f>
        <v>0.48885238481273507</v>
      </c>
      <c r="AQ665" s="3"/>
    </row>
    <row r="666" spans="3:43" x14ac:dyDescent="0.25">
      <c r="E666" s="75"/>
      <c r="F666" t="s">
        <v>248</v>
      </c>
      <c r="G666" t="s">
        <v>167</v>
      </c>
      <c r="J666" s="205">
        <f>'Inputs by customer type'!J170</f>
        <v>4.6455593256526211E-4</v>
      </c>
      <c r="K666" s="205">
        <f>'Inputs by customer type'!K170</f>
        <v>8.0319331131299881E-2</v>
      </c>
      <c r="L666" s="205">
        <f>'Inputs by customer type'!L170</f>
        <v>0.23693280706699948</v>
      </c>
      <c r="M666" s="205">
        <f>'Inputs by customer type'!M170</f>
        <v>0.19342979843782046</v>
      </c>
      <c r="N666" s="205">
        <f>'Inputs by customer type'!N170</f>
        <v>0.488853507431315</v>
      </c>
      <c r="AQ666" s="3"/>
    </row>
    <row r="667" spans="3:43" x14ac:dyDescent="0.25">
      <c r="E667" s="75"/>
      <c r="F667" s="96" t="s">
        <v>249</v>
      </c>
      <c r="G667" s="96" t="s">
        <v>167</v>
      </c>
      <c r="H667" s="96"/>
      <c r="I667" s="96"/>
      <c r="J667" s="206">
        <f>'Inputs by customer type'!J171</f>
        <v>5.7871587022163655E-4</v>
      </c>
      <c r="K667" s="206">
        <f>'Inputs by customer type'!K171</f>
        <v>8.031015761985616E-2</v>
      </c>
      <c r="L667" s="206">
        <f>'Inputs by customer type'!L171</f>
        <v>0.2369057462612581</v>
      </c>
      <c r="M667" s="206">
        <f>'Inputs by customer type'!M171</f>
        <v>0.19340770624102882</v>
      </c>
      <c r="N667" s="206">
        <f>'Inputs by customer type'!N171</f>
        <v>0.48879767400763535</v>
      </c>
      <c r="AQ667" s="3"/>
    </row>
    <row r="668" spans="3:43" x14ac:dyDescent="0.25">
      <c r="E668" s="75"/>
      <c r="AQ668" s="3"/>
    </row>
    <row r="669" spans="3:43" x14ac:dyDescent="0.25">
      <c r="E669" s="75" t="s">
        <v>936</v>
      </c>
      <c r="J669" s="203" t="s">
        <v>926</v>
      </c>
      <c r="K669" s="203" t="s">
        <v>931</v>
      </c>
      <c r="L669" s="203" t="s">
        <v>932</v>
      </c>
      <c r="M669" s="203" t="s">
        <v>933</v>
      </c>
      <c r="N669" s="203" t="s">
        <v>934</v>
      </c>
      <c r="AQ669" s="3"/>
    </row>
    <row r="670" spans="3:43" x14ac:dyDescent="0.25">
      <c r="E670" s="75"/>
      <c r="F670" s="95" t="s">
        <v>247</v>
      </c>
      <c r="G670" s="95" t="s">
        <v>167</v>
      </c>
      <c r="H670" s="95"/>
      <c r="I670" s="95"/>
      <c r="J670" s="204">
        <f>'Inputs by customer type'!J174</f>
        <v>4.6685129721709757E-4</v>
      </c>
      <c r="K670" s="204">
        <f>'Inputs by customer type'!K174</f>
        <v>8.0319146683460005E-2</v>
      </c>
      <c r="L670" s="204">
        <f>'Inputs by customer type'!L174</f>
        <v>0.23693226296704442</v>
      </c>
      <c r="M670" s="204">
        <f>'Inputs by customer type'!M174</f>
        <v>0.19342935423954358</v>
      </c>
      <c r="N670" s="204">
        <f>'Inputs by customer type'!N174</f>
        <v>0.48885238481273507</v>
      </c>
      <c r="AQ670" s="3"/>
    </row>
    <row r="671" spans="3:43" x14ac:dyDescent="0.25">
      <c r="E671" s="75"/>
      <c r="F671" t="s">
        <v>248</v>
      </c>
      <c r="G671" t="s">
        <v>167</v>
      </c>
      <c r="J671" s="205">
        <f>'Inputs by customer type'!J175</f>
        <v>4.6455593256526211E-4</v>
      </c>
      <c r="K671" s="205">
        <f>'Inputs by customer type'!K175</f>
        <v>8.0319331131299881E-2</v>
      </c>
      <c r="L671" s="205">
        <f>'Inputs by customer type'!L175</f>
        <v>0.23693280706699948</v>
      </c>
      <c r="M671" s="205">
        <f>'Inputs by customer type'!M175</f>
        <v>0.19342979843782046</v>
      </c>
      <c r="N671" s="205">
        <f>'Inputs by customer type'!N175</f>
        <v>0.488853507431315</v>
      </c>
      <c r="AQ671" s="3"/>
    </row>
    <row r="672" spans="3:43" x14ac:dyDescent="0.25">
      <c r="E672" s="75"/>
      <c r="F672" s="96" t="s">
        <v>249</v>
      </c>
      <c r="G672" s="96" t="s">
        <v>167</v>
      </c>
      <c r="H672" s="96"/>
      <c r="I672" s="96"/>
      <c r="J672" s="206">
        <f>'Inputs by customer type'!J176</f>
        <v>5.7871587022163655E-4</v>
      </c>
      <c r="K672" s="206">
        <f>'Inputs by customer type'!K176</f>
        <v>8.031015761985616E-2</v>
      </c>
      <c r="L672" s="206">
        <f>'Inputs by customer type'!L176</f>
        <v>0.2369057462612581</v>
      </c>
      <c r="M672" s="206">
        <f>'Inputs by customer type'!M176</f>
        <v>0.19340770624102882</v>
      </c>
      <c r="N672" s="206">
        <f>'Inputs by customer type'!N176</f>
        <v>0.48879767400763535</v>
      </c>
      <c r="AQ672" s="3"/>
    </row>
    <row r="673" spans="5:43" x14ac:dyDescent="0.25">
      <c r="E673" s="75"/>
      <c r="AQ673" s="3"/>
    </row>
    <row r="674" spans="5:43" x14ac:dyDescent="0.25">
      <c r="E674" s="75" t="s">
        <v>937</v>
      </c>
      <c r="J674" s="203" t="s">
        <v>926</v>
      </c>
      <c r="K674" s="203" t="s">
        <v>931</v>
      </c>
      <c r="L674" s="203" t="s">
        <v>932</v>
      </c>
      <c r="M674" s="203" t="s">
        <v>933</v>
      </c>
      <c r="N674" s="203" t="s">
        <v>934</v>
      </c>
      <c r="AQ674" s="3"/>
    </row>
    <row r="675" spans="5:43" x14ac:dyDescent="0.25">
      <c r="F675" s="95" t="s">
        <v>247</v>
      </c>
      <c r="G675" s="95" t="s">
        <v>167</v>
      </c>
      <c r="H675" s="95"/>
      <c r="I675" s="95"/>
      <c r="J675" s="204">
        <f>'Inputs by customer type'!J179</f>
        <v>4.6685129721709757E-4</v>
      </c>
      <c r="K675" s="204">
        <f>'Inputs by customer type'!K179</f>
        <v>8.0319146683460005E-2</v>
      </c>
      <c r="L675" s="204">
        <f>'Inputs by customer type'!L179</f>
        <v>0.23693226296704442</v>
      </c>
      <c r="M675" s="204">
        <f>'Inputs by customer type'!M179</f>
        <v>0.19342935423954358</v>
      </c>
      <c r="N675" s="204">
        <f>'Inputs by customer type'!N179</f>
        <v>0.48885238481273507</v>
      </c>
      <c r="AQ675" s="3"/>
    </row>
    <row r="676" spans="5:43" x14ac:dyDescent="0.25">
      <c r="F676" t="s">
        <v>248</v>
      </c>
      <c r="G676" t="s">
        <v>167</v>
      </c>
      <c r="J676" s="205">
        <f>'Inputs by customer type'!J180</f>
        <v>4.6455593256526211E-4</v>
      </c>
      <c r="K676" s="205">
        <f>'Inputs by customer type'!K180</f>
        <v>8.0319331131299881E-2</v>
      </c>
      <c r="L676" s="205">
        <f>'Inputs by customer type'!L180</f>
        <v>0.23693280706699948</v>
      </c>
      <c r="M676" s="205">
        <f>'Inputs by customer type'!M180</f>
        <v>0.19342979843782046</v>
      </c>
      <c r="N676" s="205">
        <f>'Inputs by customer type'!N180</f>
        <v>0.488853507431315</v>
      </c>
      <c r="AQ676" s="3"/>
    </row>
    <row r="677" spans="5:43" x14ac:dyDescent="0.25">
      <c r="F677" s="96" t="s">
        <v>249</v>
      </c>
      <c r="G677" s="96" t="s">
        <v>167</v>
      </c>
      <c r="H677" s="96"/>
      <c r="I677" s="96"/>
      <c r="J677" s="206">
        <f>'Inputs by customer type'!J181</f>
        <v>5.7871587022163655E-4</v>
      </c>
      <c r="K677" s="206">
        <f>'Inputs by customer type'!K181</f>
        <v>8.031015761985616E-2</v>
      </c>
      <c r="L677" s="206">
        <f>'Inputs by customer type'!L181</f>
        <v>0.2369057462612581</v>
      </c>
      <c r="M677" s="206">
        <f>'Inputs by customer type'!M181</f>
        <v>0.19340770624102882</v>
      </c>
      <c r="N677" s="206">
        <f>'Inputs by customer type'!N181</f>
        <v>0.48879767400763535</v>
      </c>
      <c r="AQ677" s="3"/>
    </row>
    <row r="678" spans="5:43" x14ac:dyDescent="0.25">
      <c r="AQ678" s="3"/>
    </row>
    <row r="679" spans="5:43" x14ac:dyDescent="0.25">
      <c r="E679" s="75" t="s">
        <v>939</v>
      </c>
      <c r="J679" s="203" t="s">
        <v>926</v>
      </c>
      <c r="K679" s="203" t="s">
        <v>931</v>
      </c>
      <c r="L679" s="203" t="s">
        <v>932</v>
      </c>
      <c r="M679" s="203" t="s">
        <v>933</v>
      </c>
      <c r="N679" s="203" t="s">
        <v>934</v>
      </c>
      <c r="AQ679" s="3"/>
    </row>
    <row r="680" spans="5:43" x14ac:dyDescent="0.25">
      <c r="F680" s="95" t="s">
        <v>247</v>
      </c>
      <c r="G680" s="95" t="s">
        <v>207</v>
      </c>
      <c r="H680" s="95"/>
      <c r="I680" s="95"/>
      <c r="J680" s="207">
        <f t="shared" ref="J680:N682" si="256" xml:space="preserve"> $M58 * J665  + $M105 * J670 + $M152 * J675</f>
        <v>1.2028857224907432E-2</v>
      </c>
      <c r="K680" s="207">
        <f t="shared" si="256"/>
        <v>2.0694974045074885</v>
      </c>
      <c r="L680" s="207">
        <f t="shared" si="256"/>
        <v>6.1047797878977876</v>
      </c>
      <c r="M680" s="207">
        <f t="shared" si="256"/>
        <v>4.9838869445649694</v>
      </c>
      <c r="N680" s="207">
        <f t="shared" si="256"/>
        <v>12.595735678621008</v>
      </c>
      <c r="AQ680" s="3"/>
    </row>
    <row r="681" spans="5:43" x14ac:dyDescent="0.25">
      <c r="F681" t="s">
        <v>248</v>
      </c>
      <c r="G681" t="s">
        <v>207</v>
      </c>
      <c r="J681" s="208">
        <f t="shared" si="256"/>
        <v>0.74749473702413416</v>
      </c>
      <c r="K681" s="208">
        <f t="shared" si="256"/>
        <v>129.23799502552043</v>
      </c>
      <c r="L681" s="208">
        <f t="shared" si="256"/>
        <v>381.23725023370861</v>
      </c>
      <c r="M681" s="208">
        <f t="shared" si="256"/>
        <v>311.23863926890613</v>
      </c>
      <c r="N681" s="208">
        <f t="shared" si="256"/>
        <v>786.59080288327141</v>
      </c>
      <c r="AQ681" s="3"/>
    </row>
    <row r="682" spans="5:43" x14ac:dyDescent="0.25">
      <c r="F682" s="96" t="s">
        <v>249</v>
      </c>
      <c r="G682" s="96" t="s">
        <v>207</v>
      </c>
      <c r="H682" s="96"/>
      <c r="I682" s="96"/>
      <c r="J682" s="209">
        <f t="shared" si="256"/>
        <v>6.5544628411003876</v>
      </c>
      <c r="K682" s="209">
        <f t="shared" si="256"/>
        <v>909.58270019563417</v>
      </c>
      <c r="L682" s="209">
        <f t="shared" si="256"/>
        <v>2683.1645555493164</v>
      </c>
      <c r="M682" s="209">
        <f t="shared" si="256"/>
        <v>2190.511249075968</v>
      </c>
      <c r="N682" s="209">
        <f t="shared" si="256"/>
        <v>5536.0607095021487</v>
      </c>
      <c r="AQ682" s="3"/>
    </row>
    <row r="683" spans="5:43" x14ac:dyDescent="0.25">
      <c r="J683" s="106"/>
      <c r="K683" s="106"/>
      <c r="L683" s="106"/>
      <c r="M683" s="106"/>
      <c r="N683" s="106"/>
      <c r="AQ683" s="3"/>
    </row>
    <row r="684" spans="5:43" x14ac:dyDescent="0.25">
      <c r="J684" s="210" t="s">
        <v>926</v>
      </c>
      <c r="K684" s="210" t="s">
        <v>931</v>
      </c>
      <c r="L684" s="210" t="s">
        <v>932</v>
      </c>
      <c r="M684" s="210" t="s">
        <v>933</v>
      </c>
      <c r="N684" s="210" t="s">
        <v>934</v>
      </c>
      <c r="AQ684" s="3"/>
    </row>
    <row r="685" spans="5:43" x14ac:dyDescent="0.25">
      <c r="E685" s="109" t="s">
        <v>940</v>
      </c>
      <c r="G685" t="s">
        <v>207</v>
      </c>
      <c r="J685" s="106">
        <f>SUM(J680:J682)</f>
        <v>7.3139864353494293</v>
      </c>
      <c r="K685" s="106">
        <f>SUM(K680:K682)</f>
        <v>1040.8901926256622</v>
      </c>
      <c r="L685" s="106">
        <f t="shared" ref="L685:N685" si="257">SUM(L680:L682)</f>
        <v>3070.5065855709227</v>
      </c>
      <c r="M685" s="106">
        <f t="shared" si="257"/>
        <v>2506.7337752894391</v>
      </c>
      <c r="N685" s="106">
        <f t="shared" si="257"/>
        <v>6335.2472480640408</v>
      </c>
      <c r="AQ685" s="3"/>
    </row>
    <row r="686" spans="5:43" x14ac:dyDescent="0.25">
      <c r="J686" s="106"/>
      <c r="K686" s="106"/>
      <c r="L686" s="106"/>
      <c r="M686" s="106"/>
      <c r="N686" s="106"/>
      <c r="AQ686" s="3"/>
    </row>
    <row r="687" spans="5:43" x14ac:dyDescent="0.25">
      <c r="E687" t="s">
        <v>984</v>
      </c>
      <c r="G687" t="s">
        <v>207</v>
      </c>
      <c r="H687" s="106">
        <f>SUM(J685:N685)</f>
        <v>12960.691787985415</v>
      </c>
      <c r="AQ687" s="3"/>
    </row>
    <row r="688" spans="5:43" x14ac:dyDescent="0.25">
      <c r="J688" s="210" t="s">
        <v>926</v>
      </c>
      <c r="K688" s="210" t="s">
        <v>931</v>
      </c>
      <c r="L688" s="210" t="s">
        <v>932</v>
      </c>
      <c r="M688" s="210" t="s">
        <v>933</v>
      </c>
      <c r="N688" s="210" t="s">
        <v>934</v>
      </c>
      <c r="AQ688" s="3"/>
    </row>
    <row r="689" spans="2:43" x14ac:dyDescent="0.25">
      <c r="E689" s="109" t="s">
        <v>939</v>
      </c>
      <c r="G689" t="s">
        <v>167</v>
      </c>
      <c r="J689" s="158">
        <f>IF($H687 &lt;&gt; 0, J685/$H687, 0)</f>
        <v>5.6432068249084573E-4</v>
      </c>
      <c r="K689" s="158">
        <f>IF($H687 &lt;&gt; 0, K685/$H687, 0)</f>
        <v>8.0311314369080913E-2</v>
      </c>
      <c r="L689" s="158">
        <f>IF($H687 &lt;&gt; 0, L685/$H687, 0)</f>
        <v>0.2369091585386891</v>
      </c>
      <c r="M689" s="158">
        <f>IF($H687 &lt;&gt; 0, M685/$H687, 0)</f>
        <v>0.19341049199342783</v>
      </c>
      <c r="N689" s="158">
        <f>IF($H687 &lt;&gt; 0, N685/$H687, 0)</f>
        <v>0.48880471441631118</v>
      </c>
      <c r="AQ689" s="3"/>
    </row>
    <row r="690" spans="2:43" x14ac:dyDescent="0.25">
      <c r="AQ690" s="3"/>
    </row>
    <row r="691" spans="2:43" x14ac:dyDescent="0.25">
      <c r="B691" s="85" t="s">
        <v>231</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25">
      <c r="E693" t="s">
        <v>232</v>
      </c>
      <c r="G693" s="6" t="s">
        <v>56</v>
      </c>
      <c r="H693" s="113">
        <f t="array" ref="H693">SUM(IF(ISERROR(H22:Y309), 1))</f>
        <v>0</v>
      </c>
    </row>
    <row r="695" spans="2:43" x14ac:dyDescent="0.25">
      <c r="B695" s="85" t="s">
        <v>107</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H306 &amp; IF(H306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0" t="s">
        <v>143</v>
      </c>
      <c r="H5" s="107" t="s">
        <v>144</v>
      </c>
      <c r="I5" s="62"/>
      <c r="J5" s="107" t="s">
        <v>1114</v>
      </c>
      <c r="K5" s="107" t="s">
        <v>785</v>
      </c>
      <c r="L5" s="107" t="s">
        <v>1115</v>
      </c>
      <c r="M5" s="107" t="s">
        <v>786</v>
      </c>
      <c r="N5" s="107" t="s">
        <v>792</v>
      </c>
      <c r="O5" s="107" t="s">
        <v>793</v>
      </c>
      <c r="P5" s="107" t="s">
        <v>794</v>
      </c>
      <c r="Q5" s="107" t="s">
        <v>795</v>
      </c>
      <c r="R5" s="107" t="s">
        <v>787</v>
      </c>
      <c r="S5" s="107" t="s">
        <v>788</v>
      </c>
      <c r="T5" s="107" t="s">
        <v>789</v>
      </c>
      <c r="U5" s="107" t="s">
        <v>798</v>
      </c>
      <c r="V5" s="107" t="s">
        <v>790</v>
      </c>
      <c r="W5" s="107" t="s">
        <v>797</v>
      </c>
      <c r="X5" s="107" t="s">
        <v>791</v>
      </c>
      <c r="Y5" s="107" t="s">
        <v>796</v>
      </c>
      <c r="AA5" s="90" t="s">
        <v>145</v>
      </c>
    </row>
    <row r="7" spans="1:27" x14ac:dyDescent="0.25">
      <c r="B7" s="85" t="s">
        <v>11</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818</v>
      </c>
    </row>
    <row r="10" spans="1:27" x14ac:dyDescent="0.25">
      <c r="C10" s="86" t="s">
        <v>413</v>
      </c>
    </row>
    <row r="11" spans="1:27" x14ac:dyDescent="0.25">
      <c r="C11" s="86" t="s">
        <v>414</v>
      </c>
    </row>
    <row r="13" spans="1:27" x14ac:dyDescent="0.25">
      <c r="B13" s="85" t="s">
        <v>415</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25">
      <c r="C15" s="86" t="s">
        <v>815</v>
      </c>
      <c r="I15" t="s">
        <v>154</v>
      </c>
      <c r="AA15" t="s">
        <v>816</v>
      </c>
    </row>
    <row r="16" spans="1:27" x14ac:dyDescent="0.25">
      <c r="C16" s="86" t="s">
        <v>416</v>
      </c>
    </row>
    <row r="18" spans="3:27" x14ac:dyDescent="0.25">
      <c r="C18" s="93" t="str">
        <f ca="1">INDEX('Version control'!$H$41:$H$64,MATCH($A$1,'Version control'!$F$41:$F$64,0),1)&amp;"-A: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25">
      <c r="E20" s="211" t="s">
        <v>417</v>
      </c>
      <c r="F20" s="212"/>
      <c r="G20" s="212" t="s">
        <v>418</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25">
      <c r="E22" s="75" t="s">
        <v>419</v>
      </c>
      <c r="I22" t="s">
        <v>154</v>
      </c>
      <c r="AA22" t="s">
        <v>420</v>
      </c>
    </row>
    <row r="23" spans="3:27" x14ac:dyDescent="0.25">
      <c r="E23" s="86" t="s">
        <v>421</v>
      </c>
      <c r="F23" s="86"/>
    </row>
    <row r="24" spans="3:27" x14ac:dyDescent="0.25">
      <c r="F24" s="98" t="s">
        <v>422</v>
      </c>
      <c r="G24" s="98" t="s">
        <v>147</v>
      </c>
      <c r="H24" s="214"/>
      <c r="I24" s="214"/>
      <c r="J24" s="171">
        <f>IF(J$20, 'General inputs'!$H16, 'General inputs'!$H21)</f>
        <v>522</v>
      </c>
      <c r="K24" s="171">
        <f>IF(K$20, 'General inputs'!$H16, 'General inputs'!$H21)</f>
        <v>522</v>
      </c>
      <c r="L24" s="171">
        <f>IF(L$20, 'General inputs'!$H16, 'General inputs'!$H21)</f>
        <v>522</v>
      </c>
      <c r="M24" s="171">
        <f>IF(M$20, 'General inputs'!$H16, 'General inputs'!$H21)</f>
        <v>522</v>
      </c>
      <c r="N24" s="171">
        <f>IF(N$20, 'General inputs'!$H16, 'General inputs'!$H21)</f>
        <v>522</v>
      </c>
      <c r="O24" s="171">
        <f>IF(O$20, 'General inputs'!$H16, 'General inputs'!$H21)</f>
        <v>522</v>
      </c>
      <c r="P24" s="171">
        <f>IF(P$20, 'General inputs'!$H16, 'General inputs'!$H21)</f>
        <v>522</v>
      </c>
      <c r="Q24" s="171">
        <f>IF(Q$20, 'General inputs'!$H16, 'General inputs'!$H21)</f>
        <v>150</v>
      </c>
      <c r="R24" s="171">
        <f>IF(R$20, 'General inputs'!$H16, 'General inputs'!$H21)</f>
        <v>522</v>
      </c>
      <c r="S24" s="171">
        <f>IF(S$20, 'General inputs'!$H16, 'General inputs'!$H21)</f>
        <v>522</v>
      </c>
      <c r="T24" s="171">
        <f>IF(T$20, 'General inputs'!$H16, 'General inputs'!$H21)</f>
        <v>522</v>
      </c>
      <c r="U24" s="171">
        <f>IF(U$20, 'General inputs'!$H16, 'General inputs'!$H21)</f>
        <v>522</v>
      </c>
      <c r="V24" s="171">
        <f>IF(V$20, 'General inputs'!$H16, 'General inputs'!$H21)</f>
        <v>522</v>
      </c>
      <c r="W24" s="171">
        <f>IF(W$20, 'General inputs'!$H16, 'General inputs'!$H21)</f>
        <v>522</v>
      </c>
      <c r="X24" s="171">
        <f>IF(X$20, 'General inputs'!$H16, 'General inputs'!$H21)</f>
        <v>522</v>
      </c>
      <c r="Y24" s="171">
        <f>IF(Y$20, 'General inputs'!$H16, 'General inputs'!$H21)</f>
        <v>522</v>
      </c>
    </row>
    <row r="25" spans="3:27" x14ac:dyDescent="0.25">
      <c r="F25" s="94" t="s">
        <v>423</v>
      </c>
      <c r="G25" t="s">
        <v>147</v>
      </c>
      <c r="H25" s="215"/>
      <c r="I25" s="215"/>
      <c r="J25" s="167">
        <f>IF(J$20, 'General inputs'!$H17, 'General inputs'!$H22)</f>
        <v>3444</v>
      </c>
      <c r="K25" s="167">
        <f>IF(K$20, 'General inputs'!$H17, 'General inputs'!$H22)</f>
        <v>3444</v>
      </c>
      <c r="L25" s="167">
        <f>IF(L$20, 'General inputs'!$H17, 'General inputs'!$H22)</f>
        <v>3444</v>
      </c>
      <c r="M25" s="167">
        <f>IF(M$20, 'General inputs'!$H17, 'General inputs'!$H22)</f>
        <v>3444</v>
      </c>
      <c r="N25" s="167">
        <f>IF(N$20, 'General inputs'!$H17, 'General inputs'!$H22)</f>
        <v>3444</v>
      </c>
      <c r="O25" s="167">
        <f>IF(O$20, 'General inputs'!$H17, 'General inputs'!$H22)</f>
        <v>3444</v>
      </c>
      <c r="P25" s="167">
        <f>IF(P$20, 'General inputs'!$H17, 'General inputs'!$H22)</f>
        <v>3444</v>
      </c>
      <c r="Q25" s="167">
        <f>IF(Q$20, 'General inputs'!$H17, 'General inputs'!$H22)</f>
        <v>3816</v>
      </c>
      <c r="R25" s="167">
        <f>IF(R$20, 'General inputs'!$H17, 'General inputs'!$H22)</f>
        <v>3444</v>
      </c>
      <c r="S25" s="167">
        <f>IF(S$20, 'General inputs'!$H17, 'General inputs'!$H22)</f>
        <v>3444</v>
      </c>
      <c r="T25" s="167">
        <f>IF(T$20, 'General inputs'!$H17, 'General inputs'!$H22)</f>
        <v>3444</v>
      </c>
      <c r="U25" s="167">
        <f>IF(U$20, 'General inputs'!$H17, 'General inputs'!$H22)</f>
        <v>3444</v>
      </c>
      <c r="V25" s="167">
        <f>IF(V$20, 'General inputs'!$H17, 'General inputs'!$H22)</f>
        <v>3444</v>
      </c>
      <c r="W25" s="167">
        <f>IF(W$20, 'General inputs'!$H17, 'General inputs'!$H22)</f>
        <v>3444</v>
      </c>
      <c r="X25" s="167">
        <f>IF(X$20, 'General inputs'!$H17, 'General inputs'!$H22)</f>
        <v>3444</v>
      </c>
      <c r="Y25" s="167">
        <f>IF(Y$20, 'General inputs'!$H17, 'General inputs'!$H22)</f>
        <v>3444</v>
      </c>
    </row>
    <row r="26" spans="3:27" x14ac:dyDescent="0.25">
      <c r="F26" s="101" t="s">
        <v>257</v>
      </c>
      <c r="G26" s="96" t="s">
        <v>147</v>
      </c>
      <c r="H26" s="216"/>
      <c r="I26" s="216"/>
      <c r="J26" s="172">
        <f>IF(J$20, 'General inputs'!$H18, 'General inputs'!$H23)</f>
        <v>4794</v>
      </c>
      <c r="K26" s="172">
        <f>IF(K$20, 'General inputs'!$H18, 'General inputs'!$H23)</f>
        <v>4794</v>
      </c>
      <c r="L26" s="172">
        <f>IF(L$20, 'General inputs'!$H18, 'General inputs'!$H23)</f>
        <v>4794</v>
      </c>
      <c r="M26" s="172">
        <f>IF(M$20, 'General inputs'!$H18, 'General inputs'!$H23)</f>
        <v>4794</v>
      </c>
      <c r="N26" s="172">
        <f>IF(N$20, 'General inputs'!$H18, 'General inputs'!$H23)</f>
        <v>4794</v>
      </c>
      <c r="O26" s="172">
        <f>IF(O$20, 'General inputs'!$H18, 'General inputs'!$H23)</f>
        <v>4794</v>
      </c>
      <c r="P26" s="172">
        <f>IF(P$20, 'General inputs'!$H18, 'General inputs'!$H23)</f>
        <v>4794</v>
      </c>
      <c r="Q26" s="172">
        <f>IF(Q$20, 'General inputs'!$H18, 'General inputs'!$H23)</f>
        <v>4794</v>
      </c>
      <c r="R26" s="172">
        <f>IF(R$20, 'General inputs'!$H18, 'General inputs'!$H23)</f>
        <v>4794</v>
      </c>
      <c r="S26" s="172">
        <f>IF(S$20, 'General inputs'!$H18, 'General inputs'!$H23)</f>
        <v>4794</v>
      </c>
      <c r="T26" s="172">
        <f>IF(T$20, 'General inputs'!$H18, 'General inputs'!$H23)</f>
        <v>4794</v>
      </c>
      <c r="U26" s="172">
        <f>IF(U$20, 'General inputs'!$H18, 'General inputs'!$H23)</f>
        <v>4794</v>
      </c>
      <c r="V26" s="172">
        <f>IF(V$20, 'General inputs'!$H18, 'General inputs'!$H23)</f>
        <v>4794</v>
      </c>
      <c r="W26" s="172">
        <f>IF(W$20, 'General inputs'!$H18, 'General inputs'!$H23)</f>
        <v>4794</v>
      </c>
      <c r="X26" s="172">
        <f>IF(X$20, 'General inputs'!$H18, 'General inputs'!$H23)</f>
        <v>4794</v>
      </c>
      <c r="Y26" s="172">
        <f>IF(Y$20, 'General inputs'!$H18, 'General inputs'!$H23)</f>
        <v>4794</v>
      </c>
    </row>
    <row r="27" spans="3:27" x14ac:dyDescent="0.25">
      <c r="J27" s="106"/>
      <c r="K27" s="106"/>
      <c r="L27" s="106"/>
      <c r="M27" s="106"/>
      <c r="N27" s="106"/>
      <c r="O27" s="106"/>
      <c r="P27" s="106"/>
      <c r="Q27" s="106"/>
      <c r="R27" s="106"/>
      <c r="S27" s="106"/>
      <c r="T27" s="106"/>
      <c r="U27" s="106"/>
      <c r="V27" s="106"/>
      <c r="W27" s="106"/>
      <c r="X27" s="106"/>
      <c r="Y27" s="106"/>
    </row>
    <row r="28" spans="3:27" x14ac:dyDescent="0.25">
      <c r="C28" s="93" t="str">
        <f ca="1">INDEX('Version control'!$H$41:$H$64,MATCH($A$1,'Version control'!$F$41:$F$64,0),1)&amp;"-B: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25">
      <c r="J29" s="106"/>
      <c r="K29" s="106"/>
      <c r="L29" s="106"/>
      <c r="M29" s="106"/>
      <c r="N29" s="106"/>
      <c r="O29" s="106"/>
      <c r="P29" s="106"/>
      <c r="Q29" s="106"/>
      <c r="R29" s="106"/>
      <c r="S29" s="106"/>
      <c r="T29" s="106"/>
      <c r="U29" s="106"/>
      <c r="V29" s="106"/>
      <c r="W29" s="106"/>
      <c r="X29" s="106"/>
      <c r="Y29" s="106"/>
    </row>
    <row r="30" spans="3:27" x14ac:dyDescent="0.25">
      <c r="E30" s="75" t="s">
        <v>424</v>
      </c>
      <c r="J30" s="106"/>
      <c r="K30" s="106"/>
      <c r="L30" s="106"/>
      <c r="M30" s="106"/>
      <c r="N30" s="106"/>
      <c r="O30" s="106"/>
      <c r="P30" s="106"/>
      <c r="Q30" s="106"/>
      <c r="R30" s="106"/>
      <c r="S30" s="106"/>
      <c r="T30" s="106"/>
      <c r="U30" s="106"/>
      <c r="V30" s="106"/>
      <c r="W30" s="106"/>
      <c r="X30" s="106"/>
      <c r="Y30" s="106"/>
    </row>
    <row r="31" spans="3:27" x14ac:dyDescent="0.25">
      <c r="F31" s="98" t="s">
        <v>156</v>
      </c>
      <c r="G31" s="98" t="s">
        <v>207</v>
      </c>
      <c r="H31" s="95"/>
      <c r="I31" s="95"/>
      <c r="J31" s="171">
        <f>'Volume adjustments'!J238</f>
        <v>422507.98433825071</v>
      </c>
      <c r="K31" s="171">
        <f>'Volume adjustments'!K238</f>
        <v>42.949716657044405</v>
      </c>
      <c r="L31" s="171">
        <f>'Volume adjustments'!L238</f>
        <v>110638.64265511218</v>
      </c>
      <c r="M31" s="171">
        <f>'Volume adjustments'!M238</f>
        <v>25.765928672816155</v>
      </c>
      <c r="N31" s="171">
        <f>'Volume adjustments'!N238</f>
        <v>88258.621320989012</v>
      </c>
      <c r="O31" s="171">
        <f>'Volume adjustments'!O238</f>
        <v>42682.126821808786</v>
      </c>
      <c r="P31" s="171">
        <f>'Volume adjustments'!P238</f>
        <v>127879.26927057881</v>
      </c>
      <c r="Q31" s="171">
        <f>'Volume adjustments'!Q238</f>
        <v>3122.9507279534723</v>
      </c>
      <c r="R31" s="171">
        <f>'Volume adjustments'!R238</f>
        <v>8806.6823305226171</v>
      </c>
      <c r="S31" s="171">
        <f>'Volume adjustments'!S238</f>
        <v>1036.7343209799037</v>
      </c>
      <c r="T31" s="171">
        <f>'Volume adjustments'!T238</f>
        <v>4624.7476230209113</v>
      </c>
      <c r="U31" s="171">
        <f>'Volume adjustments'!U238</f>
        <v>0</v>
      </c>
      <c r="V31" s="171">
        <f>'Volume adjustments'!V238</f>
        <v>0</v>
      </c>
      <c r="W31" s="171">
        <f>'Volume adjustments'!W238</f>
        <v>0</v>
      </c>
      <c r="X31" s="171">
        <f>'Volume adjustments'!X238</f>
        <v>53814.546731455142</v>
      </c>
      <c r="Y31" s="171">
        <f>'Volume adjustments'!Y238</f>
        <v>0</v>
      </c>
    </row>
    <row r="32" spans="3:27" x14ac:dyDescent="0.25">
      <c r="F32" s="94" t="s">
        <v>157</v>
      </c>
      <c r="G32" s="94" t="s">
        <v>207</v>
      </c>
      <c r="J32" s="167">
        <f>'Volume adjustments'!J249</f>
        <v>2266046.5649797935</v>
      </c>
      <c r="K32" s="167">
        <f>'Volume adjustments'!K249</f>
        <v>3119.337000290659</v>
      </c>
      <c r="L32" s="167">
        <f>'Volume adjustments'!L249</f>
        <v>929915.07966146199</v>
      </c>
      <c r="M32" s="167">
        <f>'Volume adjustments'!M249</f>
        <v>1609.0521821484306</v>
      </c>
      <c r="N32" s="167">
        <f>'Volume adjustments'!N249</f>
        <v>636021.3375294531</v>
      </c>
      <c r="O32" s="167">
        <f>'Volume adjustments'!O249</f>
        <v>307685.37731866277</v>
      </c>
      <c r="P32" s="167">
        <f>'Volume adjustments'!P249</f>
        <v>899776.86821160768</v>
      </c>
      <c r="Q32" s="167">
        <f>'Volume adjustments'!Q249</f>
        <v>32473.298761415626</v>
      </c>
      <c r="R32" s="167">
        <f>'Volume adjustments'!R249</f>
        <v>80667.23392856303</v>
      </c>
      <c r="S32" s="167">
        <f>'Volume adjustments'!S249</f>
        <v>8528.2795750860623</v>
      </c>
      <c r="T32" s="167">
        <f>'Volume adjustments'!T249</f>
        <v>38124.074375305863</v>
      </c>
      <c r="U32" s="167">
        <f>'Volume adjustments'!U249</f>
        <v>0</v>
      </c>
      <c r="V32" s="167">
        <f>'Volume adjustments'!V249</f>
        <v>0</v>
      </c>
      <c r="W32" s="167">
        <f>'Volume adjustments'!W249</f>
        <v>0</v>
      </c>
      <c r="X32" s="167">
        <f>'Volume adjustments'!X249</f>
        <v>302507.33246507391</v>
      </c>
      <c r="Y32" s="167">
        <f>'Volume adjustments'!Y249</f>
        <v>0</v>
      </c>
    </row>
    <row r="33" spans="3:27" x14ac:dyDescent="0.25">
      <c r="F33" s="94" t="s">
        <v>158</v>
      </c>
      <c r="G33" s="94" t="s">
        <v>207</v>
      </c>
      <c r="J33" s="167">
        <f>'Volume adjustments'!J260</f>
        <v>2587588.3037086395</v>
      </c>
      <c r="K33" s="167">
        <f>'Volume adjustments'!K260</f>
        <v>24081.62170271924</v>
      </c>
      <c r="L33" s="167">
        <f>'Volume adjustments'!L260</f>
        <v>769083.79099687468</v>
      </c>
      <c r="M33" s="167">
        <f>'Volume adjustments'!M260</f>
        <v>11325.873677164167</v>
      </c>
      <c r="N33" s="167">
        <f>'Volume adjustments'!N260</f>
        <v>566933.93485902413</v>
      </c>
      <c r="O33" s="167">
        <f>'Volume adjustments'!O260</f>
        <v>305586.29527636897</v>
      </c>
      <c r="P33" s="167">
        <f>'Volume adjustments'!P260</f>
        <v>1026639.0781665677</v>
      </c>
      <c r="Q33" s="167">
        <f>'Volume adjustments'!Q260</f>
        <v>72099.552886005127</v>
      </c>
      <c r="R33" s="167">
        <f>'Volume adjustments'!R260</f>
        <v>35020.601850964522</v>
      </c>
      <c r="S33" s="167">
        <f>'Volume adjustments'!S260</f>
        <v>8832.4293538785987</v>
      </c>
      <c r="T33" s="167">
        <f>'Volume adjustments'!T260</f>
        <v>44888.264832121997</v>
      </c>
      <c r="U33" s="167">
        <f>'Volume adjustments'!U260</f>
        <v>0</v>
      </c>
      <c r="V33" s="167">
        <f>'Volume adjustments'!V260</f>
        <v>0</v>
      </c>
      <c r="W33" s="167">
        <f>'Volume adjustments'!W260</f>
        <v>0</v>
      </c>
      <c r="X33" s="167">
        <f>'Volume adjustments'!X260</f>
        <v>259913.71528039253</v>
      </c>
      <c r="Y33" s="167">
        <f>'Volume adjustments'!Y260</f>
        <v>0</v>
      </c>
    </row>
    <row r="34" spans="3:27" x14ac:dyDescent="0.25">
      <c r="F34" s="217" t="s">
        <v>412</v>
      </c>
      <c r="G34" s="217" t="s">
        <v>207</v>
      </c>
      <c r="H34" s="145"/>
      <c r="I34" s="145"/>
      <c r="J34" s="146">
        <f t="shared" ref="J34:Y34" si="0">SUM(J31:J33)</f>
        <v>5276142.8530266844</v>
      </c>
      <c r="K34" s="146">
        <f t="shared" si="0"/>
        <v>27243.908419666943</v>
      </c>
      <c r="L34" s="146">
        <f t="shared" si="0"/>
        <v>1809637.513313449</v>
      </c>
      <c r="M34" s="146">
        <f t="shared" si="0"/>
        <v>12960.691787985414</v>
      </c>
      <c r="N34" s="146">
        <f t="shared" si="0"/>
        <v>1291213.8937094663</v>
      </c>
      <c r="O34" s="146">
        <f t="shared" si="0"/>
        <v>655953.79941684054</v>
      </c>
      <c r="P34" s="146">
        <f t="shared" si="0"/>
        <v>2054295.2156487543</v>
      </c>
      <c r="Q34" s="146">
        <f t="shared" si="0"/>
        <v>107695.80237537422</v>
      </c>
      <c r="R34" s="146">
        <f t="shared" si="0"/>
        <v>124494.51811005016</v>
      </c>
      <c r="S34" s="146">
        <f t="shared" si="0"/>
        <v>18397.443249944565</v>
      </c>
      <c r="T34" s="146">
        <f t="shared" si="0"/>
        <v>87637.086830448767</v>
      </c>
      <c r="U34" s="146">
        <f t="shared" si="0"/>
        <v>0</v>
      </c>
      <c r="V34" s="146">
        <f t="shared" si="0"/>
        <v>0</v>
      </c>
      <c r="W34" s="146">
        <f t="shared" si="0"/>
        <v>0</v>
      </c>
      <c r="X34" s="146">
        <f t="shared" si="0"/>
        <v>616235.5944769216</v>
      </c>
      <c r="Y34" s="146">
        <f t="shared" si="0"/>
        <v>0</v>
      </c>
    </row>
    <row r="35" spans="3:27" x14ac:dyDescent="0.25">
      <c r="F35" s="94"/>
      <c r="G35" s="94"/>
      <c r="J35" s="155"/>
      <c r="K35" s="155"/>
      <c r="L35" s="155"/>
      <c r="M35" s="155"/>
      <c r="N35" s="155"/>
      <c r="O35" s="155"/>
      <c r="P35" s="155"/>
      <c r="Q35" s="155"/>
      <c r="R35" s="155"/>
      <c r="S35" s="155"/>
      <c r="T35" s="155"/>
      <c r="U35" s="155"/>
      <c r="V35" s="155"/>
      <c r="W35" s="155"/>
      <c r="X35" s="155"/>
      <c r="Y35" s="155"/>
      <c r="Z35" s="155"/>
    </row>
    <row r="36" spans="3:27" x14ac:dyDescent="0.25">
      <c r="C36" s="93" t="str">
        <f ca="1">INDEX('Version control'!$H$41:$H$64,MATCH($A$1,'Version control'!$F$41:$F$64,0),1)&amp;"-C: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25">
      <c r="J37" s="106"/>
      <c r="K37" s="106"/>
      <c r="L37" s="106"/>
      <c r="M37" s="106"/>
      <c r="N37" s="106"/>
      <c r="O37" s="106"/>
      <c r="P37" s="106"/>
      <c r="Q37" s="106"/>
      <c r="R37" s="106"/>
      <c r="S37" s="106"/>
      <c r="T37" s="106"/>
      <c r="U37" s="106"/>
      <c r="V37" s="106"/>
      <c r="W37" s="106"/>
      <c r="X37" s="106"/>
      <c r="Y37" s="106"/>
    </row>
    <row r="38" spans="3:27" x14ac:dyDescent="0.25">
      <c r="E38" s="94" t="s">
        <v>802</v>
      </c>
      <c r="F38" s="94"/>
      <c r="G38" s="94" t="s">
        <v>149</v>
      </c>
      <c r="I38" t="s">
        <v>154</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814</v>
      </c>
    </row>
    <row r="39" spans="3:27" x14ac:dyDescent="0.25">
      <c r="J39" s="106"/>
      <c r="K39" s="106"/>
      <c r="L39" s="106"/>
      <c r="M39" s="106"/>
      <c r="N39" s="106"/>
      <c r="O39" s="106"/>
      <c r="P39" s="106"/>
      <c r="Q39" s="106"/>
      <c r="R39" s="106"/>
      <c r="S39" s="106"/>
      <c r="T39" s="106"/>
      <c r="U39" s="106"/>
      <c r="V39" s="106"/>
      <c r="W39" s="106"/>
      <c r="X39" s="106"/>
      <c r="Y39" s="106"/>
    </row>
    <row r="40" spans="3:27" x14ac:dyDescent="0.25">
      <c r="E40" s="75" t="s">
        <v>803</v>
      </c>
      <c r="J40" s="106"/>
      <c r="K40" s="106"/>
      <c r="L40" s="106"/>
      <c r="M40" s="106"/>
      <c r="N40" s="106"/>
      <c r="O40" s="106"/>
      <c r="P40" s="106"/>
      <c r="Q40" s="106"/>
      <c r="R40" s="106"/>
      <c r="S40" s="106"/>
      <c r="T40" s="106"/>
      <c r="U40" s="106"/>
      <c r="V40" s="106"/>
      <c r="W40" s="106"/>
      <c r="X40" s="106"/>
      <c r="Y40" s="106"/>
    </row>
    <row r="41" spans="3:27" x14ac:dyDescent="0.25">
      <c r="E41" s="86" t="s">
        <v>421</v>
      </c>
    </row>
    <row r="42" spans="3:27" x14ac:dyDescent="0.25">
      <c r="F42" s="98" t="s">
        <v>422</v>
      </c>
      <c r="G42" s="98" t="s">
        <v>167</v>
      </c>
      <c r="H42" s="95"/>
      <c r="I42" s="95"/>
      <c r="J42" s="199">
        <f t="shared" ref="J42:P44" si="1">SUMIF($J$38:$Y$38, J$38, $J31:$Y31) / SUMIF($J$38:$Y$38, J$38, $J$34:$Y$34)</f>
        <v>7.9675677649364715E-2</v>
      </c>
      <c r="K42" s="199">
        <f t="shared" si="1"/>
        <v>7.9675677649364715E-2</v>
      </c>
      <c r="L42" s="199">
        <f t="shared" si="1"/>
        <v>6.0717940067117601E-2</v>
      </c>
      <c r="M42" s="199">
        <f t="shared" si="1"/>
        <v>6.0717940067117601E-2</v>
      </c>
      <c r="N42" s="199">
        <f t="shared" si="1"/>
        <v>6.8353215335559214E-2</v>
      </c>
      <c r="O42" s="199">
        <f t="shared" si="1"/>
        <v>6.5068800363309545E-2</v>
      </c>
      <c r="P42" s="199">
        <f t="shared" si="1"/>
        <v>6.2249704081695993E-2</v>
      </c>
      <c r="Q42" s="220"/>
      <c r="R42" s="220"/>
      <c r="S42" s="220"/>
      <c r="T42" s="220"/>
      <c r="U42" s="220"/>
      <c r="V42" s="220"/>
      <c r="W42" s="220"/>
      <c r="X42" s="220"/>
      <c r="Y42" s="220"/>
    </row>
    <row r="43" spans="3:27" x14ac:dyDescent="0.25">
      <c r="F43" s="94" t="s">
        <v>423</v>
      </c>
      <c r="G43" s="94" t="s">
        <v>167</v>
      </c>
      <c r="J43" s="191">
        <f t="shared" si="1"/>
        <v>0.42787109521713113</v>
      </c>
      <c r="K43" s="191">
        <f t="shared" si="1"/>
        <v>0.42787109521713113</v>
      </c>
      <c r="L43" s="191">
        <f t="shared" si="1"/>
        <v>0.51109681181309385</v>
      </c>
      <c r="M43" s="191">
        <f t="shared" si="1"/>
        <v>0.51109681181309385</v>
      </c>
      <c r="N43" s="191">
        <f t="shared" si="1"/>
        <v>0.49257628083776112</v>
      </c>
      <c r="O43" s="191">
        <f t="shared" si="1"/>
        <v>0.46906562259751039</v>
      </c>
      <c r="P43" s="191">
        <f t="shared" si="1"/>
        <v>0.43799784050388041</v>
      </c>
      <c r="Q43" s="103"/>
      <c r="R43" s="103"/>
      <c r="S43" s="103"/>
      <c r="T43" s="103"/>
      <c r="U43" s="103"/>
      <c r="V43" s="103"/>
      <c r="W43" s="103"/>
      <c r="X43" s="103"/>
      <c r="Y43" s="103"/>
    </row>
    <row r="44" spans="3:27" x14ac:dyDescent="0.25">
      <c r="F44" s="101" t="s">
        <v>257</v>
      </c>
      <c r="G44" s="101" t="s">
        <v>167</v>
      </c>
      <c r="H44" s="96"/>
      <c r="I44" s="96"/>
      <c r="J44" s="200">
        <f t="shared" si="1"/>
        <v>0.49245322713350403</v>
      </c>
      <c r="K44" s="200">
        <f t="shared" si="1"/>
        <v>0.49245322713350403</v>
      </c>
      <c r="L44" s="200">
        <f t="shared" si="1"/>
        <v>0.42818524811978853</v>
      </c>
      <c r="M44" s="200">
        <f t="shared" si="1"/>
        <v>0.42818524811978853</v>
      </c>
      <c r="N44" s="200">
        <f t="shared" si="1"/>
        <v>0.43907050382667961</v>
      </c>
      <c r="O44" s="200">
        <f t="shared" si="1"/>
        <v>0.46586557703918002</v>
      </c>
      <c r="P44" s="200">
        <f t="shared" si="1"/>
        <v>0.49975245541442359</v>
      </c>
      <c r="Q44" s="104"/>
      <c r="R44" s="104"/>
      <c r="S44" s="104"/>
      <c r="T44" s="104"/>
      <c r="U44" s="104"/>
      <c r="V44" s="104"/>
      <c r="W44" s="104"/>
      <c r="X44" s="104"/>
      <c r="Y44" s="104"/>
    </row>
    <row r="45" spans="3:27" x14ac:dyDescent="0.25">
      <c r="J45" s="106"/>
      <c r="K45" s="106"/>
      <c r="L45" s="106"/>
      <c r="M45" s="106"/>
      <c r="N45" s="106"/>
      <c r="O45" s="106"/>
      <c r="P45" s="106"/>
      <c r="Q45" s="106"/>
      <c r="R45" s="106"/>
      <c r="S45" s="106"/>
      <c r="T45" s="106"/>
      <c r="U45" s="106"/>
      <c r="V45" s="106"/>
      <c r="W45" s="106"/>
      <c r="X45" s="106"/>
      <c r="Y45" s="106"/>
    </row>
    <row r="46" spans="3:27" x14ac:dyDescent="0.25">
      <c r="E46" s="75" t="s">
        <v>804</v>
      </c>
      <c r="F46" s="94"/>
      <c r="G46" s="94"/>
    </row>
    <row r="47" spans="3:27" x14ac:dyDescent="0.25">
      <c r="E47" s="86" t="s">
        <v>421</v>
      </c>
    </row>
    <row r="48" spans="3:27" x14ac:dyDescent="0.25">
      <c r="F48" s="98" t="s">
        <v>422</v>
      </c>
      <c r="G48" s="98" t="s">
        <v>167</v>
      </c>
      <c r="H48" s="95"/>
      <c r="I48" s="95"/>
      <c r="J48" s="199">
        <f>IF(ISNUMBER(J$38), J42, IF(J$34 = 0, 0, J31 / J$34))</f>
        <v>7.9675677649364715E-2</v>
      </c>
      <c r="K48" s="199">
        <f t="shared" ref="K48:Y48" si="2">IF(ISNUMBER(K$38), K42, IF(K$34 = 0, 0, K31 / K$34))</f>
        <v>7.9675677649364715E-2</v>
      </c>
      <c r="L48" s="199">
        <f t="shared" si="2"/>
        <v>6.0717940067117601E-2</v>
      </c>
      <c r="M48" s="199">
        <f t="shared" si="2"/>
        <v>6.0717940067117601E-2</v>
      </c>
      <c r="N48" s="199">
        <f t="shared" si="2"/>
        <v>6.8353215335559214E-2</v>
      </c>
      <c r="O48" s="199">
        <f t="shared" si="2"/>
        <v>6.5068800363309545E-2</v>
      </c>
      <c r="P48" s="199">
        <f t="shared" si="2"/>
        <v>6.2249704081695993E-2</v>
      </c>
      <c r="Q48" s="199">
        <f t="shared" si="2"/>
        <v>2.8997887188475676E-2</v>
      </c>
      <c r="R48" s="199">
        <f t="shared" si="2"/>
        <v>7.0739519010288646E-2</v>
      </c>
      <c r="S48" s="199">
        <f t="shared" si="2"/>
        <v>5.635208691202391E-2</v>
      </c>
      <c r="T48" s="199">
        <f t="shared" si="2"/>
        <v>5.277158096284508E-2</v>
      </c>
      <c r="U48" s="199">
        <f t="shared" si="2"/>
        <v>0</v>
      </c>
      <c r="V48" s="199">
        <f t="shared" si="2"/>
        <v>0</v>
      </c>
      <c r="W48" s="199">
        <f t="shared" si="2"/>
        <v>0</v>
      </c>
      <c r="X48" s="199">
        <f t="shared" si="2"/>
        <v>8.7327877866474862E-2</v>
      </c>
      <c r="Y48" s="199">
        <f t="shared" si="2"/>
        <v>0</v>
      </c>
    </row>
    <row r="49" spans="2:27" x14ac:dyDescent="0.25">
      <c r="F49" s="94" t="s">
        <v>423</v>
      </c>
      <c r="G49" s="94" t="s">
        <v>167</v>
      </c>
      <c r="J49" s="191">
        <f t="shared" ref="J49:Y49" si="3">IF(ISNUMBER(J$38), J43, IF(J$34 = 0, 0, J32 / J$34))</f>
        <v>0.42787109521713113</v>
      </c>
      <c r="K49" s="191">
        <f t="shared" si="3"/>
        <v>0.42787109521713113</v>
      </c>
      <c r="L49" s="191">
        <f t="shared" si="3"/>
        <v>0.51109681181309385</v>
      </c>
      <c r="M49" s="191">
        <f t="shared" si="3"/>
        <v>0.51109681181309385</v>
      </c>
      <c r="N49" s="191">
        <f t="shared" si="3"/>
        <v>0.49257628083776112</v>
      </c>
      <c r="O49" s="191">
        <f t="shared" si="3"/>
        <v>0.46906562259751039</v>
      </c>
      <c r="P49" s="191">
        <f t="shared" si="3"/>
        <v>0.43799784050388041</v>
      </c>
      <c r="Q49" s="191">
        <f t="shared" si="3"/>
        <v>0.301527989440385</v>
      </c>
      <c r="R49" s="191">
        <f t="shared" si="3"/>
        <v>0.64795812019012056</v>
      </c>
      <c r="S49" s="191">
        <f t="shared" si="3"/>
        <v>0.4635578682984528</v>
      </c>
      <c r="T49" s="191">
        <f t="shared" si="3"/>
        <v>0.43502215505022895</v>
      </c>
      <c r="U49" s="191">
        <f t="shared" si="3"/>
        <v>0</v>
      </c>
      <c r="V49" s="191">
        <f t="shared" si="3"/>
        <v>0</v>
      </c>
      <c r="W49" s="191">
        <f t="shared" si="3"/>
        <v>0</v>
      </c>
      <c r="X49" s="191">
        <f t="shared" si="3"/>
        <v>0.49089558470222866</v>
      </c>
      <c r="Y49" s="191">
        <f t="shared" si="3"/>
        <v>0</v>
      </c>
    </row>
    <row r="50" spans="2:27" x14ac:dyDescent="0.25">
      <c r="F50" s="101" t="s">
        <v>257</v>
      </c>
      <c r="G50" s="101" t="s">
        <v>167</v>
      </c>
      <c r="H50" s="96"/>
      <c r="I50" s="96"/>
      <c r="J50" s="200">
        <f t="shared" ref="J50:Y50" si="4">IF(ISNUMBER(J$38), J44, IF(J$34 = 0, 0, J33 / J$34))</f>
        <v>0.49245322713350403</v>
      </c>
      <c r="K50" s="200">
        <f t="shared" si="4"/>
        <v>0.49245322713350403</v>
      </c>
      <c r="L50" s="200">
        <f t="shared" si="4"/>
        <v>0.42818524811978853</v>
      </c>
      <c r="M50" s="200">
        <f t="shared" si="4"/>
        <v>0.42818524811978853</v>
      </c>
      <c r="N50" s="200">
        <f t="shared" si="4"/>
        <v>0.43907050382667961</v>
      </c>
      <c r="O50" s="200">
        <f t="shared" si="4"/>
        <v>0.46586557703918002</v>
      </c>
      <c r="P50" s="200">
        <f t="shared" si="4"/>
        <v>0.49975245541442359</v>
      </c>
      <c r="Q50" s="200">
        <f t="shared" si="4"/>
        <v>0.66947412337113943</v>
      </c>
      <c r="R50" s="200">
        <f t="shared" si="4"/>
        <v>0.28130236079959081</v>
      </c>
      <c r="S50" s="200">
        <f t="shared" si="4"/>
        <v>0.48009004478952327</v>
      </c>
      <c r="T50" s="200">
        <f t="shared" si="4"/>
        <v>0.51220626398692604</v>
      </c>
      <c r="U50" s="200">
        <f t="shared" si="4"/>
        <v>0</v>
      </c>
      <c r="V50" s="200">
        <f t="shared" si="4"/>
        <v>0</v>
      </c>
      <c r="W50" s="200">
        <f t="shared" si="4"/>
        <v>0</v>
      </c>
      <c r="X50" s="200">
        <f t="shared" si="4"/>
        <v>0.42177653743129645</v>
      </c>
      <c r="Y50" s="200">
        <f t="shared" si="4"/>
        <v>0</v>
      </c>
    </row>
    <row r="52" spans="2:27" x14ac:dyDescent="0.25">
      <c r="C52" s="93" t="str">
        <f ca="1">INDEX('Version control'!$H$41:$H$64,MATCH($A$1,'Version control'!$F$41:$F$64,0),1)&amp;"-D: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25">
      <c r="E54" t="s">
        <v>425</v>
      </c>
      <c r="G54" t="s">
        <v>283</v>
      </c>
      <c r="H54" s="106"/>
      <c r="I54" s="106"/>
      <c r="J54" s="106">
        <f t="shared" ref="J54:Y54" si="5">J48 * hours_in_year / J24</f>
        <v>1.3370860846904884</v>
      </c>
      <c r="K54" s="106">
        <f t="shared" si="5"/>
        <v>1.3370860846904884</v>
      </c>
      <c r="L54" s="106">
        <f t="shared" si="5"/>
        <v>1.0189447413562265</v>
      </c>
      <c r="M54" s="106">
        <f t="shared" si="5"/>
        <v>1.0189447413562265</v>
      </c>
      <c r="N54" s="106">
        <f t="shared" si="5"/>
        <v>1.147076947010534</v>
      </c>
      <c r="O54" s="106">
        <f t="shared" si="5"/>
        <v>1.0919591785107119</v>
      </c>
      <c r="P54" s="106">
        <f t="shared" si="5"/>
        <v>1.0446502064284615</v>
      </c>
      <c r="Q54" s="106">
        <f t="shared" si="5"/>
        <v>1.6934766118069795</v>
      </c>
      <c r="R54" s="106">
        <f t="shared" si="5"/>
        <v>1.1871229627013957</v>
      </c>
      <c r="S54" s="106">
        <f t="shared" si="5"/>
        <v>0.94567869990292996</v>
      </c>
      <c r="T54" s="106">
        <f t="shared" si="5"/>
        <v>0.8855920483419979</v>
      </c>
      <c r="U54" s="106">
        <f t="shared" si="5"/>
        <v>0</v>
      </c>
      <c r="V54" s="106">
        <f t="shared" si="5"/>
        <v>0</v>
      </c>
      <c r="W54" s="106">
        <f t="shared" si="5"/>
        <v>0</v>
      </c>
      <c r="X54" s="106">
        <f t="shared" si="5"/>
        <v>1.4655023182190035</v>
      </c>
      <c r="Y54" s="106">
        <f t="shared" si="5"/>
        <v>0</v>
      </c>
    </row>
    <row r="55" spans="2:27" x14ac:dyDescent="0.25">
      <c r="J55" s="97"/>
      <c r="K55" s="97"/>
      <c r="L55" s="97"/>
      <c r="M55" s="97"/>
      <c r="N55" s="97"/>
      <c r="O55" s="97"/>
      <c r="P55" s="97"/>
      <c r="Q55" s="97"/>
      <c r="R55" s="97"/>
      <c r="S55" s="97"/>
      <c r="T55" s="97"/>
      <c r="U55" s="97"/>
      <c r="V55" s="97"/>
      <c r="W55" s="97"/>
      <c r="X55" s="97"/>
      <c r="Y55" s="97"/>
    </row>
    <row r="56" spans="2:27" x14ac:dyDescent="0.25">
      <c r="B56" s="85" t="s">
        <v>426</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F57" s="94"/>
      <c r="G57" s="94"/>
    </row>
    <row r="58" spans="2:27" x14ac:dyDescent="0.25">
      <c r="C58" s="86" t="s">
        <v>427</v>
      </c>
      <c r="F58" s="94"/>
      <c r="G58" s="94"/>
    </row>
    <row r="59" spans="2:27" x14ac:dyDescent="0.25">
      <c r="F59" s="94"/>
      <c r="G59" s="94"/>
    </row>
    <row r="60" spans="2:27" x14ac:dyDescent="0.25">
      <c r="C60" s="93" t="str">
        <f ca="1">INDEX('Version control'!$H$41:$H$64,MATCH($A$1,'Version control'!$F$41:$F$64,0),1)&amp;"-E: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25">
      <c r="D61" s="75"/>
      <c r="J61" s="155"/>
      <c r="K61" s="155"/>
      <c r="L61" s="155"/>
      <c r="M61" s="155"/>
      <c r="N61" s="155"/>
      <c r="O61" s="155"/>
      <c r="P61" s="155"/>
      <c r="Q61" s="155"/>
      <c r="R61" s="155"/>
      <c r="S61" s="155"/>
      <c r="T61" s="155"/>
      <c r="U61" s="155"/>
      <c r="V61" s="155"/>
      <c r="W61" s="155"/>
      <c r="X61" s="155"/>
      <c r="Y61" s="155"/>
    </row>
    <row r="62" spans="2:27" x14ac:dyDescent="0.25">
      <c r="E62" s="94" t="s">
        <v>241</v>
      </c>
      <c r="G62" s="94" t="s">
        <v>167</v>
      </c>
      <c r="J62" s="155">
        <f>'Inputs by customer type'!J15</f>
        <v>0.43118428528627506</v>
      </c>
      <c r="K62" s="155">
        <f>'Inputs by customer type'!K15</f>
        <v>0.13841316624389913</v>
      </c>
      <c r="L62" s="155">
        <f>'Inputs by customer type'!L15</f>
        <v>0.44832007498284149</v>
      </c>
      <c r="M62" s="155">
        <f>'Inputs by customer type'!M15</f>
        <v>0.16499245482800254</v>
      </c>
      <c r="N62" s="155">
        <f>'Inputs by customer type'!N15</f>
        <v>0.55545921418146904</v>
      </c>
      <c r="O62" s="155">
        <f>'Inputs by customer type'!O15</f>
        <v>0.60838244554198517</v>
      </c>
      <c r="P62" s="155">
        <f>'Inputs by customer type'!P15</f>
        <v>0.73727707430579059</v>
      </c>
      <c r="Q62" s="155">
        <f>'Inputs by customer type'!Q15</f>
        <v>0.49990620990783308</v>
      </c>
      <c r="R62" s="103"/>
      <c r="S62" s="103"/>
      <c r="T62" s="103"/>
      <c r="U62" s="103"/>
      <c r="V62" s="103"/>
      <c r="W62" s="103"/>
      <c r="X62" s="103"/>
      <c r="Y62" s="103"/>
    </row>
    <row r="63" spans="2:27" x14ac:dyDescent="0.25">
      <c r="E63" s="94" t="s">
        <v>243</v>
      </c>
      <c r="G63" s="94" t="s">
        <v>167</v>
      </c>
      <c r="J63" s="155">
        <f>'Inputs by customer type'!J16</f>
        <v>0.90921281745411153</v>
      </c>
      <c r="K63" s="103"/>
      <c r="L63" s="155">
        <f>'Inputs by customer type'!L16</f>
        <v>0.76784441858556474</v>
      </c>
      <c r="M63" s="103"/>
      <c r="N63" s="155">
        <f>'Inputs by customer type'!N16</f>
        <v>0.80864043971383504</v>
      </c>
      <c r="O63" s="155">
        <f>'Inputs by customer type'!O16</f>
        <v>0.78906990196811566</v>
      </c>
      <c r="P63" s="155">
        <f>'Inputs by customer type'!P16</f>
        <v>0.84968516734720101</v>
      </c>
      <c r="Q63" s="155">
        <f>'Inputs by customer type'!Q16</f>
        <v>0.99205993255925984</v>
      </c>
      <c r="R63" s="103"/>
      <c r="S63" s="103"/>
      <c r="T63" s="103"/>
      <c r="U63" s="103"/>
      <c r="V63" s="103"/>
      <c r="W63" s="103"/>
      <c r="X63" s="103"/>
      <c r="Y63" s="103"/>
    </row>
    <row r="64" spans="2:27" x14ac:dyDescent="0.25">
      <c r="F64" s="94"/>
      <c r="G64" s="94"/>
      <c r="J64" s="155"/>
      <c r="K64" s="155"/>
      <c r="L64" s="155"/>
      <c r="M64" s="155"/>
      <c r="N64" s="155"/>
      <c r="O64" s="155"/>
      <c r="P64" s="155"/>
      <c r="Q64" s="155"/>
      <c r="R64" s="155"/>
      <c r="S64" s="155"/>
      <c r="T64" s="155"/>
      <c r="U64" s="155"/>
      <c r="V64" s="155"/>
      <c r="W64" s="155"/>
      <c r="X64" s="155"/>
      <c r="Y64" s="155"/>
    </row>
    <row r="65" spans="3:27" x14ac:dyDescent="0.25">
      <c r="C65" s="93" t="str">
        <f ca="1">INDEX('Version control'!$H$41:$H$64,MATCH($A$1,'Version control'!$F$41:$F$64,0),1)&amp;"-F: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25">
      <c r="D67" s="75" t="s">
        <v>805</v>
      </c>
      <c r="E67" s="94"/>
      <c r="F67" s="94"/>
      <c r="G67" s="94"/>
    </row>
    <row r="68" spans="3:27" x14ac:dyDescent="0.25">
      <c r="D68" s="75"/>
      <c r="E68" s="94"/>
      <c r="F68" s="94"/>
      <c r="G68" s="94"/>
    </row>
    <row r="69" spans="3:27" x14ac:dyDescent="0.25">
      <c r="D69" s="75"/>
      <c r="E69" s="94" t="s">
        <v>806</v>
      </c>
      <c r="F69" s="94"/>
      <c r="G69" s="94" t="s">
        <v>172</v>
      </c>
      <c r="J69" s="106">
        <f t="shared" ref="J69:P69" si="6">J34 / hours_in_year</f>
        <v>602.29941244596853</v>
      </c>
      <c r="K69" s="106">
        <f t="shared" si="6"/>
        <v>3.110035207724537</v>
      </c>
      <c r="L69" s="106">
        <f t="shared" si="6"/>
        <v>206.57962480747133</v>
      </c>
      <c r="M69" s="106">
        <f t="shared" si="6"/>
        <v>1.4795310260257322</v>
      </c>
      <c r="N69" s="106">
        <f t="shared" si="6"/>
        <v>147.39884631386602</v>
      </c>
      <c r="O69" s="106">
        <f t="shared" si="6"/>
        <v>74.880570709684989</v>
      </c>
      <c r="P69" s="106">
        <f t="shared" si="6"/>
        <v>234.50858626127331</v>
      </c>
      <c r="Q69" s="219"/>
      <c r="R69" s="219"/>
      <c r="S69" s="219"/>
      <c r="T69" s="219"/>
      <c r="U69" s="219"/>
      <c r="V69" s="219"/>
      <c r="W69" s="219"/>
      <c r="X69" s="219"/>
      <c r="Y69" s="219"/>
    </row>
    <row r="70" spans="3:27" x14ac:dyDescent="0.25">
      <c r="D70" s="75"/>
      <c r="E70" s="94"/>
      <c r="F70" s="94"/>
      <c r="G70" s="94"/>
    </row>
    <row r="71" spans="3:27" x14ac:dyDescent="0.25">
      <c r="D71" s="75"/>
      <c r="E71" s="94" t="s">
        <v>428</v>
      </c>
      <c r="F71" s="94"/>
      <c r="G71" s="94" t="s">
        <v>172</v>
      </c>
      <c r="J71" s="106">
        <f t="shared" ref="J71:P71" si="7">IF(J62 = 0, 0, J34 / (J62 * hours_in_year))</f>
        <v>1396.8491733090075</v>
      </c>
      <c r="K71" s="106">
        <f t="shared" si="7"/>
        <v>22.469215119639088</v>
      </c>
      <c r="L71" s="106">
        <f t="shared" si="7"/>
        <v>460.78602394813072</v>
      </c>
      <c r="M71" s="106">
        <f t="shared" si="7"/>
        <v>8.9672647610951586</v>
      </c>
      <c r="N71" s="106">
        <f t="shared" si="7"/>
        <v>265.36394131308924</v>
      </c>
      <c r="O71" s="106">
        <f t="shared" si="7"/>
        <v>123.0814124542609</v>
      </c>
      <c r="P71" s="106">
        <f t="shared" si="7"/>
        <v>318.07388895427567</v>
      </c>
      <c r="Q71" s="219"/>
      <c r="R71" s="219"/>
      <c r="S71" s="219"/>
      <c r="T71" s="219"/>
      <c r="U71" s="219"/>
      <c r="V71" s="219"/>
      <c r="W71" s="219"/>
      <c r="X71" s="219"/>
      <c r="Y71" s="219"/>
    </row>
    <row r="72" spans="3:27" x14ac:dyDescent="0.25">
      <c r="D72" s="75"/>
      <c r="E72" s="94"/>
      <c r="F72" s="94"/>
      <c r="G72" s="94"/>
    </row>
    <row r="73" spans="3:27" x14ac:dyDescent="0.25">
      <c r="D73" s="75"/>
      <c r="E73" s="94" t="s">
        <v>807</v>
      </c>
      <c r="F73" s="94"/>
      <c r="G73" s="94" t="s">
        <v>172</v>
      </c>
      <c r="J73" s="106">
        <f>J71 * J63</f>
        <v>1270.0331724227292</v>
      </c>
      <c r="K73" s="106">
        <f t="shared" ref="K73:M73" si="8">K71 * K63</f>
        <v>0</v>
      </c>
      <c r="L73" s="106">
        <f t="shared" si="8"/>
        <v>353.81197665080651</v>
      </c>
      <c r="M73" s="106">
        <f t="shared" si="8"/>
        <v>0</v>
      </c>
      <c r="N73" s="106">
        <f t="shared" ref="N73:P73" si="9">N71 * N63</f>
        <v>214.58401418761281</v>
      </c>
      <c r="O73" s="106">
        <f t="shared" si="9"/>
        <v>97.119838059380854</v>
      </c>
      <c r="P73" s="106">
        <f t="shared" si="9"/>
        <v>270.26266556488878</v>
      </c>
      <c r="Q73" s="219"/>
      <c r="R73" s="219"/>
      <c r="S73" s="219"/>
      <c r="T73" s="219"/>
      <c r="U73" s="219"/>
      <c r="V73" s="219"/>
      <c r="W73" s="219"/>
      <c r="X73" s="219"/>
      <c r="Y73" s="219"/>
    </row>
    <row r="74" spans="3:27" x14ac:dyDescent="0.25">
      <c r="D74" s="75"/>
      <c r="E74" s="94"/>
      <c r="F74" s="94"/>
      <c r="G74" s="94"/>
    </row>
    <row r="75" spans="3:27" x14ac:dyDescent="0.25">
      <c r="D75" s="75" t="s">
        <v>808</v>
      </c>
      <c r="E75" s="94"/>
      <c r="F75" s="94"/>
      <c r="G75" s="94"/>
    </row>
    <row r="76" spans="3:27" x14ac:dyDescent="0.25">
      <c r="D76" s="75"/>
      <c r="E76" s="94"/>
      <c r="F76" s="94"/>
      <c r="G76" s="94"/>
    </row>
    <row r="77" spans="3:27" x14ac:dyDescent="0.25">
      <c r="D77" s="75"/>
      <c r="E77" s="94" t="s">
        <v>241</v>
      </c>
      <c r="F77" s="94"/>
      <c r="G77" s="94" t="s">
        <v>167</v>
      </c>
      <c r="J77" s="191">
        <f t="shared" ref="J77:P77" si="10">SUMIF($J$38:$Y$38, J$38, $J$69:$Y$69) / SUMIF($J$38:$Y$38, J$38, $J$71:$Y$71)</f>
        <v>0.42654942864789697</v>
      </c>
      <c r="K77" s="191">
        <f t="shared" si="10"/>
        <v>0.42654942864789697</v>
      </c>
      <c r="L77" s="191">
        <f t="shared" si="10"/>
        <v>0.44291154704886865</v>
      </c>
      <c r="M77" s="191">
        <f t="shared" si="10"/>
        <v>0.44291154704886865</v>
      </c>
      <c r="N77" s="191">
        <f t="shared" si="10"/>
        <v>0.55545921418146904</v>
      </c>
      <c r="O77" s="191">
        <f t="shared" si="10"/>
        <v>0.60838244554198506</v>
      </c>
      <c r="P77" s="191">
        <f t="shared" si="10"/>
        <v>0.73727707430579059</v>
      </c>
      <c r="Q77" s="219"/>
      <c r="R77" s="219"/>
      <c r="S77" s="219"/>
      <c r="T77" s="219"/>
      <c r="U77" s="219"/>
      <c r="V77" s="219"/>
      <c r="W77" s="219"/>
      <c r="X77" s="219"/>
      <c r="Y77" s="219"/>
    </row>
    <row r="78" spans="3:27" x14ac:dyDescent="0.25">
      <c r="D78" s="75"/>
      <c r="E78" s="94"/>
      <c r="F78" s="94"/>
      <c r="G78" s="94"/>
    </row>
    <row r="79" spans="3:27" x14ac:dyDescent="0.25">
      <c r="D79" s="75"/>
      <c r="E79" s="94" t="s">
        <v>243</v>
      </c>
      <c r="F79" s="94"/>
      <c r="G79" s="94" t="s">
        <v>167</v>
      </c>
      <c r="J79" s="191">
        <f t="shared" ref="J79:P79" si="11">SUMIF($J$38:$Y$38, J$38, $J$73:$Y$73) / SUMIF($J$38:$Y$38, J$38, $J$71:$Y$71)</f>
        <v>0.89481907849359033</v>
      </c>
      <c r="K79" s="191">
        <f t="shared" si="11"/>
        <v>0.89481907849359033</v>
      </c>
      <c r="L79" s="191">
        <f t="shared" si="11"/>
        <v>0.75318680072043886</v>
      </c>
      <c r="M79" s="191">
        <f t="shared" si="11"/>
        <v>0.75318680072043886</v>
      </c>
      <c r="N79" s="191">
        <f t="shared" si="11"/>
        <v>0.80864043971383504</v>
      </c>
      <c r="O79" s="191">
        <f t="shared" si="11"/>
        <v>0.78906990196811566</v>
      </c>
      <c r="P79" s="191">
        <f t="shared" si="11"/>
        <v>0.84968516734720112</v>
      </c>
      <c r="Q79" s="219"/>
      <c r="R79" s="219"/>
      <c r="S79" s="219"/>
      <c r="T79" s="219"/>
      <c r="U79" s="219"/>
      <c r="V79" s="219"/>
      <c r="W79" s="219"/>
      <c r="X79" s="219"/>
      <c r="Y79" s="219"/>
    </row>
    <row r="80" spans="3:27" x14ac:dyDescent="0.25">
      <c r="D80" s="75"/>
      <c r="E80" s="94"/>
      <c r="F80" s="94"/>
      <c r="G80" s="94"/>
    </row>
    <row r="81" spans="2:27" x14ac:dyDescent="0.25">
      <c r="D81" s="75" t="s">
        <v>809</v>
      </c>
      <c r="E81" s="94"/>
      <c r="F81" s="94"/>
      <c r="G81" s="94"/>
    </row>
    <row r="82" spans="2:27" x14ac:dyDescent="0.25">
      <c r="D82" s="94"/>
      <c r="E82" s="94"/>
      <c r="F82" s="94"/>
      <c r="G82" s="94"/>
    </row>
    <row r="83" spans="2:27" x14ac:dyDescent="0.25">
      <c r="D83" s="94"/>
      <c r="E83" s="94" t="s">
        <v>241</v>
      </c>
      <c r="F83" s="94"/>
      <c r="G83" s="94" t="s">
        <v>167</v>
      </c>
      <c r="J83" s="191">
        <f>IF(J$38 = 0, J62, J77)</f>
        <v>0.42654942864789697</v>
      </c>
      <c r="K83" s="191">
        <f t="shared" ref="K83:Y83" si="12">IF(K$38 = 0, K62, K77)</f>
        <v>0.42654942864789697</v>
      </c>
      <c r="L83" s="191">
        <f t="shared" si="12"/>
        <v>0.44291154704886865</v>
      </c>
      <c r="M83" s="191">
        <f>IF(M$38 = 0, M62, M77)</f>
        <v>0.44291154704886865</v>
      </c>
      <c r="N83" s="191">
        <f t="shared" si="12"/>
        <v>0.55545921418146904</v>
      </c>
      <c r="O83" s="191">
        <f t="shared" si="12"/>
        <v>0.60838244554198506</v>
      </c>
      <c r="P83" s="191">
        <f t="shared" si="12"/>
        <v>0.73727707430579059</v>
      </c>
      <c r="Q83" s="191">
        <f t="shared" si="12"/>
        <v>0.49990620990783308</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25">
      <c r="D84" s="94"/>
      <c r="E84" s="94"/>
      <c r="F84" s="94"/>
      <c r="G84" s="94"/>
    </row>
    <row r="85" spans="2:27" x14ac:dyDescent="0.25">
      <c r="D85" s="94"/>
      <c r="E85" s="94" t="s">
        <v>243</v>
      </c>
      <c r="F85" s="94"/>
      <c r="G85" s="94" t="s">
        <v>167</v>
      </c>
      <c r="J85" s="191">
        <f>IF(J38 = 0, J63, J79)</f>
        <v>0.89481907849359033</v>
      </c>
      <c r="K85" s="191">
        <f t="shared" ref="K85:Y85" si="13">IF(K38 = 0, K63, K79)</f>
        <v>0.89481907849359033</v>
      </c>
      <c r="L85" s="191">
        <f t="shared" si="13"/>
        <v>0.75318680072043886</v>
      </c>
      <c r="M85" s="191">
        <f t="shared" si="13"/>
        <v>0.75318680072043886</v>
      </c>
      <c r="N85" s="191">
        <f t="shared" si="13"/>
        <v>0.80864043971383504</v>
      </c>
      <c r="O85" s="191">
        <f t="shared" si="13"/>
        <v>0.78906990196811566</v>
      </c>
      <c r="P85" s="191">
        <f t="shared" si="13"/>
        <v>0.84968516734720112</v>
      </c>
      <c r="Q85" s="191">
        <f t="shared" si="13"/>
        <v>0.99205993255925984</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25">
      <c r="C87" s="93" t="str">
        <f ca="1">INDEX('Version control'!$H$41:$H$64,MATCH($A$1,'Version control'!$F$41:$F$64,0),1)&amp;"-G: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25">
      <c r="E89" s="94" t="s">
        <v>429</v>
      </c>
      <c r="G89" s="94" t="s">
        <v>283</v>
      </c>
      <c r="J89" s="106">
        <f t="shared" ref="J89:Y89" si="14">IF(AND(J62 = 0, J63 = 0), 1, J63 / J62)</f>
        <v>2.1086408955058746</v>
      </c>
      <c r="K89" s="106">
        <f t="shared" si="14"/>
        <v>0</v>
      </c>
      <c r="L89" s="106">
        <f t="shared" si="14"/>
        <v>1.7127147799815843</v>
      </c>
      <c r="M89" s="106">
        <f t="shared" si="14"/>
        <v>0</v>
      </c>
      <c r="N89" s="106">
        <f t="shared" si="14"/>
        <v>1.4558052491854991</v>
      </c>
      <c r="O89" s="106">
        <f t="shared" si="14"/>
        <v>1.296996499077423</v>
      </c>
      <c r="P89" s="106">
        <f t="shared" si="14"/>
        <v>1.1524638388454602</v>
      </c>
      <c r="Q89" s="106">
        <f t="shared" si="14"/>
        <v>1.9844921165155447</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25">
      <c r="D90" s="75"/>
      <c r="J90" s="167"/>
      <c r="K90" s="167"/>
      <c r="L90" s="167"/>
      <c r="M90" s="167"/>
      <c r="N90" s="167"/>
      <c r="O90" s="167"/>
      <c r="P90" s="167"/>
      <c r="Q90" s="167"/>
      <c r="R90" s="167"/>
      <c r="S90" s="167"/>
      <c r="T90" s="167"/>
      <c r="U90" s="167"/>
      <c r="V90" s="167"/>
      <c r="W90" s="167"/>
      <c r="X90" s="167"/>
      <c r="Y90" s="167"/>
    </row>
    <row r="91" spans="2:27" x14ac:dyDescent="0.25">
      <c r="E91" s="94" t="s">
        <v>810</v>
      </c>
      <c r="G91" s="94" t="s">
        <v>283</v>
      </c>
      <c r="I91" t="s">
        <v>154</v>
      </c>
      <c r="J91" s="106">
        <f>IF(AND(J83 = 0, J85 = 0), 1, J85 / J83)</f>
        <v>2.097808643959608</v>
      </c>
      <c r="K91" s="106">
        <f t="shared" ref="K91:Y91" si="15">IF(AND(K83 = 0, K85 = 0), 1, K85 / K83)</f>
        <v>2.097808643959608</v>
      </c>
      <c r="L91" s="106">
        <f t="shared" si="15"/>
        <v>1.7005354810434328</v>
      </c>
      <c r="M91" s="106">
        <f t="shared" si="15"/>
        <v>1.7005354810434328</v>
      </c>
      <c r="N91" s="106">
        <f>IF(AND(N83 = 0, N85 = 0), 1, N85 / N83)</f>
        <v>1.4558052491854991</v>
      </c>
      <c r="O91" s="106">
        <f t="shared" si="15"/>
        <v>1.2969964990774232</v>
      </c>
      <c r="P91" s="106">
        <f t="shared" si="15"/>
        <v>1.1524638388454602</v>
      </c>
      <c r="Q91" s="106">
        <f t="shared" si="15"/>
        <v>1.9844921165155447</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814</v>
      </c>
    </row>
    <row r="92" spans="2:27" x14ac:dyDescent="0.25">
      <c r="D92" s="75"/>
      <c r="J92" s="167"/>
      <c r="K92" s="167"/>
      <c r="L92" s="167"/>
      <c r="M92" s="167"/>
      <c r="N92" s="167"/>
      <c r="O92" s="167"/>
      <c r="P92" s="167"/>
      <c r="Q92" s="167"/>
      <c r="R92" s="167"/>
      <c r="S92" s="167"/>
      <c r="T92" s="167"/>
      <c r="U92" s="167"/>
      <c r="V92" s="167"/>
      <c r="W92" s="167"/>
      <c r="X92" s="167"/>
      <c r="Y92" s="167"/>
    </row>
    <row r="93" spans="2:27" x14ac:dyDescent="0.25">
      <c r="E93" s="94" t="s">
        <v>430</v>
      </c>
      <c r="G93" s="94" t="s">
        <v>283</v>
      </c>
      <c r="I93" t="s">
        <v>154</v>
      </c>
      <c r="J93" s="106">
        <f>IF(OR(J54 = 0, J85 = 0), 1, J91 / J54)</f>
        <v>1.5689405999952601</v>
      </c>
      <c r="K93" s="106">
        <f t="shared" ref="K93:Y93" si="16">IF(OR(K54 = 0, K85 = 0), 1, K91 / K54)</f>
        <v>1.5689405999952601</v>
      </c>
      <c r="L93" s="106">
        <f t="shared" si="16"/>
        <v>1.6689182563325284</v>
      </c>
      <c r="M93" s="106">
        <f t="shared" si="16"/>
        <v>1.6689182563325284</v>
      </c>
      <c r="N93" s="106">
        <f>IF(OR(N54 = 0, N85 = 0), 1, N91 / N54)</f>
        <v>1.2691434981581318</v>
      </c>
      <c r="O93" s="106">
        <f t="shared" si="16"/>
        <v>1.1877701333545776</v>
      </c>
      <c r="P93" s="106">
        <f t="shared" si="16"/>
        <v>1.1032054861556013</v>
      </c>
      <c r="Q93" s="106">
        <f t="shared" si="16"/>
        <v>1.1718450096562272</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431</v>
      </c>
    </row>
    <row r="94" spans="2:27" x14ac:dyDescent="0.25">
      <c r="F94" s="94"/>
      <c r="G94" s="94"/>
    </row>
    <row r="95" spans="2:27" x14ac:dyDescent="0.25">
      <c r="B95" s="85" t="s">
        <v>432</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25">
      <c r="C97" s="86" t="s">
        <v>434</v>
      </c>
      <c r="I97" t="s">
        <v>154</v>
      </c>
      <c r="AA97" t="s">
        <v>433</v>
      </c>
    </row>
    <row r="98" spans="3:27" x14ac:dyDescent="0.25">
      <c r="C98" s="86" t="s">
        <v>435</v>
      </c>
    </row>
    <row r="100" spans="3:27" x14ac:dyDescent="0.25">
      <c r="C100" s="93" t="str">
        <f ca="1">INDEX('Version control'!$H$41:$H$64,MATCH($A$1,'Version control'!$F$41:$F$64,0),1)&amp;"-H: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25">
      <c r="E102" s="75" t="s">
        <v>436</v>
      </c>
      <c r="G102" s="94"/>
    </row>
    <row r="103" spans="3:27" x14ac:dyDescent="0.25">
      <c r="F103" s="116" t="s">
        <v>294</v>
      </c>
      <c r="G103" s="98" t="s">
        <v>167</v>
      </c>
      <c r="H103" s="154">
        <f>'Inputs by network level'!K40</f>
        <v>1</v>
      </c>
    </row>
    <row r="104" spans="3:27" x14ac:dyDescent="0.25">
      <c r="F104" s="118" t="s">
        <v>295</v>
      </c>
      <c r="G104" s="94" t="s">
        <v>167</v>
      </c>
      <c r="H104" s="155">
        <f>'Inputs by network level'!K41</f>
        <v>0</v>
      </c>
    </row>
    <row r="105" spans="3:27" x14ac:dyDescent="0.25">
      <c r="F105" s="120" t="s">
        <v>257</v>
      </c>
      <c r="G105" s="101" t="s">
        <v>167</v>
      </c>
      <c r="H105" s="187">
        <f>'Inputs by network level'!K42</f>
        <v>0</v>
      </c>
    </row>
    <row r="106" spans="3:27" x14ac:dyDescent="0.25">
      <c r="F106" s="116" t="s">
        <v>296</v>
      </c>
      <c r="G106" s="98" t="s">
        <v>167</v>
      </c>
      <c r="H106" s="154">
        <f>'Inputs by network level'!K43</f>
        <v>0.91323115162044077</v>
      </c>
    </row>
    <row r="107" spans="3:27" x14ac:dyDescent="0.25">
      <c r="F107" s="118" t="s">
        <v>305</v>
      </c>
      <c r="G107" s="94" t="s">
        <v>167</v>
      </c>
      <c r="H107" s="221">
        <f>SUM(H103:H104) - H106</f>
        <v>8.6768848379559227E-2</v>
      </c>
    </row>
    <row r="108" spans="3:27" x14ac:dyDescent="0.25">
      <c r="F108" s="120" t="s">
        <v>257</v>
      </c>
      <c r="G108" s="101" t="s">
        <v>167</v>
      </c>
      <c r="H108" s="222">
        <f>H105</f>
        <v>0</v>
      </c>
    </row>
    <row r="109" spans="3:27" x14ac:dyDescent="0.25">
      <c r="F109" s="86"/>
      <c r="G109" s="94"/>
    </row>
    <row r="110" spans="3:27" x14ac:dyDescent="0.25">
      <c r="E110" s="75" t="s">
        <v>437</v>
      </c>
      <c r="G110" s="94"/>
    </row>
    <row r="111" spans="3:27" x14ac:dyDescent="0.25">
      <c r="F111" s="116" t="s">
        <v>422</v>
      </c>
      <c r="G111" s="98" t="s">
        <v>167</v>
      </c>
      <c r="H111" s="154">
        <f>'Inputs by network level'!L40</f>
        <v>0.79352298204514149</v>
      </c>
    </row>
    <row r="112" spans="3:27" x14ac:dyDescent="0.25">
      <c r="F112" s="118" t="s">
        <v>423</v>
      </c>
      <c r="G112" s="94" t="s">
        <v>167</v>
      </c>
      <c r="H112" s="155">
        <f>'Inputs by network level'!L41</f>
        <v>0.18708889287568198</v>
      </c>
    </row>
    <row r="113" spans="5:8" x14ac:dyDescent="0.25">
      <c r="F113" s="120" t="s">
        <v>257</v>
      </c>
      <c r="G113" s="101" t="s">
        <v>167</v>
      </c>
      <c r="H113" s="187">
        <f>'Inputs by network level'!L42</f>
        <v>1.9388125079176501E-2</v>
      </c>
    </row>
    <row r="114" spans="5:8" x14ac:dyDescent="0.25">
      <c r="F114" s="116" t="s">
        <v>296</v>
      </c>
      <c r="G114" s="98" t="s">
        <v>167</v>
      </c>
      <c r="H114" s="154">
        <f>'Inputs by network level'!L43</f>
        <v>0.68224654314411237</v>
      </c>
    </row>
    <row r="115" spans="5:8" x14ac:dyDescent="0.25">
      <c r="F115" s="118" t="s">
        <v>305</v>
      </c>
      <c r="G115" s="94" t="s">
        <v>167</v>
      </c>
      <c r="H115" s="221">
        <f>SUM(H111:H112) - H114</f>
        <v>0.2983653317767111</v>
      </c>
    </row>
    <row r="116" spans="5:8" x14ac:dyDescent="0.25">
      <c r="F116" s="120" t="s">
        <v>257</v>
      </c>
      <c r="G116" s="101" t="s">
        <v>167</v>
      </c>
      <c r="H116" s="222">
        <f>H113</f>
        <v>1.9388125079176501E-2</v>
      </c>
    </row>
    <row r="117" spans="5:8" x14ac:dyDescent="0.25">
      <c r="F117" s="86"/>
      <c r="G117" s="94"/>
    </row>
    <row r="118" spans="5:8" x14ac:dyDescent="0.25">
      <c r="E118" s="75" t="s">
        <v>438</v>
      </c>
      <c r="G118" s="94"/>
    </row>
    <row r="119" spans="5:8" x14ac:dyDescent="0.25">
      <c r="F119" s="116" t="s">
        <v>422</v>
      </c>
      <c r="G119" s="98" t="s">
        <v>167</v>
      </c>
      <c r="H119" s="154">
        <f>'Inputs by network level'!M40</f>
        <v>0.79352298204514149</v>
      </c>
    </row>
    <row r="120" spans="5:8" x14ac:dyDescent="0.25">
      <c r="F120" s="118" t="s">
        <v>423</v>
      </c>
      <c r="G120" s="94" t="s">
        <v>167</v>
      </c>
      <c r="H120" s="155">
        <f>'Inputs by network level'!M41</f>
        <v>0.18708889287568198</v>
      </c>
    </row>
    <row r="121" spans="5:8" x14ac:dyDescent="0.25">
      <c r="F121" s="120" t="s">
        <v>257</v>
      </c>
      <c r="G121" s="101" t="s">
        <v>167</v>
      </c>
      <c r="H121" s="187">
        <f>'Inputs by network level'!M42</f>
        <v>1.9388125079176501E-2</v>
      </c>
    </row>
    <row r="122" spans="5:8" x14ac:dyDescent="0.25">
      <c r="F122" s="116" t="s">
        <v>296</v>
      </c>
      <c r="G122" s="98" t="s">
        <v>167</v>
      </c>
      <c r="H122" s="154">
        <f>'Inputs by network level'!M43</f>
        <v>0.68224654314411237</v>
      </c>
    </row>
    <row r="123" spans="5:8" x14ac:dyDescent="0.25">
      <c r="F123" s="118" t="s">
        <v>305</v>
      </c>
      <c r="G123" s="94" t="s">
        <v>167</v>
      </c>
      <c r="H123" s="221">
        <f>SUM(H119:H120) - H122</f>
        <v>0.2983653317767111</v>
      </c>
    </row>
    <row r="124" spans="5:8" x14ac:dyDescent="0.25">
      <c r="F124" s="120" t="s">
        <v>257</v>
      </c>
      <c r="G124" s="101" t="s">
        <v>167</v>
      </c>
      <c r="H124" s="222">
        <f>H121</f>
        <v>1.9388125079176501E-2</v>
      </c>
    </row>
    <row r="125" spans="5:8" x14ac:dyDescent="0.25">
      <c r="F125" s="86"/>
      <c r="G125" s="94"/>
    </row>
    <row r="126" spans="5:8" x14ac:dyDescent="0.25">
      <c r="E126" s="75" t="s">
        <v>439</v>
      </c>
      <c r="G126" s="94"/>
    </row>
    <row r="127" spans="5:8" x14ac:dyDescent="0.25">
      <c r="F127" s="116" t="s">
        <v>422</v>
      </c>
      <c r="G127" s="98" t="s">
        <v>167</v>
      </c>
      <c r="H127" s="154">
        <f>'Inputs by network level'!N40</f>
        <v>0.53667582516844081</v>
      </c>
    </row>
    <row r="128" spans="5:8" x14ac:dyDescent="0.25">
      <c r="F128" s="118" t="s">
        <v>423</v>
      </c>
      <c r="G128" s="94" t="s">
        <v>167</v>
      </c>
      <c r="H128" s="155">
        <f>'Inputs by network level'!N41</f>
        <v>0.39924969728850995</v>
      </c>
    </row>
    <row r="129" spans="5:8" x14ac:dyDescent="0.25">
      <c r="F129" s="120" t="s">
        <v>257</v>
      </c>
      <c r="G129" s="101" t="s">
        <v>167</v>
      </c>
      <c r="H129" s="187">
        <f>'Inputs by network level'!N42</f>
        <v>6.4074477543049194E-2</v>
      </c>
    </row>
    <row r="130" spans="5:8" x14ac:dyDescent="0.25">
      <c r="F130" s="116" t="s">
        <v>296</v>
      </c>
      <c r="G130" s="98" t="s">
        <v>167</v>
      </c>
      <c r="H130" s="154">
        <f>'Inputs by network level'!N43</f>
        <v>0.45632329765244756</v>
      </c>
    </row>
    <row r="131" spans="5:8" x14ac:dyDescent="0.25">
      <c r="F131" s="118" t="s">
        <v>305</v>
      </c>
      <c r="G131" s="94" t="s">
        <v>167</v>
      </c>
      <c r="H131" s="221">
        <f>SUM(H127:H128) - H130</f>
        <v>0.47960222480450315</v>
      </c>
    </row>
    <row r="132" spans="5:8" x14ac:dyDescent="0.25">
      <c r="F132" s="120" t="s">
        <v>257</v>
      </c>
      <c r="G132" s="101" t="s">
        <v>167</v>
      </c>
      <c r="H132" s="222">
        <f>H129</f>
        <v>6.4074477543049194E-2</v>
      </c>
    </row>
    <row r="133" spans="5:8" x14ac:dyDescent="0.25">
      <c r="F133" s="86"/>
      <c r="G133" s="94"/>
    </row>
    <row r="134" spans="5:8" x14ac:dyDescent="0.25">
      <c r="E134" s="75" t="s">
        <v>440</v>
      </c>
      <c r="G134" s="94"/>
    </row>
    <row r="135" spans="5:8" x14ac:dyDescent="0.25">
      <c r="F135" s="116" t="s">
        <v>422</v>
      </c>
      <c r="G135" s="98" t="s">
        <v>167</v>
      </c>
      <c r="H135" s="154">
        <f>'Inputs by network level'!O40</f>
        <v>0.53667582516844081</v>
      </c>
    </row>
    <row r="136" spans="5:8" x14ac:dyDescent="0.25">
      <c r="F136" s="118" t="s">
        <v>423</v>
      </c>
      <c r="G136" s="94" t="s">
        <v>167</v>
      </c>
      <c r="H136" s="155">
        <f>'Inputs by network level'!O41</f>
        <v>0.39924969728850995</v>
      </c>
    </row>
    <row r="137" spans="5:8" x14ac:dyDescent="0.25">
      <c r="F137" s="120" t="s">
        <v>257</v>
      </c>
      <c r="G137" s="101" t="s">
        <v>167</v>
      </c>
      <c r="H137" s="187">
        <f>'Inputs by network level'!O42</f>
        <v>6.4074477543049194E-2</v>
      </c>
    </row>
    <row r="138" spans="5:8" x14ac:dyDescent="0.25">
      <c r="F138" s="116" t="s">
        <v>296</v>
      </c>
      <c r="G138" s="98" t="s">
        <v>167</v>
      </c>
      <c r="H138" s="154">
        <f>'Inputs by network level'!O43</f>
        <v>0.45632329765244756</v>
      </c>
    </row>
    <row r="139" spans="5:8" x14ac:dyDescent="0.25">
      <c r="F139" s="118" t="s">
        <v>305</v>
      </c>
      <c r="G139" s="94" t="s">
        <v>167</v>
      </c>
      <c r="H139" s="221">
        <f>SUM(H135:H136) - H138</f>
        <v>0.47960222480450315</v>
      </c>
    </row>
    <row r="140" spans="5:8" x14ac:dyDescent="0.25">
      <c r="F140" s="120" t="s">
        <v>257</v>
      </c>
      <c r="G140" s="101" t="s">
        <v>167</v>
      </c>
      <c r="H140" s="222">
        <f>H137</f>
        <v>6.4074477543049194E-2</v>
      </c>
    </row>
    <row r="141" spans="5:8" x14ac:dyDescent="0.25">
      <c r="F141" s="86"/>
      <c r="G141" s="94"/>
    </row>
    <row r="142" spans="5:8" x14ac:dyDescent="0.25">
      <c r="E142" s="75" t="s">
        <v>441</v>
      </c>
      <c r="G142" s="94"/>
    </row>
    <row r="143" spans="5:8" x14ac:dyDescent="0.25">
      <c r="F143" s="116" t="s">
        <v>422</v>
      </c>
      <c r="G143" s="98" t="s">
        <v>167</v>
      </c>
      <c r="H143" s="154">
        <f>'Inputs by network level'!P40</f>
        <v>0.79352298204514149</v>
      </c>
    </row>
    <row r="144" spans="5:8" x14ac:dyDescent="0.25">
      <c r="F144" s="118" t="s">
        <v>423</v>
      </c>
      <c r="G144" s="94" t="s">
        <v>167</v>
      </c>
      <c r="H144" s="155">
        <f>'Inputs by network level'!P41</f>
        <v>0.18708889287568198</v>
      </c>
    </row>
    <row r="145" spans="5:8" x14ac:dyDescent="0.25">
      <c r="F145" s="120" t="s">
        <v>257</v>
      </c>
      <c r="G145" s="101" t="s">
        <v>167</v>
      </c>
      <c r="H145" s="187">
        <f>'Inputs by network level'!P42</f>
        <v>1.9388125079176501E-2</v>
      </c>
    </row>
    <row r="146" spans="5:8" x14ac:dyDescent="0.25">
      <c r="F146" s="116" t="s">
        <v>296</v>
      </c>
      <c r="G146" s="98" t="s">
        <v>167</v>
      </c>
      <c r="H146" s="154">
        <f>'Inputs by network level'!P43</f>
        <v>0.68224654314411237</v>
      </c>
    </row>
    <row r="147" spans="5:8" x14ac:dyDescent="0.25">
      <c r="F147" s="118" t="s">
        <v>305</v>
      </c>
      <c r="G147" s="94" t="s">
        <v>167</v>
      </c>
      <c r="H147" s="221">
        <f>SUM(H143:H144) - H146</f>
        <v>0.2983653317767111</v>
      </c>
    </row>
    <row r="148" spans="5:8" x14ac:dyDescent="0.25">
      <c r="F148" s="120" t="s">
        <v>257</v>
      </c>
      <c r="G148" s="101" t="s">
        <v>167</v>
      </c>
      <c r="H148" s="222">
        <f>H145</f>
        <v>1.9388125079176501E-2</v>
      </c>
    </row>
    <row r="149" spans="5:8" x14ac:dyDescent="0.25">
      <c r="F149" s="86"/>
      <c r="G149" s="94"/>
    </row>
    <row r="150" spans="5:8" x14ac:dyDescent="0.25">
      <c r="E150" s="75" t="s">
        <v>442</v>
      </c>
      <c r="G150" s="94"/>
    </row>
    <row r="151" spans="5:8" x14ac:dyDescent="0.25">
      <c r="F151" s="116" t="s">
        <v>422</v>
      </c>
      <c r="G151" s="98" t="s">
        <v>167</v>
      </c>
      <c r="H151" s="154">
        <f>'Inputs by network level'!Q40</f>
        <v>0.53667582516844081</v>
      </c>
    </row>
    <row r="152" spans="5:8" x14ac:dyDescent="0.25">
      <c r="F152" s="118" t="s">
        <v>423</v>
      </c>
      <c r="G152" s="94" t="s">
        <v>167</v>
      </c>
      <c r="H152" s="155">
        <f>'Inputs by network level'!Q41</f>
        <v>0.39924969728850995</v>
      </c>
    </row>
    <row r="153" spans="5:8" x14ac:dyDescent="0.25">
      <c r="F153" s="120" t="s">
        <v>257</v>
      </c>
      <c r="G153" s="101" t="s">
        <v>167</v>
      </c>
      <c r="H153" s="187">
        <f>'Inputs by network level'!Q42</f>
        <v>6.4074477543049194E-2</v>
      </c>
    </row>
    <row r="154" spans="5:8" x14ac:dyDescent="0.25">
      <c r="F154" s="116" t="s">
        <v>296</v>
      </c>
      <c r="G154" s="98" t="s">
        <v>167</v>
      </c>
      <c r="H154" s="154">
        <f>'Inputs by network level'!Q43</f>
        <v>0.45632329765244756</v>
      </c>
    </row>
    <row r="155" spans="5:8" x14ac:dyDescent="0.25">
      <c r="F155" s="118" t="s">
        <v>305</v>
      </c>
      <c r="G155" s="94" t="s">
        <v>167</v>
      </c>
      <c r="H155" s="221">
        <f>SUM(H151:H152) - H154</f>
        <v>0.47960222480450315</v>
      </c>
    </row>
    <row r="156" spans="5:8" x14ac:dyDescent="0.25">
      <c r="F156" s="120" t="s">
        <v>257</v>
      </c>
      <c r="G156" s="101" t="s">
        <v>167</v>
      </c>
      <c r="H156" s="222">
        <f>H153</f>
        <v>6.4074477543049194E-2</v>
      </c>
    </row>
    <row r="157" spans="5:8" x14ac:dyDescent="0.25">
      <c r="F157" s="86"/>
      <c r="G157" s="94"/>
    </row>
    <row r="158" spans="5:8" x14ac:dyDescent="0.25">
      <c r="E158" s="75" t="s">
        <v>443</v>
      </c>
      <c r="G158" s="94"/>
    </row>
    <row r="159" spans="5:8" x14ac:dyDescent="0.25">
      <c r="F159" s="116" t="s">
        <v>422</v>
      </c>
      <c r="G159" s="98" t="s">
        <v>167</v>
      </c>
      <c r="H159" s="154">
        <f>'Inputs by network level'!R40</f>
        <v>0.53667582516844081</v>
      </c>
    </row>
    <row r="160" spans="5:8" x14ac:dyDescent="0.25">
      <c r="F160" s="118" t="s">
        <v>423</v>
      </c>
      <c r="G160" s="94" t="s">
        <v>167</v>
      </c>
      <c r="H160" s="155">
        <f>'Inputs by network level'!R41</f>
        <v>0.39924969728850995</v>
      </c>
    </row>
    <row r="161" spans="3:27" x14ac:dyDescent="0.25">
      <c r="F161" s="120" t="s">
        <v>257</v>
      </c>
      <c r="G161" s="101" t="s">
        <v>167</v>
      </c>
      <c r="H161" s="187">
        <f>'Inputs by network level'!R42</f>
        <v>6.4074477543049194E-2</v>
      </c>
    </row>
    <row r="162" spans="3:27" x14ac:dyDescent="0.25">
      <c r="F162" s="116" t="s">
        <v>296</v>
      </c>
      <c r="G162" s="98" t="s">
        <v>167</v>
      </c>
      <c r="H162" s="154">
        <f>'Inputs by network level'!R43</f>
        <v>0.45632329765244756</v>
      </c>
    </row>
    <row r="163" spans="3:27" x14ac:dyDescent="0.25">
      <c r="F163" s="118" t="s">
        <v>305</v>
      </c>
      <c r="G163" s="94" t="s">
        <v>167</v>
      </c>
      <c r="H163" s="221">
        <f>SUM(H159:H160) - H162</f>
        <v>0.47960222480450315</v>
      </c>
    </row>
    <row r="164" spans="3:27" x14ac:dyDescent="0.25">
      <c r="F164" s="120" t="s">
        <v>257</v>
      </c>
      <c r="G164" s="101" t="s">
        <v>167</v>
      </c>
      <c r="H164" s="222">
        <f>H161</f>
        <v>6.4074477543049194E-2</v>
      </c>
    </row>
    <row r="165" spans="3:27" x14ac:dyDescent="0.25">
      <c r="F165" s="86"/>
      <c r="G165" s="94"/>
    </row>
    <row r="166" spans="3:27" x14ac:dyDescent="0.25">
      <c r="E166" s="75" t="s">
        <v>444</v>
      </c>
      <c r="G166" s="94"/>
    </row>
    <row r="167" spans="3:27" x14ac:dyDescent="0.25">
      <c r="F167" s="116" t="s">
        <v>422</v>
      </c>
      <c r="G167" s="98" t="s">
        <v>167</v>
      </c>
      <c r="H167" s="154">
        <f>'Inputs by network level'!S40</f>
        <v>0.53667582516844081</v>
      </c>
    </row>
    <row r="168" spans="3:27" x14ac:dyDescent="0.25">
      <c r="F168" s="118" t="s">
        <v>423</v>
      </c>
      <c r="G168" s="94" t="s">
        <v>167</v>
      </c>
      <c r="H168" s="155">
        <f>'Inputs by network level'!S41</f>
        <v>0.39924969728850995</v>
      </c>
    </row>
    <row r="169" spans="3:27" x14ac:dyDescent="0.25">
      <c r="F169" s="120" t="s">
        <v>257</v>
      </c>
      <c r="G169" s="101" t="s">
        <v>167</v>
      </c>
      <c r="H169" s="187">
        <f>'Inputs by network level'!S42</f>
        <v>6.4074477543049194E-2</v>
      </c>
    </row>
    <row r="170" spans="3:27" x14ac:dyDescent="0.25">
      <c r="F170" s="116" t="s">
        <v>296</v>
      </c>
      <c r="G170" s="98" t="s">
        <v>167</v>
      </c>
      <c r="H170" s="154">
        <f>'Inputs by network level'!S43</f>
        <v>0.45632329765244756</v>
      </c>
    </row>
    <row r="171" spans="3:27" x14ac:dyDescent="0.25">
      <c r="F171" s="118" t="s">
        <v>305</v>
      </c>
      <c r="G171" s="94" t="s">
        <v>167</v>
      </c>
      <c r="H171" s="221">
        <f>SUM(H167:H168) - H170</f>
        <v>0.47960222480450315</v>
      </c>
    </row>
    <row r="172" spans="3:27" x14ac:dyDescent="0.25">
      <c r="F172" s="120" t="s">
        <v>257</v>
      </c>
      <c r="G172" s="101" t="s">
        <v>167</v>
      </c>
      <c r="H172" s="222">
        <f>H169</f>
        <v>6.4074477543049194E-2</v>
      </c>
    </row>
    <row r="173" spans="3:27" x14ac:dyDescent="0.25">
      <c r="E173" s="86"/>
      <c r="F173" s="94"/>
      <c r="G173" s="94"/>
    </row>
    <row r="174" spans="3:27" x14ac:dyDescent="0.25">
      <c r="C174" s="93" t="str">
        <f ca="1">INDEX('Version control'!$H$41:$H$64,MATCH($A$1,'Version control'!$F$41:$F$64,0),1)&amp;"-I: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25">
      <c r="E176" s="75" t="s">
        <v>436</v>
      </c>
      <c r="G176" s="94"/>
    </row>
    <row r="177" spans="5:25" x14ac:dyDescent="0.25">
      <c r="E177" s="86"/>
      <c r="F177" s="116" t="s">
        <v>422</v>
      </c>
      <c r="G177" s="98" t="s">
        <v>167</v>
      </c>
      <c r="H177" s="154"/>
      <c r="I177" s="95"/>
      <c r="J177" s="199">
        <f t="shared" ref="J177:K177" si="17">IF(J$20, $H106, $H103)</f>
        <v>1</v>
      </c>
      <c r="K177" s="199">
        <f t="shared" si="17"/>
        <v>1</v>
      </c>
      <c r="L177" s="199">
        <f t="shared" ref="L177:M177" si="18">IF(L$20, $H106, $H103)</f>
        <v>1</v>
      </c>
      <c r="M177" s="199">
        <f t="shared" si="18"/>
        <v>1</v>
      </c>
      <c r="N177" s="199">
        <f t="shared" ref="N177:P177" si="19">IF(N$20, $H106, $H103)</f>
        <v>1</v>
      </c>
      <c r="O177" s="199">
        <f t="shared" si="19"/>
        <v>1</v>
      </c>
      <c r="P177" s="199">
        <f t="shared" si="19"/>
        <v>1</v>
      </c>
      <c r="Q177" s="199">
        <f t="shared" ref="Q177:S177" si="20">IF(Q$20, $H106, $H103)</f>
        <v>0.91323115162044077</v>
      </c>
      <c r="R177" s="199">
        <f t="shared" si="20"/>
        <v>1</v>
      </c>
      <c r="S177" s="199">
        <f t="shared" si="20"/>
        <v>1</v>
      </c>
      <c r="T177" s="199">
        <f t="shared" ref="T177:U177" si="21">IF(T$20, $H106, $H103)</f>
        <v>1</v>
      </c>
      <c r="U177" s="199">
        <f t="shared" si="21"/>
        <v>1</v>
      </c>
      <c r="V177" s="199">
        <f t="shared" ref="V177:W177" si="22">IF(V$20, $H106, $H103)</f>
        <v>1</v>
      </c>
      <c r="W177" s="199">
        <f t="shared" si="22"/>
        <v>1</v>
      </c>
      <c r="X177" s="199">
        <f t="shared" ref="X177:Y177" si="23">IF(X$20, $H106, $H103)</f>
        <v>1</v>
      </c>
      <c r="Y177" s="199">
        <f t="shared" si="23"/>
        <v>1</v>
      </c>
    </row>
    <row r="178" spans="5:25" x14ac:dyDescent="0.25">
      <c r="E178" s="86"/>
      <c r="F178" s="118" t="s">
        <v>423</v>
      </c>
      <c r="G178" s="94" t="s">
        <v>167</v>
      </c>
      <c r="H178" s="155"/>
      <c r="J178" s="191">
        <f t="shared" ref="J178:K178" si="24">IF(J$20, $H107, $H104)</f>
        <v>0</v>
      </c>
      <c r="K178" s="191">
        <f t="shared" si="24"/>
        <v>0</v>
      </c>
      <c r="L178" s="191">
        <f t="shared" ref="L178:M178" si="25">IF(L$20, $H107, $H104)</f>
        <v>0</v>
      </c>
      <c r="M178" s="191">
        <f t="shared" si="25"/>
        <v>0</v>
      </c>
      <c r="N178" s="191">
        <f t="shared" ref="N178:P178" si="26">IF(N$20, $H107, $H104)</f>
        <v>0</v>
      </c>
      <c r="O178" s="191">
        <f t="shared" si="26"/>
        <v>0</v>
      </c>
      <c r="P178" s="191">
        <f t="shared" si="26"/>
        <v>0</v>
      </c>
      <c r="Q178" s="191">
        <f t="shared" ref="Q178:S178" si="27">IF(Q$20, $H107, $H104)</f>
        <v>8.6768848379559227E-2</v>
      </c>
      <c r="R178" s="191">
        <f t="shared" si="27"/>
        <v>0</v>
      </c>
      <c r="S178" s="191">
        <f t="shared" si="27"/>
        <v>0</v>
      </c>
      <c r="T178" s="191">
        <f t="shared" ref="T178:U178" si="28">IF(T$20, $H107, $H104)</f>
        <v>0</v>
      </c>
      <c r="U178" s="191">
        <f t="shared" si="28"/>
        <v>0</v>
      </c>
      <c r="V178" s="191">
        <f t="shared" ref="V178:W178" si="29">IF(V$20, $H107, $H104)</f>
        <v>0</v>
      </c>
      <c r="W178" s="191">
        <f t="shared" si="29"/>
        <v>0</v>
      </c>
      <c r="X178" s="191">
        <f t="shared" ref="X178:Y178" si="30">IF(X$20, $H107, $H104)</f>
        <v>0</v>
      </c>
      <c r="Y178" s="191">
        <f t="shared" si="30"/>
        <v>0</v>
      </c>
    </row>
    <row r="179" spans="5:25" x14ac:dyDescent="0.25">
      <c r="E179" s="86"/>
      <c r="F179" s="120" t="s">
        <v>257</v>
      </c>
      <c r="G179" s="101" t="s">
        <v>167</v>
      </c>
      <c r="H179" s="187"/>
      <c r="I179" s="96"/>
      <c r="J179" s="200">
        <f t="shared" ref="J179:K179" si="31">IF(J$20, $H108, $H105)</f>
        <v>0</v>
      </c>
      <c r="K179" s="200">
        <f t="shared" si="31"/>
        <v>0</v>
      </c>
      <c r="L179" s="200">
        <f t="shared" ref="L179:M179" si="32">IF(L$20, $H108, $H105)</f>
        <v>0</v>
      </c>
      <c r="M179" s="200">
        <f t="shared" si="32"/>
        <v>0</v>
      </c>
      <c r="N179" s="200">
        <f t="shared" ref="N179:P179" si="33">IF(N$20, $H108, $H105)</f>
        <v>0</v>
      </c>
      <c r="O179" s="200">
        <f t="shared" si="33"/>
        <v>0</v>
      </c>
      <c r="P179" s="200">
        <f t="shared" si="33"/>
        <v>0</v>
      </c>
      <c r="Q179" s="200">
        <f t="shared" ref="Q179:S179" si="34">IF(Q$20, $H108, $H105)</f>
        <v>0</v>
      </c>
      <c r="R179" s="200">
        <f t="shared" si="34"/>
        <v>0</v>
      </c>
      <c r="S179" s="200">
        <f t="shared" si="34"/>
        <v>0</v>
      </c>
      <c r="T179" s="200">
        <f t="shared" ref="T179:U179" si="35">IF(T$20, $H108, $H105)</f>
        <v>0</v>
      </c>
      <c r="U179" s="200">
        <f t="shared" si="35"/>
        <v>0</v>
      </c>
      <c r="V179" s="200">
        <f t="shared" ref="V179:W179" si="36">IF(V$20, $H108, $H105)</f>
        <v>0</v>
      </c>
      <c r="W179" s="200">
        <f t="shared" si="36"/>
        <v>0</v>
      </c>
      <c r="X179" s="200">
        <f t="shared" ref="X179:Y179" si="37">IF(X$20, $H108, $H105)</f>
        <v>0</v>
      </c>
      <c r="Y179" s="200">
        <f t="shared" si="37"/>
        <v>0</v>
      </c>
    </row>
    <row r="180" spans="5:25" x14ac:dyDescent="0.2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25">
      <c r="E181" s="75" t="s">
        <v>437</v>
      </c>
      <c r="G181" s="94"/>
    </row>
    <row r="182" spans="5:25" x14ac:dyDescent="0.25">
      <c r="E182" s="86"/>
      <c r="F182" s="116" t="s">
        <v>422</v>
      </c>
      <c r="G182" s="98" t="s">
        <v>167</v>
      </c>
      <c r="H182" s="154"/>
      <c r="I182" s="95"/>
      <c r="J182" s="199">
        <f t="shared" ref="J182:K182" si="38">IF(J$20, $H114, $H111)</f>
        <v>0.79352298204514149</v>
      </c>
      <c r="K182" s="199">
        <f t="shared" si="38"/>
        <v>0.79352298204514149</v>
      </c>
      <c r="L182" s="199">
        <f t="shared" ref="L182:M182" si="39">IF(L$20, $H114, $H111)</f>
        <v>0.79352298204514149</v>
      </c>
      <c r="M182" s="199">
        <f t="shared" si="39"/>
        <v>0.79352298204514149</v>
      </c>
      <c r="N182" s="199">
        <f t="shared" ref="N182:P182" si="40">IF(N$20, $H114, $H111)</f>
        <v>0.79352298204514149</v>
      </c>
      <c r="O182" s="199">
        <f t="shared" si="40"/>
        <v>0.79352298204514149</v>
      </c>
      <c r="P182" s="199">
        <f t="shared" si="40"/>
        <v>0.79352298204514149</v>
      </c>
      <c r="Q182" s="199">
        <f t="shared" ref="Q182:S182" si="41">IF(Q$20, $H114, $H111)</f>
        <v>0.68224654314411237</v>
      </c>
      <c r="R182" s="199">
        <f t="shared" si="41"/>
        <v>0.79352298204514149</v>
      </c>
      <c r="S182" s="199">
        <f t="shared" si="41"/>
        <v>0.79352298204514149</v>
      </c>
      <c r="T182" s="199">
        <f t="shared" ref="T182:U182" si="42">IF(T$20, $H114, $H111)</f>
        <v>0.79352298204514149</v>
      </c>
      <c r="U182" s="199">
        <f t="shared" si="42"/>
        <v>0.79352298204514149</v>
      </c>
      <c r="V182" s="199">
        <f t="shared" ref="V182:W182" si="43">IF(V$20, $H114, $H111)</f>
        <v>0.79352298204514149</v>
      </c>
      <c r="W182" s="199">
        <f t="shared" si="43"/>
        <v>0.79352298204514149</v>
      </c>
      <c r="X182" s="199">
        <f t="shared" ref="X182:Y182" si="44">IF(X$20, $H114, $H111)</f>
        <v>0.79352298204514149</v>
      </c>
      <c r="Y182" s="199">
        <f t="shared" si="44"/>
        <v>0.79352298204514149</v>
      </c>
    </row>
    <row r="183" spans="5:25" x14ac:dyDescent="0.25">
      <c r="E183" s="86"/>
      <c r="F183" s="118" t="s">
        <v>423</v>
      </c>
      <c r="G183" s="94" t="s">
        <v>167</v>
      </c>
      <c r="H183" s="155"/>
      <c r="J183" s="191">
        <f t="shared" ref="J183:K183" si="45">IF(J$20, $H115, $H112)</f>
        <v>0.18708889287568198</v>
      </c>
      <c r="K183" s="191">
        <f t="shared" si="45"/>
        <v>0.18708889287568198</v>
      </c>
      <c r="L183" s="191">
        <f t="shared" ref="L183:M183" si="46">IF(L$20, $H115, $H112)</f>
        <v>0.18708889287568198</v>
      </c>
      <c r="M183" s="191">
        <f t="shared" si="46"/>
        <v>0.18708889287568198</v>
      </c>
      <c r="N183" s="191">
        <f t="shared" ref="N183:P183" si="47">IF(N$20, $H115, $H112)</f>
        <v>0.18708889287568198</v>
      </c>
      <c r="O183" s="191">
        <f t="shared" si="47"/>
        <v>0.18708889287568198</v>
      </c>
      <c r="P183" s="191">
        <f t="shared" si="47"/>
        <v>0.18708889287568198</v>
      </c>
      <c r="Q183" s="191">
        <f t="shared" ref="Q183:S183" si="48">IF(Q$20, $H115, $H112)</f>
        <v>0.2983653317767111</v>
      </c>
      <c r="R183" s="191">
        <f t="shared" si="48"/>
        <v>0.18708889287568198</v>
      </c>
      <c r="S183" s="191">
        <f t="shared" si="48"/>
        <v>0.18708889287568198</v>
      </c>
      <c r="T183" s="191">
        <f t="shared" ref="T183:U183" si="49">IF(T$20, $H115, $H112)</f>
        <v>0.18708889287568198</v>
      </c>
      <c r="U183" s="191">
        <f t="shared" si="49"/>
        <v>0.18708889287568198</v>
      </c>
      <c r="V183" s="191">
        <f t="shared" ref="V183:W183" si="50">IF(V$20, $H115, $H112)</f>
        <v>0.18708889287568198</v>
      </c>
      <c r="W183" s="191">
        <f t="shared" si="50"/>
        <v>0.18708889287568198</v>
      </c>
      <c r="X183" s="191">
        <f t="shared" ref="X183:Y183" si="51">IF(X$20, $H115, $H112)</f>
        <v>0.18708889287568198</v>
      </c>
      <c r="Y183" s="191">
        <f t="shared" si="51"/>
        <v>0.18708889287568198</v>
      </c>
    </row>
    <row r="184" spans="5:25" x14ac:dyDescent="0.25">
      <c r="E184" s="86"/>
      <c r="F184" s="120" t="s">
        <v>257</v>
      </c>
      <c r="G184" s="101" t="s">
        <v>167</v>
      </c>
      <c r="H184" s="187"/>
      <c r="I184" s="96"/>
      <c r="J184" s="200">
        <f t="shared" ref="J184:K184" si="52">IF(J$20, $H116, $H113)</f>
        <v>1.9388125079176501E-2</v>
      </c>
      <c r="K184" s="200">
        <f t="shared" si="52"/>
        <v>1.9388125079176501E-2</v>
      </c>
      <c r="L184" s="200">
        <f t="shared" ref="L184:M184" si="53">IF(L$20, $H116, $H113)</f>
        <v>1.9388125079176501E-2</v>
      </c>
      <c r="M184" s="200">
        <f t="shared" si="53"/>
        <v>1.9388125079176501E-2</v>
      </c>
      <c r="N184" s="200">
        <f t="shared" ref="N184:P184" si="54">IF(N$20, $H116, $H113)</f>
        <v>1.9388125079176501E-2</v>
      </c>
      <c r="O184" s="200">
        <f t="shared" si="54"/>
        <v>1.9388125079176501E-2</v>
      </c>
      <c r="P184" s="200">
        <f t="shared" si="54"/>
        <v>1.9388125079176501E-2</v>
      </c>
      <c r="Q184" s="200">
        <f t="shared" ref="Q184:S184" si="55">IF(Q$20, $H116, $H113)</f>
        <v>1.9388125079176501E-2</v>
      </c>
      <c r="R184" s="200">
        <f t="shared" si="55"/>
        <v>1.9388125079176501E-2</v>
      </c>
      <c r="S184" s="200">
        <f t="shared" si="55"/>
        <v>1.9388125079176501E-2</v>
      </c>
      <c r="T184" s="200">
        <f t="shared" ref="T184:U184" si="56">IF(T$20, $H116, $H113)</f>
        <v>1.9388125079176501E-2</v>
      </c>
      <c r="U184" s="200">
        <f t="shared" si="56"/>
        <v>1.9388125079176501E-2</v>
      </c>
      <c r="V184" s="200">
        <f t="shared" ref="V184:W184" si="57">IF(V$20, $H116, $H113)</f>
        <v>1.9388125079176501E-2</v>
      </c>
      <c r="W184" s="200">
        <f t="shared" si="57"/>
        <v>1.9388125079176501E-2</v>
      </c>
      <c r="X184" s="200">
        <f t="shared" ref="X184:Y184" si="58">IF(X$20, $H116, $H113)</f>
        <v>1.9388125079176501E-2</v>
      </c>
      <c r="Y184" s="200">
        <f t="shared" si="58"/>
        <v>1.9388125079176501E-2</v>
      </c>
    </row>
    <row r="185" spans="5:25" x14ac:dyDescent="0.2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25">
      <c r="E186" s="75" t="s">
        <v>438</v>
      </c>
      <c r="G186" s="94"/>
    </row>
    <row r="187" spans="5:25" x14ac:dyDescent="0.25">
      <c r="E187" s="86"/>
      <c r="F187" s="116" t="s">
        <v>422</v>
      </c>
      <c r="G187" s="98" t="s">
        <v>167</v>
      </c>
      <c r="H187" s="154"/>
      <c r="I187" s="95"/>
      <c r="J187" s="199">
        <f t="shared" ref="J187:K187" si="59">IF(J$20, $H122, $H119)</f>
        <v>0.79352298204514149</v>
      </c>
      <c r="K187" s="199">
        <f t="shared" si="59"/>
        <v>0.79352298204514149</v>
      </c>
      <c r="L187" s="199">
        <f t="shared" ref="L187:M187" si="60">IF(L$20, $H122, $H119)</f>
        <v>0.79352298204514149</v>
      </c>
      <c r="M187" s="199">
        <f t="shared" si="60"/>
        <v>0.79352298204514149</v>
      </c>
      <c r="N187" s="199">
        <f t="shared" ref="N187:P187" si="61">IF(N$20, $H122, $H119)</f>
        <v>0.79352298204514149</v>
      </c>
      <c r="O187" s="199">
        <f t="shared" si="61"/>
        <v>0.79352298204514149</v>
      </c>
      <c r="P187" s="199">
        <f t="shared" si="61"/>
        <v>0.79352298204514149</v>
      </c>
      <c r="Q187" s="199">
        <f t="shared" ref="Q187:S187" si="62">IF(Q$20, $H122, $H119)</f>
        <v>0.68224654314411237</v>
      </c>
      <c r="R187" s="199">
        <f t="shared" si="62"/>
        <v>0.79352298204514149</v>
      </c>
      <c r="S187" s="199">
        <f t="shared" si="62"/>
        <v>0.79352298204514149</v>
      </c>
      <c r="T187" s="199">
        <f t="shared" ref="T187:U187" si="63">IF(T$20, $H122, $H119)</f>
        <v>0.79352298204514149</v>
      </c>
      <c r="U187" s="199">
        <f t="shared" si="63"/>
        <v>0.79352298204514149</v>
      </c>
      <c r="V187" s="199">
        <f t="shared" ref="V187:W187" si="64">IF(V$20, $H122, $H119)</f>
        <v>0.79352298204514149</v>
      </c>
      <c r="W187" s="199">
        <f t="shared" si="64"/>
        <v>0.79352298204514149</v>
      </c>
      <c r="X187" s="199">
        <f t="shared" ref="X187:Y187" si="65">IF(X$20, $H122, $H119)</f>
        <v>0.79352298204514149</v>
      </c>
      <c r="Y187" s="199">
        <f t="shared" si="65"/>
        <v>0.79352298204514149</v>
      </c>
    </row>
    <row r="188" spans="5:25" x14ac:dyDescent="0.25">
      <c r="E188" s="86"/>
      <c r="F188" s="118" t="s">
        <v>423</v>
      </c>
      <c r="G188" s="94" t="s">
        <v>167</v>
      </c>
      <c r="H188" s="155"/>
      <c r="J188" s="191">
        <f t="shared" ref="J188:K188" si="66">IF(J$20, $H123, $H120)</f>
        <v>0.18708889287568198</v>
      </c>
      <c r="K188" s="191">
        <f t="shared" si="66"/>
        <v>0.18708889287568198</v>
      </c>
      <c r="L188" s="191">
        <f t="shared" ref="L188:M188" si="67">IF(L$20, $H123, $H120)</f>
        <v>0.18708889287568198</v>
      </c>
      <c r="M188" s="191">
        <f t="shared" si="67"/>
        <v>0.18708889287568198</v>
      </c>
      <c r="N188" s="191">
        <f t="shared" ref="N188:P188" si="68">IF(N$20, $H123, $H120)</f>
        <v>0.18708889287568198</v>
      </c>
      <c r="O188" s="191">
        <f t="shared" si="68"/>
        <v>0.18708889287568198</v>
      </c>
      <c r="P188" s="191">
        <f t="shared" si="68"/>
        <v>0.18708889287568198</v>
      </c>
      <c r="Q188" s="191">
        <f t="shared" ref="Q188:S188" si="69">IF(Q$20, $H123, $H120)</f>
        <v>0.2983653317767111</v>
      </c>
      <c r="R188" s="191">
        <f t="shared" si="69"/>
        <v>0.18708889287568198</v>
      </c>
      <c r="S188" s="191">
        <f t="shared" si="69"/>
        <v>0.18708889287568198</v>
      </c>
      <c r="T188" s="191">
        <f t="shared" ref="T188:U188" si="70">IF(T$20, $H123, $H120)</f>
        <v>0.18708889287568198</v>
      </c>
      <c r="U188" s="191">
        <f t="shared" si="70"/>
        <v>0.18708889287568198</v>
      </c>
      <c r="V188" s="191">
        <f t="shared" ref="V188:W188" si="71">IF(V$20, $H123, $H120)</f>
        <v>0.18708889287568198</v>
      </c>
      <c r="W188" s="191">
        <f t="shared" si="71"/>
        <v>0.18708889287568198</v>
      </c>
      <c r="X188" s="191">
        <f t="shared" ref="X188:Y188" si="72">IF(X$20, $H123, $H120)</f>
        <v>0.18708889287568198</v>
      </c>
      <c r="Y188" s="191">
        <f t="shared" si="72"/>
        <v>0.18708889287568198</v>
      </c>
    </row>
    <row r="189" spans="5:25" x14ac:dyDescent="0.25">
      <c r="E189" s="86"/>
      <c r="F189" s="120" t="s">
        <v>257</v>
      </c>
      <c r="G189" s="101" t="s">
        <v>167</v>
      </c>
      <c r="H189" s="187"/>
      <c r="I189" s="96"/>
      <c r="J189" s="200">
        <f t="shared" ref="J189:K189" si="73">IF(J$20, $H124, $H121)</f>
        <v>1.9388125079176501E-2</v>
      </c>
      <c r="K189" s="200">
        <f t="shared" si="73"/>
        <v>1.9388125079176501E-2</v>
      </c>
      <c r="L189" s="200">
        <f t="shared" ref="L189:M189" si="74">IF(L$20, $H124, $H121)</f>
        <v>1.9388125079176501E-2</v>
      </c>
      <c r="M189" s="200">
        <f t="shared" si="74"/>
        <v>1.9388125079176501E-2</v>
      </c>
      <c r="N189" s="200">
        <f t="shared" ref="N189:P189" si="75">IF(N$20, $H124, $H121)</f>
        <v>1.9388125079176501E-2</v>
      </c>
      <c r="O189" s="200">
        <f t="shared" si="75"/>
        <v>1.9388125079176501E-2</v>
      </c>
      <c r="P189" s="200">
        <f t="shared" si="75"/>
        <v>1.9388125079176501E-2</v>
      </c>
      <c r="Q189" s="200">
        <f t="shared" ref="Q189:S189" si="76">IF(Q$20, $H124, $H121)</f>
        <v>1.9388125079176501E-2</v>
      </c>
      <c r="R189" s="200">
        <f t="shared" si="76"/>
        <v>1.9388125079176501E-2</v>
      </c>
      <c r="S189" s="200">
        <f t="shared" si="76"/>
        <v>1.9388125079176501E-2</v>
      </c>
      <c r="T189" s="200">
        <f t="shared" ref="T189:U189" si="77">IF(T$20, $H124, $H121)</f>
        <v>1.9388125079176501E-2</v>
      </c>
      <c r="U189" s="200">
        <f t="shared" si="77"/>
        <v>1.9388125079176501E-2</v>
      </c>
      <c r="V189" s="200">
        <f t="shared" ref="V189:W189" si="78">IF(V$20, $H124, $H121)</f>
        <v>1.9388125079176501E-2</v>
      </c>
      <c r="W189" s="200">
        <f t="shared" si="78"/>
        <v>1.9388125079176501E-2</v>
      </c>
      <c r="X189" s="200">
        <f t="shared" ref="X189:Y189" si="79">IF(X$20, $H124, $H121)</f>
        <v>1.9388125079176501E-2</v>
      </c>
      <c r="Y189" s="200">
        <f t="shared" si="79"/>
        <v>1.9388125079176501E-2</v>
      </c>
    </row>
    <row r="190" spans="5:25" x14ac:dyDescent="0.2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25">
      <c r="E191" s="75" t="s">
        <v>439</v>
      </c>
      <c r="G191" s="94"/>
    </row>
    <row r="192" spans="5:25" x14ac:dyDescent="0.25">
      <c r="E192" s="86"/>
      <c r="F192" s="116" t="s">
        <v>422</v>
      </c>
      <c r="G192" s="98" t="s">
        <v>167</v>
      </c>
      <c r="H192" s="154"/>
      <c r="I192" s="95"/>
      <c r="J192" s="199">
        <f t="shared" ref="J192:K192" si="80">IF(J$20, $H130, $H127)</f>
        <v>0.53667582516844081</v>
      </c>
      <c r="K192" s="199">
        <f t="shared" si="80"/>
        <v>0.53667582516844081</v>
      </c>
      <c r="L192" s="199">
        <f t="shared" ref="L192:M192" si="81">IF(L$20, $H130, $H127)</f>
        <v>0.53667582516844081</v>
      </c>
      <c r="M192" s="199">
        <f t="shared" si="81"/>
        <v>0.53667582516844081</v>
      </c>
      <c r="N192" s="199">
        <f t="shared" ref="N192:P192" si="82">IF(N$20, $H130, $H127)</f>
        <v>0.53667582516844081</v>
      </c>
      <c r="O192" s="199">
        <f t="shared" si="82"/>
        <v>0.53667582516844081</v>
      </c>
      <c r="P192" s="199">
        <f t="shared" si="82"/>
        <v>0.53667582516844081</v>
      </c>
      <c r="Q192" s="199">
        <f t="shared" ref="Q192:S192" si="83">IF(Q$20, $H130, $H127)</f>
        <v>0.45632329765244756</v>
      </c>
      <c r="R192" s="199">
        <f t="shared" si="83"/>
        <v>0.53667582516844081</v>
      </c>
      <c r="S192" s="199">
        <f t="shared" si="83"/>
        <v>0.53667582516844081</v>
      </c>
      <c r="T192" s="199">
        <f t="shared" ref="T192:U192" si="84">IF(T$20, $H130, $H127)</f>
        <v>0.53667582516844081</v>
      </c>
      <c r="U192" s="199">
        <f t="shared" si="84"/>
        <v>0.53667582516844081</v>
      </c>
      <c r="V192" s="199">
        <f t="shared" ref="V192:W192" si="85">IF(V$20, $H130, $H127)</f>
        <v>0.53667582516844081</v>
      </c>
      <c r="W192" s="199">
        <f t="shared" si="85"/>
        <v>0.53667582516844081</v>
      </c>
      <c r="X192" s="199">
        <f t="shared" ref="X192:Y192" si="86">IF(X$20, $H130, $H127)</f>
        <v>0.53667582516844081</v>
      </c>
      <c r="Y192" s="199">
        <f t="shared" si="86"/>
        <v>0.53667582516844081</v>
      </c>
    </row>
    <row r="193" spans="5:25" x14ac:dyDescent="0.25">
      <c r="E193" s="86"/>
      <c r="F193" s="118" t="s">
        <v>423</v>
      </c>
      <c r="G193" s="94" t="s">
        <v>167</v>
      </c>
      <c r="H193" s="155"/>
      <c r="J193" s="191">
        <f t="shared" ref="J193:K193" si="87">IF(J$20, $H131, $H128)</f>
        <v>0.39924969728850995</v>
      </c>
      <c r="K193" s="191">
        <f t="shared" si="87"/>
        <v>0.39924969728850995</v>
      </c>
      <c r="L193" s="191">
        <f t="shared" ref="L193:M193" si="88">IF(L$20, $H131, $H128)</f>
        <v>0.39924969728850995</v>
      </c>
      <c r="M193" s="191">
        <f t="shared" si="88"/>
        <v>0.39924969728850995</v>
      </c>
      <c r="N193" s="191">
        <f t="shared" ref="N193:P193" si="89">IF(N$20, $H131, $H128)</f>
        <v>0.39924969728850995</v>
      </c>
      <c r="O193" s="191">
        <f t="shared" si="89"/>
        <v>0.39924969728850995</v>
      </c>
      <c r="P193" s="191">
        <f t="shared" si="89"/>
        <v>0.39924969728850995</v>
      </c>
      <c r="Q193" s="191">
        <f t="shared" ref="Q193:S193" si="90">IF(Q$20, $H131, $H128)</f>
        <v>0.47960222480450315</v>
      </c>
      <c r="R193" s="191">
        <f t="shared" si="90"/>
        <v>0.39924969728850995</v>
      </c>
      <c r="S193" s="191">
        <f t="shared" si="90"/>
        <v>0.39924969728850995</v>
      </c>
      <c r="T193" s="191">
        <f t="shared" ref="T193:U193" si="91">IF(T$20, $H131, $H128)</f>
        <v>0.39924969728850995</v>
      </c>
      <c r="U193" s="191">
        <f t="shared" si="91"/>
        <v>0.39924969728850995</v>
      </c>
      <c r="V193" s="191">
        <f t="shared" ref="V193:W193" si="92">IF(V$20, $H131, $H128)</f>
        <v>0.39924969728850995</v>
      </c>
      <c r="W193" s="191">
        <f t="shared" si="92"/>
        <v>0.39924969728850995</v>
      </c>
      <c r="X193" s="191">
        <f t="shared" ref="X193:Y193" si="93">IF(X$20, $H131, $H128)</f>
        <v>0.39924969728850995</v>
      </c>
      <c r="Y193" s="191">
        <f t="shared" si="93"/>
        <v>0.39924969728850995</v>
      </c>
    </row>
    <row r="194" spans="5:25" x14ac:dyDescent="0.25">
      <c r="E194" s="86"/>
      <c r="F194" s="120" t="s">
        <v>257</v>
      </c>
      <c r="G194" s="101" t="s">
        <v>167</v>
      </c>
      <c r="H194" s="187"/>
      <c r="I194" s="96"/>
      <c r="J194" s="200">
        <f t="shared" ref="J194:K194" si="94">IF(J$20, $H132, $H129)</f>
        <v>6.4074477543049194E-2</v>
      </c>
      <c r="K194" s="200">
        <f t="shared" si="94"/>
        <v>6.4074477543049194E-2</v>
      </c>
      <c r="L194" s="200">
        <f t="shared" ref="L194:M194" si="95">IF(L$20, $H132, $H129)</f>
        <v>6.4074477543049194E-2</v>
      </c>
      <c r="M194" s="200">
        <f t="shared" si="95"/>
        <v>6.4074477543049194E-2</v>
      </c>
      <c r="N194" s="200">
        <f t="shared" ref="N194:P194" si="96">IF(N$20, $H132, $H129)</f>
        <v>6.4074477543049194E-2</v>
      </c>
      <c r="O194" s="200">
        <f t="shared" si="96"/>
        <v>6.4074477543049194E-2</v>
      </c>
      <c r="P194" s="200">
        <f t="shared" si="96"/>
        <v>6.4074477543049194E-2</v>
      </c>
      <c r="Q194" s="200">
        <f t="shared" ref="Q194:S194" si="97">IF(Q$20, $H132, $H129)</f>
        <v>6.4074477543049194E-2</v>
      </c>
      <c r="R194" s="200">
        <f t="shared" si="97"/>
        <v>6.4074477543049194E-2</v>
      </c>
      <c r="S194" s="200">
        <f t="shared" si="97"/>
        <v>6.4074477543049194E-2</v>
      </c>
      <c r="T194" s="200">
        <f t="shared" ref="T194:U194" si="98">IF(T$20, $H132, $H129)</f>
        <v>6.4074477543049194E-2</v>
      </c>
      <c r="U194" s="200">
        <f t="shared" si="98"/>
        <v>6.4074477543049194E-2</v>
      </c>
      <c r="V194" s="200">
        <f t="shared" ref="V194:W194" si="99">IF(V$20, $H132, $H129)</f>
        <v>6.4074477543049194E-2</v>
      </c>
      <c r="W194" s="200">
        <f t="shared" si="99"/>
        <v>6.4074477543049194E-2</v>
      </c>
      <c r="X194" s="200">
        <f t="shared" ref="X194:Y194" si="100">IF(X$20, $H132, $H129)</f>
        <v>6.4074477543049194E-2</v>
      </c>
      <c r="Y194" s="200">
        <f t="shared" si="100"/>
        <v>6.4074477543049194E-2</v>
      </c>
    </row>
    <row r="195" spans="5:25" x14ac:dyDescent="0.2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25">
      <c r="E196" s="75" t="s">
        <v>440</v>
      </c>
      <c r="G196" s="94"/>
    </row>
    <row r="197" spans="5:25" x14ac:dyDescent="0.25">
      <c r="E197" s="86"/>
      <c r="F197" s="116" t="s">
        <v>422</v>
      </c>
      <c r="G197" s="98" t="s">
        <v>167</v>
      </c>
      <c r="H197" s="154"/>
      <c r="I197" s="95"/>
      <c r="J197" s="199">
        <f t="shared" ref="J197:K197" si="101">IF(J$20, $H138, $H135)</f>
        <v>0.53667582516844081</v>
      </c>
      <c r="K197" s="199">
        <f t="shared" si="101"/>
        <v>0.53667582516844081</v>
      </c>
      <c r="L197" s="199">
        <f t="shared" ref="L197:M197" si="102">IF(L$20, $H138, $H135)</f>
        <v>0.53667582516844081</v>
      </c>
      <c r="M197" s="199">
        <f t="shared" si="102"/>
        <v>0.53667582516844081</v>
      </c>
      <c r="N197" s="199">
        <f t="shared" ref="N197:P197" si="103">IF(N$20, $H138, $H135)</f>
        <v>0.53667582516844081</v>
      </c>
      <c r="O197" s="199">
        <f t="shared" si="103"/>
        <v>0.53667582516844081</v>
      </c>
      <c r="P197" s="199">
        <f t="shared" si="103"/>
        <v>0.53667582516844081</v>
      </c>
      <c r="Q197" s="199">
        <f t="shared" ref="Q197:S197" si="104">IF(Q$20, $H138, $H135)</f>
        <v>0.45632329765244756</v>
      </c>
      <c r="R197" s="199">
        <f t="shared" si="104"/>
        <v>0.53667582516844081</v>
      </c>
      <c r="S197" s="199">
        <f t="shared" si="104"/>
        <v>0.53667582516844081</v>
      </c>
      <c r="T197" s="199">
        <f t="shared" ref="T197:U197" si="105">IF(T$20, $H138, $H135)</f>
        <v>0.53667582516844081</v>
      </c>
      <c r="U197" s="199">
        <f t="shared" si="105"/>
        <v>0.53667582516844081</v>
      </c>
      <c r="V197" s="199">
        <f t="shared" ref="V197:W197" si="106">IF(V$20, $H138, $H135)</f>
        <v>0.53667582516844081</v>
      </c>
      <c r="W197" s="199">
        <f t="shared" si="106"/>
        <v>0.53667582516844081</v>
      </c>
      <c r="X197" s="199">
        <f t="shared" ref="X197:Y197" si="107">IF(X$20, $H138, $H135)</f>
        <v>0.53667582516844081</v>
      </c>
      <c r="Y197" s="199">
        <f t="shared" si="107"/>
        <v>0.53667582516844081</v>
      </c>
    </row>
    <row r="198" spans="5:25" x14ac:dyDescent="0.25">
      <c r="E198" s="86"/>
      <c r="F198" s="118" t="s">
        <v>423</v>
      </c>
      <c r="G198" s="94" t="s">
        <v>167</v>
      </c>
      <c r="H198" s="155"/>
      <c r="J198" s="191">
        <f t="shared" ref="J198:K198" si="108">IF(J$20, $H139, $H136)</f>
        <v>0.39924969728850995</v>
      </c>
      <c r="K198" s="191">
        <f t="shared" si="108"/>
        <v>0.39924969728850995</v>
      </c>
      <c r="L198" s="191">
        <f t="shared" ref="L198:M198" si="109">IF(L$20, $H139, $H136)</f>
        <v>0.39924969728850995</v>
      </c>
      <c r="M198" s="191">
        <f t="shared" si="109"/>
        <v>0.39924969728850995</v>
      </c>
      <c r="N198" s="191">
        <f t="shared" ref="N198:P198" si="110">IF(N$20, $H139, $H136)</f>
        <v>0.39924969728850995</v>
      </c>
      <c r="O198" s="191">
        <f t="shared" si="110"/>
        <v>0.39924969728850995</v>
      </c>
      <c r="P198" s="191">
        <f t="shared" si="110"/>
        <v>0.39924969728850995</v>
      </c>
      <c r="Q198" s="191">
        <f t="shared" ref="Q198:S198" si="111">IF(Q$20, $H139, $H136)</f>
        <v>0.47960222480450315</v>
      </c>
      <c r="R198" s="191">
        <f t="shared" si="111"/>
        <v>0.39924969728850995</v>
      </c>
      <c r="S198" s="191">
        <f t="shared" si="111"/>
        <v>0.39924969728850995</v>
      </c>
      <c r="T198" s="191">
        <f t="shared" ref="T198:U198" si="112">IF(T$20, $H139, $H136)</f>
        <v>0.39924969728850995</v>
      </c>
      <c r="U198" s="191">
        <f t="shared" si="112"/>
        <v>0.39924969728850995</v>
      </c>
      <c r="V198" s="191">
        <f t="shared" ref="V198:W198" si="113">IF(V$20, $H139, $H136)</f>
        <v>0.39924969728850995</v>
      </c>
      <c r="W198" s="191">
        <f t="shared" si="113"/>
        <v>0.39924969728850995</v>
      </c>
      <c r="X198" s="191">
        <f t="shared" ref="X198:Y198" si="114">IF(X$20, $H139, $H136)</f>
        <v>0.39924969728850995</v>
      </c>
      <c r="Y198" s="191">
        <f t="shared" si="114"/>
        <v>0.39924969728850995</v>
      </c>
    </row>
    <row r="199" spans="5:25" x14ac:dyDescent="0.25">
      <c r="E199" s="86"/>
      <c r="F199" s="120" t="s">
        <v>257</v>
      </c>
      <c r="G199" s="101" t="s">
        <v>167</v>
      </c>
      <c r="H199" s="187"/>
      <c r="I199" s="96"/>
      <c r="J199" s="200">
        <f t="shared" ref="J199:K199" si="115">IF(J$20, $H140, $H137)</f>
        <v>6.4074477543049194E-2</v>
      </c>
      <c r="K199" s="200">
        <f t="shared" si="115"/>
        <v>6.4074477543049194E-2</v>
      </c>
      <c r="L199" s="200">
        <f t="shared" ref="L199:M199" si="116">IF(L$20, $H140, $H137)</f>
        <v>6.4074477543049194E-2</v>
      </c>
      <c r="M199" s="200">
        <f t="shared" si="116"/>
        <v>6.4074477543049194E-2</v>
      </c>
      <c r="N199" s="200">
        <f t="shared" ref="N199:P199" si="117">IF(N$20, $H140, $H137)</f>
        <v>6.4074477543049194E-2</v>
      </c>
      <c r="O199" s="200">
        <f t="shared" si="117"/>
        <v>6.4074477543049194E-2</v>
      </c>
      <c r="P199" s="200">
        <f t="shared" si="117"/>
        <v>6.4074477543049194E-2</v>
      </c>
      <c r="Q199" s="200">
        <f t="shared" ref="Q199:S199" si="118">IF(Q$20, $H140, $H137)</f>
        <v>6.4074477543049194E-2</v>
      </c>
      <c r="R199" s="200">
        <f t="shared" si="118"/>
        <v>6.4074477543049194E-2</v>
      </c>
      <c r="S199" s="200">
        <f t="shared" si="118"/>
        <v>6.4074477543049194E-2</v>
      </c>
      <c r="T199" s="200">
        <f t="shared" ref="T199:U199" si="119">IF(T$20, $H140, $H137)</f>
        <v>6.4074477543049194E-2</v>
      </c>
      <c r="U199" s="200">
        <f t="shared" si="119"/>
        <v>6.4074477543049194E-2</v>
      </c>
      <c r="V199" s="200">
        <f t="shared" ref="V199:W199" si="120">IF(V$20, $H140, $H137)</f>
        <v>6.4074477543049194E-2</v>
      </c>
      <c r="W199" s="200">
        <f t="shared" si="120"/>
        <v>6.4074477543049194E-2</v>
      </c>
      <c r="X199" s="200">
        <f t="shared" ref="X199:Y199" si="121">IF(X$20, $H140, $H137)</f>
        <v>6.4074477543049194E-2</v>
      </c>
      <c r="Y199" s="200">
        <f t="shared" si="121"/>
        <v>6.4074477543049194E-2</v>
      </c>
    </row>
    <row r="200" spans="5:25" x14ac:dyDescent="0.2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25">
      <c r="E201" s="75" t="s">
        <v>441</v>
      </c>
      <c r="G201" s="94"/>
    </row>
    <row r="202" spans="5:25" x14ac:dyDescent="0.25">
      <c r="E202" s="86"/>
      <c r="F202" s="116" t="s">
        <v>422</v>
      </c>
      <c r="G202" s="98" t="s">
        <v>167</v>
      </c>
      <c r="H202" s="154"/>
      <c r="I202" s="95"/>
      <c r="J202" s="199">
        <f t="shared" ref="J202:K202" si="122">IF(J$20, $H146, $H143)</f>
        <v>0.79352298204514149</v>
      </c>
      <c r="K202" s="199">
        <f t="shared" si="122"/>
        <v>0.79352298204514149</v>
      </c>
      <c r="L202" s="199">
        <f t="shared" ref="L202:M202" si="123">IF(L$20, $H146, $H143)</f>
        <v>0.79352298204514149</v>
      </c>
      <c r="M202" s="199">
        <f t="shared" si="123"/>
        <v>0.79352298204514149</v>
      </c>
      <c r="N202" s="199">
        <f t="shared" ref="N202:P202" si="124">IF(N$20, $H146, $H143)</f>
        <v>0.79352298204514149</v>
      </c>
      <c r="O202" s="199">
        <f t="shared" si="124"/>
        <v>0.79352298204514149</v>
      </c>
      <c r="P202" s="199">
        <f t="shared" si="124"/>
        <v>0.79352298204514149</v>
      </c>
      <c r="Q202" s="199">
        <f t="shared" ref="Q202:S202" si="125">IF(Q$20, $H146, $H143)</f>
        <v>0.68224654314411237</v>
      </c>
      <c r="R202" s="199">
        <f t="shared" si="125"/>
        <v>0.79352298204514149</v>
      </c>
      <c r="S202" s="199">
        <f t="shared" si="125"/>
        <v>0.79352298204514149</v>
      </c>
      <c r="T202" s="199">
        <f t="shared" ref="T202:U202" si="126">IF(T$20, $H146, $H143)</f>
        <v>0.79352298204514149</v>
      </c>
      <c r="U202" s="199">
        <f t="shared" si="126"/>
        <v>0.79352298204514149</v>
      </c>
      <c r="V202" s="199">
        <f t="shared" ref="V202:W202" si="127">IF(V$20, $H146, $H143)</f>
        <v>0.79352298204514149</v>
      </c>
      <c r="W202" s="199">
        <f t="shared" si="127"/>
        <v>0.79352298204514149</v>
      </c>
      <c r="X202" s="199">
        <f t="shared" ref="X202:Y202" si="128">IF(X$20, $H146, $H143)</f>
        <v>0.79352298204514149</v>
      </c>
      <c r="Y202" s="199">
        <f t="shared" si="128"/>
        <v>0.79352298204514149</v>
      </c>
    </row>
    <row r="203" spans="5:25" x14ac:dyDescent="0.25">
      <c r="E203" s="86"/>
      <c r="F203" s="118" t="s">
        <v>423</v>
      </c>
      <c r="G203" s="94" t="s">
        <v>167</v>
      </c>
      <c r="H203" s="155"/>
      <c r="J203" s="191">
        <f t="shared" ref="J203:K203" si="129">IF(J$20, $H147, $H144)</f>
        <v>0.18708889287568198</v>
      </c>
      <c r="K203" s="191">
        <f t="shared" si="129"/>
        <v>0.18708889287568198</v>
      </c>
      <c r="L203" s="191">
        <f t="shared" ref="L203:M203" si="130">IF(L$20, $H147, $H144)</f>
        <v>0.18708889287568198</v>
      </c>
      <c r="M203" s="191">
        <f t="shared" si="130"/>
        <v>0.18708889287568198</v>
      </c>
      <c r="N203" s="191">
        <f t="shared" ref="N203:P203" si="131">IF(N$20, $H147, $H144)</f>
        <v>0.18708889287568198</v>
      </c>
      <c r="O203" s="191">
        <f t="shared" si="131"/>
        <v>0.18708889287568198</v>
      </c>
      <c r="P203" s="191">
        <f t="shared" si="131"/>
        <v>0.18708889287568198</v>
      </c>
      <c r="Q203" s="191">
        <f t="shared" ref="Q203:S203" si="132">IF(Q$20, $H147, $H144)</f>
        <v>0.2983653317767111</v>
      </c>
      <c r="R203" s="191">
        <f t="shared" si="132"/>
        <v>0.18708889287568198</v>
      </c>
      <c r="S203" s="191">
        <f t="shared" si="132"/>
        <v>0.18708889287568198</v>
      </c>
      <c r="T203" s="191">
        <f t="shared" ref="T203:U203" si="133">IF(T$20, $H147, $H144)</f>
        <v>0.18708889287568198</v>
      </c>
      <c r="U203" s="191">
        <f t="shared" si="133"/>
        <v>0.18708889287568198</v>
      </c>
      <c r="V203" s="191">
        <f t="shared" ref="V203:W203" si="134">IF(V$20, $H147, $H144)</f>
        <v>0.18708889287568198</v>
      </c>
      <c r="W203" s="191">
        <f t="shared" si="134"/>
        <v>0.18708889287568198</v>
      </c>
      <c r="X203" s="191">
        <f t="shared" ref="X203:Y203" si="135">IF(X$20, $H147, $H144)</f>
        <v>0.18708889287568198</v>
      </c>
      <c r="Y203" s="191">
        <f t="shared" si="135"/>
        <v>0.18708889287568198</v>
      </c>
    </row>
    <row r="204" spans="5:25" x14ac:dyDescent="0.25">
      <c r="E204" s="86"/>
      <c r="F204" s="120" t="s">
        <v>257</v>
      </c>
      <c r="G204" s="101" t="s">
        <v>167</v>
      </c>
      <c r="H204" s="187"/>
      <c r="I204" s="96"/>
      <c r="J204" s="200">
        <f t="shared" ref="J204:K204" si="136">IF(J$20, $H148, $H145)</f>
        <v>1.9388125079176501E-2</v>
      </c>
      <c r="K204" s="200">
        <f t="shared" si="136"/>
        <v>1.9388125079176501E-2</v>
      </c>
      <c r="L204" s="200">
        <f t="shared" ref="L204:M204" si="137">IF(L$20, $H148, $H145)</f>
        <v>1.9388125079176501E-2</v>
      </c>
      <c r="M204" s="200">
        <f t="shared" si="137"/>
        <v>1.9388125079176501E-2</v>
      </c>
      <c r="N204" s="200">
        <f t="shared" ref="N204:P204" si="138">IF(N$20, $H148, $H145)</f>
        <v>1.9388125079176501E-2</v>
      </c>
      <c r="O204" s="200">
        <f t="shared" si="138"/>
        <v>1.9388125079176501E-2</v>
      </c>
      <c r="P204" s="200">
        <f t="shared" si="138"/>
        <v>1.9388125079176501E-2</v>
      </c>
      <c r="Q204" s="200">
        <f t="shared" ref="Q204:S204" si="139">IF(Q$20, $H148, $H145)</f>
        <v>1.9388125079176501E-2</v>
      </c>
      <c r="R204" s="200">
        <f t="shared" si="139"/>
        <v>1.9388125079176501E-2</v>
      </c>
      <c r="S204" s="200">
        <f t="shared" si="139"/>
        <v>1.9388125079176501E-2</v>
      </c>
      <c r="T204" s="200">
        <f t="shared" ref="T204:U204" si="140">IF(T$20, $H148, $H145)</f>
        <v>1.9388125079176501E-2</v>
      </c>
      <c r="U204" s="200">
        <f t="shared" si="140"/>
        <v>1.9388125079176501E-2</v>
      </c>
      <c r="V204" s="200">
        <f t="shared" ref="V204:W204" si="141">IF(V$20, $H148, $H145)</f>
        <v>1.9388125079176501E-2</v>
      </c>
      <c r="W204" s="200">
        <f t="shared" si="141"/>
        <v>1.9388125079176501E-2</v>
      </c>
      <c r="X204" s="200">
        <f t="shared" ref="X204:Y204" si="142">IF(X$20, $H148, $H145)</f>
        <v>1.9388125079176501E-2</v>
      </c>
      <c r="Y204" s="200">
        <f t="shared" si="142"/>
        <v>1.9388125079176501E-2</v>
      </c>
    </row>
    <row r="205" spans="5:25" x14ac:dyDescent="0.2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25">
      <c r="E206" s="75" t="s">
        <v>442</v>
      </c>
      <c r="G206" s="94"/>
    </row>
    <row r="207" spans="5:25" x14ac:dyDescent="0.25">
      <c r="E207" s="86"/>
      <c r="F207" s="116" t="s">
        <v>422</v>
      </c>
      <c r="G207" s="98" t="s">
        <v>167</v>
      </c>
      <c r="H207" s="154"/>
      <c r="I207" s="95"/>
      <c r="J207" s="199">
        <f t="shared" ref="J207:K207" si="143">IF(J$20, $H154, $H151)</f>
        <v>0.53667582516844081</v>
      </c>
      <c r="K207" s="199">
        <f t="shared" si="143"/>
        <v>0.53667582516844081</v>
      </c>
      <c r="L207" s="199">
        <f t="shared" ref="L207:M207" si="144">IF(L$20, $H154, $H151)</f>
        <v>0.53667582516844081</v>
      </c>
      <c r="M207" s="199">
        <f t="shared" si="144"/>
        <v>0.53667582516844081</v>
      </c>
      <c r="N207" s="199">
        <f t="shared" ref="N207:P207" si="145">IF(N$20, $H154, $H151)</f>
        <v>0.53667582516844081</v>
      </c>
      <c r="O207" s="199">
        <f t="shared" si="145"/>
        <v>0.53667582516844081</v>
      </c>
      <c r="P207" s="199">
        <f t="shared" si="145"/>
        <v>0.53667582516844081</v>
      </c>
      <c r="Q207" s="199">
        <f t="shared" ref="Q207:S207" si="146">IF(Q$20, $H154, $H151)</f>
        <v>0.45632329765244756</v>
      </c>
      <c r="R207" s="199">
        <f t="shared" si="146"/>
        <v>0.53667582516844081</v>
      </c>
      <c r="S207" s="199">
        <f t="shared" si="146"/>
        <v>0.53667582516844081</v>
      </c>
      <c r="T207" s="199">
        <f t="shared" ref="T207:U207" si="147">IF(T$20, $H154, $H151)</f>
        <v>0.53667582516844081</v>
      </c>
      <c r="U207" s="199">
        <f t="shared" si="147"/>
        <v>0.53667582516844081</v>
      </c>
      <c r="V207" s="199">
        <f t="shared" ref="V207:W207" si="148">IF(V$20, $H154, $H151)</f>
        <v>0.53667582516844081</v>
      </c>
      <c r="W207" s="199">
        <f t="shared" si="148"/>
        <v>0.53667582516844081</v>
      </c>
      <c r="X207" s="199">
        <f t="shared" ref="X207:Y207" si="149">IF(X$20, $H154, $H151)</f>
        <v>0.53667582516844081</v>
      </c>
      <c r="Y207" s="199">
        <f t="shared" si="149"/>
        <v>0.53667582516844081</v>
      </c>
    </row>
    <row r="208" spans="5:25" x14ac:dyDescent="0.25">
      <c r="E208" s="86"/>
      <c r="F208" s="118" t="s">
        <v>423</v>
      </c>
      <c r="G208" s="94" t="s">
        <v>167</v>
      </c>
      <c r="H208" s="155"/>
      <c r="J208" s="191">
        <f t="shared" ref="J208:K208" si="150">IF(J$20, $H155, $H152)</f>
        <v>0.39924969728850995</v>
      </c>
      <c r="K208" s="191">
        <f t="shared" si="150"/>
        <v>0.39924969728850995</v>
      </c>
      <c r="L208" s="191">
        <f t="shared" ref="L208:M208" si="151">IF(L$20, $H155, $H152)</f>
        <v>0.39924969728850995</v>
      </c>
      <c r="M208" s="191">
        <f t="shared" si="151"/>
        <v>0.39924969728850995</v>
      </c>
      <c r="N208" s="191">
        <f t="shared" ref="N208:P208" si="152">IF(N$20, $H155, $H152)</f>
        <v>0.39924969728850995</v>
      </c>
      <c r="O208" s="191">
        <f t="shared" si="152"/>
        <v>0.39924969728850995</v>
      </c>
      <c r="P208" s="191">
        <f t="shared" si="152"/>
        <v>0.39924969728850995</v>
      </c>
      <c r="Q208" s="191">
        <f t="shared" ref="Q208:S208" si="153">IF(Q$20, $H155, $H152)</f>
        <v>0.47960222480450315</v>
      </c>
      <c r="R208" s="191">
        <f t="shared" si="153"/>
        <v>0.39924969728850995</v>
      </c>
      <c r="S208" s="191">
        <f t="shared" si="153"/>
        <v>0.39924969728850995</v>
      </c>
      <c r="T208" s="191">
        <f t="shared" ref="T208:U208" si="154">IF(T$20, $H155, $H152)</f>
        <v>0.39924969728850995</v>
      </c>
      <c r="U208" s="191">
        <f t="shared" si="154"/>
        <v>0.39924969728850995</v>
      </c>
      <c r="V208" s="191">
        <f t="shared" ref="V208:W208" si="155">IF(V$20, $H155, $H152)</f>
        <v>0.39924969728850995</v>
      </c>
      <c r="W208" s="191">
        <f t="shared" si="155"/>
        <v>0.39924969728850995</v>
      </c>
      <c r="X208" s="191">
        <f t="shared" ref="X208:Y208" si="156">IF(X$20, $H155, $H152)</f>
        <v>0.39924969728850995</v>
      </c>
      <c r="Y208" s="191">
        <f t="shared" si="156"/>
        <v>0.39924969728850995</v>
      </c>
    </row>
    <row r="209" spans="3:27" x14ac:dyDescent="0.25">
      <c r="E209" s="86"/>
      <c r="F209" s="120" t="s">
        <v>257</v>
      </c>
      <c r="G209" s="101" t="s">
        <v>167</v>
      </c>
      <c r="H209" s="187"/>
      <c r="I209" s="96"/>
      <c r="J209" s="200">
        <f t="shared" ref="J209:K209" si="157">IF(J$20, $H156, $H153)</f>
        <v>6.4074477543049194E-2</v>
      </c>
      <c r="K209" s="200">
        <f t="shared" si="157"/>
        <v>6.4074477543049194E-2</v>
      </c>
      <c r="L209" s="200">
        <f t="shared" ref="L209:M209" si="158">IF(L$20, $H156, $H153)</f>
        <v>6.4074477543049194E-2</v>
      </c>
      <c r="M209" s="200">
        <f t="shared" si="158"/>
        <v>6.4074477543049194E-2</v>
      </c>
      <c r="N209" s="200">
        <f t="shared" ref="N209:P209" si="159">IF(N$20, $H156, $H153)</f>
        <v>6.4074477543049194E-2</v>
      </c>
      <c r="O209" s="200">
        <f t="shared" si="159"/>
        <v>6.4074477543049194E-2</v>
      </c>
      <c r="P209" s="200">
        <f t="shared" si="159"/>
        <v>6.4074477543049194E-2</v>
      </c>
      <c r="Q209" s="200">
        <f t="shared" ref="Q209:S209" si="160">IF(Q$20, $H156, $H153)</f>
        <v>6.4074477543049194E-2</v>
      </c>
      <c r="R209" s="200">
        <f t="shared" si="160"/>
        <v>6.4074477543049194E-2</v>
      </c>
      <c r="S209" s="200">
        <f t="shared" si="160"/>
        <v>6.4074477543049194E-2</v>
      </c>
      <c r="T209" s="200">
        <f t="shared" ref="T209:U209" si="161">IF(T$20, $H156, $H153)</f>
        <v>6.4074477543049194E-2</v>
      </c>
      <c r="U209" s="200">
        <f t="shared" si="161"/>
        <v>6.4074477543049194E-2</v>
      </c>
      <c r="V209" s="200">
        <f t="shared" ref="V209:W209" si="162">IF(V$20, $H156, $H153)</f>
        <v>6.4074477543049194E-2</v>
      </c>
      <c r="W209" s="200">
        <f t="shared" si="162"/>
        <v>6.4074477543049194E-2</v>
      </c>
      <c r="X209" s="200">
        <f t="shared" ref="X209:Y209" si="163">IF(X$20, $H156, $H153)</f>
        <v>6.4074477543049194E-2</v>
      </c>
      <c r="Y209" s="200">
        <f t="shared" si="163"/>
        <v>6.4074477543049194E-2</v>
      </c>
    </row>
    <row r="210" spans="3:27" x14ac:dyDescent="0.2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25">
      <c r="E211" s="75" t="s">
        <v>443</v>
      </c>
      <c r="G211" s="94"/>
    </row>
    <row r="212" spans="3:27" x14ac:dyDescent="0.25">
      <c r="E212" s="86"/>
      <c r="F212" s="116" t="s">
        <v>422</v>
      </c>
      <c r="G212" s="98" t="s">
        <v>167</v>
      </c>
      <c r="H212" s="154"/>
      <c r="I212" s="95"/>
      <c r="J212" s="199">
        <f t="shared" ref="J212:K212" si="164">IF(J$20, $H162, $H159)</f>
        <v>0.53667582516844081</v>
      </c>
      <c r="K212" s="199">
        <f t="shared" si="164"/>
        <v>0.53667582516844081</v>
      </c>
      <c r="L212" s="199">
        <f t="shared" ref="L212:M212" si="165">IF(L$20, $H162, $H159)</f>
        <v>0.53667582516844081</v>
      </c>
      <c r="M212" s="199">
        <f t="shared" si="165"/>
        <v>0.53667582516844081</v>
      </c>
      <c r="N212" s="199">
        <f t="shared" ref="N212:P212" si="166">IF(N$20, $H162, $H159)</f>
        <v>0.53667582516844081</v>
      </c>
      <c r="O212" s="199">
        <f t="shared" si="166"/>
        <v>0.53667582516844081</v>
      </c>
      <c r="P212" s="199">
        <f t="shared" si="166"/>
        <v>0.53667582516844081</v>
      </c>
      <c r="Q212" s="199">
        <f t="shared" ref="Q212:S212" si="167">IF(Q$20, $H162, $H159)</f>
        <v>0.45632329765244756</v>
      </c>
      <c r="R212" s="199">
        <f t="shared" si="167"/>
        <v>0.53667582516844081</v>
      </c>
      <c r="S212" s="199">
        <f t="shared" si="167"/>
        <v>0.53667582516844081</v>
      </c>
      <c r="T212" s="199">
        <f t="shared" ref="T212:U212" si="168">IF(T$20, $H162, $H159)</f>
        <v>0.53667582516844081</v>
      </c>
      <c r="U212" s="199">
        <f t="shared" si="168"/>
        <v>0.53667582516844081</v>
      </c>
      <c r="V212" s="199">
        <f t="shared" ref="V212:W212" si="169">IF(V$20, $H162, $H159)</f>
        <v>0.53667582516844081</v>
      </c>
      <c r="W212" s="199">
        <f t="shared" si="169"/>
        <v>0.53667582516844081</v>
      </c>
      <c r="X212" s="199">
        <f t="shared" ref="X212:Y212" si="170">IF(X$20, $H162, $H159)</f>
        <v>0.53667582516844081</v>
      </c>
      <c r="Y212" s="199">
        <f t="shared" si="170"/>
        <v>0.53667582516844081</v>
      </c>
    </row>
    <row r="213" spans="3:27" x14ac:dyDescent="0.25">
      <c r="E213" s="86"/>
      <c r="F213" s="118" t="s">
        <v>423</v>
      </c>
      <c r="G213" s="94" t="s">
        <v>167</v>
      </c>
      <c r="H213" s="155"/>
      <c r="J213" s="191">
        <f t="shared" ref="J213:K213" si="171">IF(J$20, $H163, $H160)</f>
        <v>0.39924969728850995</v>
      </c>
      <c r="K213" s="191">
        <f t="shared" si="171"/>
        <v>0.39924969728850995</v>
      </c>
      <c r="L213" s="191">
        <f t="shared" ref="L213:M213" si="172">IF(L$20, $H163, $H160)</f>
        <v>0.39924969728850995</v>
      </c>
      <c r="M213" s="191">
        <f t="shared" si="172"/>
        <v>0.39924969728850995</v>
      </c>
      <c r="N213" s="191">
        <f t="shared" ref="N213:P213" si="173">IF(N$20, $H163, $H160)</f>
        <v>0.39924969728850995</v>
      </c>
      <c r="O213" s="191">
        <f t="shared" si="173"/>
        <v>0.39924969728850995</v>
      </c>
      <c r="P213" s="191">
        <f t="shared" si="173"/>
        <v>0.39924969728850995</v>
      </c>
      <c r="Q213" s="191">
        <f t="shared" ref="Q213:S213" si="174">IF(Q$20, $H163, $H160)</f>
        <v>0.47960222480450315</v>
      </c>
      <c r="R213" s="191">
        <f t="shared" si="174"/>
        <v>0.39924969728850995</v>
      </c>
      <c r="S213" s="191">
        <f t="shared" si="174"/>
        <v>0.39924969728850995</v>
      </c>
      <c r="T213" s="191">
        <f t="shared" ref="T213:U213" si="175">IF(T$20, $H163, $H160)</f>
        <v>0.39924969728850995</v>
      </c>
      <c r="U213" s="191">
        <f t="shared" si="175"/>
        <v>0.39924969728850995</v>
      </c>
      <c r="V213" s="191">
        <f t="shared" ref="V213:W213" si="176">IF(V$20, $H163, $H160)</f>
        <v>0.39924969728850995</v>
      </c>
      <c r="W213" s="191">
        <f t="shared" si="176"/>
        <v>0.39924969728850995</v>
      </c>
      <c r="X213" s="191">
        <f t="shared" ref="X213:Y213" si="177">IF(X$20, $H163, $H160)</f>
        <v>0.39924969728850995</v>
      </c>
      <c r="Y213" s="191">
        <f t="shared" si="177"/>
        <v>0.39924969728850995</v>
      </c>
    </row>
    <row r="214" spans="3:27" x14ac:dyDescent="0.25">
      <c r="E214" s="86"/>
      <c r="F214" s="120" t="s">
        <v>257</v>
      </c>
      <c r="G214" s="101" t="s">
        <v>167</v>
      </c>
      <c r="H214" s="187"/>
      <c r="I214" s="96"/>
      <c r="J214" s="200">
        <f t="shared" ref="J214:K214" si="178">IF(J$20, $H164, $H161)</f>
        <v>6.4074477543049194E-2</v>
      </c>
      <c r="K214" s="200">
        <f t="shared" si="178"/>
        <v>6.4074477543049194E-2</v>
      </c>
      <c r="L214" s="200">
        <f t="shared" ref="L214:M214" si="179">IF(L$20, $H164, $H161)</f>
        <v>6.4074477543049194E-2</v>
      </c>
      <c r="M214" s="200">
        <f t="shared" si="179"/>
        <v>6.4074477543049194E-2</v>
      </c>
      <c r="N214" s="200">
        <f t="shared" ref="N214:P214" si="180">IF(N$20, $H164, $H161)</f>
        <v>6.4074477543049194E-2</v>
      </c>
      <c r="O214" s="200">
        <f t="shared" si="180"/>
        <v>6.4074477543049194E-2</v>
      </c>
      <c r="P214" s="200">
        <f t="shared" si="180"/>
        <v>6.4074477543049194E-2</v>
      </c>
      <c r="Q214" s="200">
        <f t="shared" ref="Q214:S214" si="181">IF(Q$20, $H164, $H161)</f>
        <v>6.4074477543049194E-2</v>
      </c>
      <c r="R214" s="200">
        <f t="shared" si="181"/>
        <v>6.4074477543049194E-2</v>
      </c>
      <c r="S214" s="200">
        <f t="shared" si="181"/>
        <v>6.4074477543049194E-2</v>
      </c>
      <c r="T214" s="200">
        <f t="shared" ref="T214:U214" si="182">IF(T$20, $H164, $H161)</f>
        <v>6.4074477543049194E-2</v>
      </c>
      <c r="U214" s="200">
        <f t="shared" si="182"/>
        <v>6.4074477543049194E-2</v>
      </c>
      <c r="V214" s="200">
        <f t="shared" ref="V214:W214" si="183">IF(V$20, $H164, $H161)</f>
        <v>6.4074477543049194E-2</v>
      </c>
      <c r="W214" s="200">
        <f t="shared" si="183"/>
        <v>6.4074477543049194E-2</v>
      </c>
      <c r="X214" s="200">
        <f t="shared" ref="X214:Y214" si="184">IF(X$20, $H164, $H161)</f>
        <v>6.4074477543049194E-2</v>
      </c>
      <c r="Y214" s="200">
        <f t="shared" si="184"/>
        <v>6.4074477543049194E-2</v>
      </c>
    </row>
    <row r="215" spans="3:27" x14ac:dyDescent="0.2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25">
      <c r="E216" s="75" t="s">
        <v>444</v>
      </c>
      <c r="G216" s="94"/>
    </row>
    <row r="217" spans="3:27" x14ac:dyDescent="0.25">
      <c r="E217" s="86"/>
      <c r="F217" s="116" t="s">
        <v>422</v>
      </c>
      <c r="G217" s="98" t="s">
        <v>167</v>
      </c>
      <c r="H217" s="154"/>
      <c r="I217" s="95"/>
      <c r="J217" s="199">
        <f t="shared" ref="J217:K217" si="185">IF(J$20, $H170, $H167)</f>
        <v>0.53667582516844081</v>
      </c>
      <c r="K217" s="199">
        <f t="shared" si="185"/>
        <v>0.53667582516844081</v>
      </c>
      <c r="L217" s="199">
        <f t="shared" ref="L217:M217" si="186">IF(L$20, $H170, $H167)</f>
        <v>0.53667582516844081</v>
      </c>
      <c r="M217" s="199">
        <f t="shared" si="186"/>
        <v>0.53667582516844081</v>
      </c>
      <c r="N217" s="199">
        <f t="shared" ref="N217:P217" si="187">IF(N$20, $H170, $H167)</f>
        <v>0.53667582516844081</v>
      </c>
      <c r="O217" s="199">
        <f t="shared" si="187"/>
        <v>0.53667582516844081</v>
      </c>
      <c r="P217" s="199">
        <f t="shared" si="187"/>
        <v>0.53667582516844081</v>
      </c>
      <c r="Q217" s="199">
        <f t="shared" ref="Q217:S217" si="188">IF(Q$20, $H170, $H167)</f>
        <v>0.45632329765244756</v>
      </c>
      <c r="R217" s="199">
        <f t="shared" si="188"/>
        <v>0.53667582516844081</v>
      </c>
      <c r="S217" s="199">
        <f t="shared" si="188"/>
        <v>0.53667582516844081</v>
      </c>
      <c r="T217" s="199">
        <f t="shared" ref="T217:U217" si="189">IF(T$20, $H170, $H167)</f>
        <v>0.53667582516844081</v>
      </c>
      <c r="U217" s="199">
        <f t="shared" si="189"/>
        <v>0.53667582516844081</v>
      </c>
      <c r="V217" s="199">
        <f t="shared" ref="V217:W217" si="190">IF(V$20, $H170, $H167)</f>
        <v>0.53667582516844081</v>
      </c>
      <c r="W217" s="199">
        <f t="shared" si="190"/>
        <v>0.53667582516844081</v>
      </c>
      <c r="X217" s="199">
        <f t="shared" ref="X217:Y217" si="191">IF(X$20, $H170, $H167)</f>
        <v>0.53667582516844081</v>
      </c>
      <c r="Y217" s="199">
        <f t="shared" si="191"/>
        <v>0.53667582516844081</v>
      </c>
    </row>
    <row r="218" spans="3:27" x14ac:dyDescent="0.25">
      <c r="E218" s="86"/>
      <c r="F218" s="118" t="s">
        <v>423</v>
      </c>
      <c r="G218" s="94" t="s">
        <v>167</v>
      </c>
      <c r="H218" s="155"/>
      <c r="J218" s="191">
        <f t="shared" ref="J218:K218" si="192">IF(J$20, $H171, $H168)</f>
        <v>0.39924969728850995</v>
      </c>
      <c r="K218" s="191">
        <f t="shared" si="192"/>
        <v>0.39924969728850995</v>
      </c>
      <c r="L218" s="191">
        <f t="shared" ref="L218:M218" si="193">IF(L$20, $H171, $H168)</f>
        <v>0.39924969728850995</v>
      </c>
      <c r="M218" s="191">
        <f t="shared" si="193"/>
        <v>0.39924969728850995</v>
      </c>
      <c r="N218" s="191">
        <f t="shared" ref="N218:P218" si="194">IF(N$20, $H171, $H168)</f>
        <v>0.39924969728850995</v>
      </c>
      <c r="O218" s="191">
        <f t="shared" si="194"/>
        <v>0.39924969728850995</v>
      </c>
      <c r="P218" s="191">
        <f t="shared" si="194"/>
        <v>0.39924969728850995</v>
      </c>
      <c r="Q218" s="191">
        <f t="shared" ref="Q218:S218" si="195">IF(Q$20, $H171, $H168)</f>
        <v>0.47960222480450315</v>
      </c>
      <c r="R218" s="191">
        <f t="shared" si="195"/>
        <v>0.39924969728850995</v>
      </c>
      <c r="S218" s="191">
        <f t="shared" si="195"/>
        <v>0.39924969728850995</v>
      </c>
      <c r="T218" s="191">
        <f t="shared" ref="T218:U218" si="196">IF(T$20, $H171, $H168)</f>
        <v>0.39924969728850995</v>
      </c>
      <c r="U218" s="191">
        <f t="shared" si="196"/>
        <v>0.39924969728850995</v>
      </c>
      <c r="V218" s="191">
        <f t="shared" ref="V218:W218" si="197">IF(V$20, $H171, $H168)</f>
        <v>0.39924969728850995</v>
      </c>
      <c r="W218" s="191">
        <f t="shared" si="197"/>
        <v>0.39924969728850995</v>
      </c>
      <c r="X218" s="191">
        <f t="shared" ref="X218:Y218" si="198">IF(X$20, $H171, $H168)</f>
        <v>0.39924969728850995</v>
      </c>
      <c r="Y218" s="191">
        <f t="shared" si="198"/>
        <v>0.39924969728850995</v>
      </c>
    </row>
    <row r="219" spans="3:27" x14ac:dyDescent="0.25">
      <c r="E219" s="86"/>
      <c r="F219" s="120" t="s">
        <v>257</v>
      </c>
      <c r="G219" s="101" t="s">
        <v>167</v>
      </c>
      <c r="H219" s="187"/>
      <c r="I219" s="96"/>
      <c r="J219" s="200">
        <f t="shared" ref="J219:K219" si="199">IF(J$20, $H172, $H169)</f>
        <v>6.4074477543049194E-2</v>
      </c>
      <c r="K219" s="200">
        <f t="shared" si="199"/>
        <v>6.4074477543049194E-2</v>
      </c>
      <c r="L219" s="200">
        <f t="shared" ref="L219:M219" si="200">IF(L$20, $H172, $H169)</f>
        <v>6.4074477543049194E-2</v>
      </c>
      <c r="M219" s="200">
        <f t="shared" si="200"/>
        <v>6.4074477543049194E-2</v>
      </c>
      <c r="N219" s="200">
        <f t="shared" ref="N219:P219" si="201">IF(N$20, $H172, $H169)</f>
        <v>6.4074477543049194E-2</v>
      </c>
      <c r="O219" s="200">
        <f t="shared" si="201"/>
        <v>6.4074477543049194E-2</v>
      </c>
      <c r="P219" s="200">
        <f t="shared" si="201"/>
        <v>6.4074477543049194E-2</v>
      </c>
      <c r="Q219" s="200">
        <f t="shared" ref="Q219:S219" si="202">IF(Q$20, $H172, $H169)</f>
        <v>6.4074477543049194E-2</v>
      </c>
      <c r="R219" s="200">
        <f t="shared" si="202"/>
        <v>6.4074477543049194E-2</v>
      </c>
      <c r="S219" s="200">
        <f t="shared" si="202"/>
        <v>6.4074477543049194E-2</v>
      </c>
      <c r="T219" s="200">
        <f t="shared" ref="T219:U219" si="203">IF(T$20, $H172, $H169)</f>
        <v>6.4074477543049194E-2</v>
      </c>
      <c r="U219" s="200">
        <f t="shared" si="203"/>
        <v>6.4074477543049194E-2</v>
      </c>
      <c r="V219" s="200">
        <f t="shared" ref="V219:W219" si="204">IF(V$20, $H172, $H169)</f>
        <v>6.4074477543049194E-2</v>
      </c>
      <c r="W219" s="200">
        <f t="shared" si="204"/>
        <v>6.4074477543049194E-2</v>
      </c>
      <c r="X219" s="200">
        <f t="shared" ref="X219:Y219" si="205">IF(X$20, $H172, $H169)</f>
        <v>6.4074477543049194E-2</v>
      </c>
      <c r="Y219" s="200">
        <f t="shared" si="205"/>
        <v>6.4074477543049194E-2</v>
      </c>
    </row>
    <row r="220" spans="3:27" x14ac:dyDescent="0.2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25">
      <c r="C221" s="93" t="str">
        <f ca="1">INDEX('Version control'!$H$41:$H$64,MATCH($A$1,'Version control'!$F$41:$F$64,0),1)&amp;"-J: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2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25">
      <c r="E223" s="75" t="s">
        <v>445</v>
      </c>
      <c r="G223" s="94"/>
    </row>
    <row r="224" spans="3:27" x14ac:dyDescent="0.25">
      <c r="F224" s="98" t="s">
        <v>422</v>
      </c>
      <c r="G224" s="98" t="s">
        <v>446</v>
      </c>
      <c r="H224" s="95"/>
      <c r="I224" s="95"/>
      <c r="J224" s="223">
        <f t="shared" ref="J224:Y224" si="206">1 / J24</f>
        <v>1.9157088122605363E-3</v>
      </c>
      <c r="K224" s="223">
        <f t="shared" si="206"/>
        <v>1.9157088122605363E-3</v>
      </c>
      <c r="L224" s="223">
        <f t="shared" si="206"/>
        <v>1.9157088122605363E-3</v>
      </c>
      <c r="M224" s="223">
        <f t="shared" si="206"/>
        <v>1.9157088122605363E-3</v>
      </c>
      <c r="N224" s="223">
        <f t="shared" si="206"/>
        <v>1.9157088122605363E-3</v>
      </c>
      <c r="O224" s="223">
        <f t="shared" si="206"/>
        <v>1.9157088122605363E-3</v>
      </c>
      <c r="P224" s="223">
        <f t="shared" si="206"/>
        <v>1.9157088122605363E-3</v>
      </c>
      <c r="Q224" s="223">
        <f t="shared" si="206"/>
        <v>6.6666666666666671E-3</v>
      </c>
      <c r="R224" s="223">
        <f t="shared" si="206"/>
        <v>1.9157088122605363E-3</v>
      </c>
      <c r="S224" s="223">
        <f t="shared" si="206"/>
        <v>1.9157088122605363E-3</v>
      </c>
      <c r="T224" s="223">
        <f t="shared" si="206"/>
        <v>1.9157088122605363E-3</v>
      </c>
      <c r="U224" s="223">
        <f t="shared" si="206"/>
        <v>1.9157088122605363E-3</v>
      </c>
      <c r="V224" s="223">
        <f t="shared" si="206"/>
        <v>1.9157088122605363E-3</v>
      </c>
      <c r="W224" s="223">
        <f t="shared" si="206"/>
        <v>1.9157088122605363E-3</v>
      </c>
      <c r="X224" s="223">
        <f t="shared" si="206"/>
        <v>1.9157088122605363E-3</v>
      </c>
      <c r="Y224" s="223">
        <f t="shared" si="206"/>
        <v>1.9157088122605363E-3</v>
      </c>
    </row>
    <row r="225" spans="5:25" x14ac:dyDescent="0.25">
      <c r="F225" s="94" t="s">
        <v>423</v>
      </c>
      <c r="G225" s="94" t="s">
        <v>446</v>
      </c>
      <c r="J225" s="106">
        <f t="shared" ref="J225:Y225" si="207">1 / J25</f>
        <v>2.9036004645760743E-4</v>
      </c>
      <c r="K225" s="106">
        <f t="shared" si="207"/>
        <v>2.9036004645760743E-4</v>
      </c>
      <c r="L225" s="106">
        <f t="shared" si="207"/>
        <v>2.9036004645760743E-4</v>
      </c>
      <c r="M225" s="106">
        <f t="shared" si="207"/>
        <v>2.9036004645760743E-4</v>
      </c>
      <c r="N225" s="106">
        <f t="shared" si="207"/>
        <v>2.9036004645760743E-4</v>
      </c>
      <c r="O225" s="106">
        <f t="shared" si="207"/>
        <v>2.9036004645760743E-4</v>
      </c>
      <c r="P225" s="106">
        <f t="shared" si="207"/>
        <v>2.9036004645760743E-4</v>
      </c>
      <c r="Q225" s="106">
        <f t="shared" si="207"/>
        <v>2.6205450733752622E-4</v>
      </c>
      <c r="R225" s="106">
        <f t="shared" si="207"/>
        <v>2.9036004645760743E-4</v>
      </c>
      <c r="S225" s="106">
        <f t="shared" si="207"/>
        <v>2.9036004645760743E-4</v>
      </c>
      <c r="T225" s="106">
        <f t="shared" si="207"/>
        <v>2.9036004645760743E-4</v>
      </c>
      <c r="U225" s="106">
        <f t="shared" si="207"/>
        <v>2.9036004645760743E-4</v>
      </c>
      <c r="V225" s="106">
        <f t="shared" si="207"/>
        <v>2.9036004645760743E-4</v>
      </c>
      <c r="W225" s="106">
        <f t="shared" si="207"/>
        <v>2.9036004645760743E-4</v>
      </c>
      <c r="X225" s="106">
        <f t="shared" si="207"/>
        <v>2.9036004645760743E-4</v>
      </c>
      <c r="Y225" s="106">
        <f t="shared" si="207"/>
        <v>2.9036004645760743E-4</v>
      </c>
    </row>
    <row r="226" spans="5:25" x14ac:dyDescent="0.25">
      <c r="F226" s="101" t="s">
        <v>257</v>
      </c>
      <c r="G226" s="101" t="s">
        <v>446</v>
      </c>
      <c r="H226" s="96"/>
      <c r="I226" s="96"/>
      <c r="J226" s="196">
        <f t="shared" ref="J226:Y226" si="208">1 / J26</f>
        <v>2.0859407592824363E-4</v>
      </c>
      <c r="K226" s="196">
        <f t="shared" si="208"/>
        <v>2.0859407592824363E-4</v>
      </c>
      <c r="L226" s="196">
        <f t="shared" si="208"/>
        <v>2.0859407592824363E-4</v>
      </c>
      <c r="M226" s="196">
        <f t="shared" si="208"/>
        <v>2.0859407592824363E-4</v>
      </c>
      <c r="N226" s="196">
        <f t="shared" si="208"/>
        <v>2.0859407592824363E-4</v>
      </c>
      <c r="O226" s="196">
        <f t="shared" si="208"/>
        <v>2.0859407592824363E-4</v>
      </c>
      <c r="P226" s="196">
        <f t="shared" si="208"/>
        <v>2.0859407592824363E-4</v>
      </c>
      <c r="Q226" s="196">
        <f t="shared" si="208"/>
        <v>2.0859407592824363E-4</v>
      </c>
      <c r="R226" s="196">
        <f t="shared" si="208"/>
        <v>2.0859407592824363E-4</v>
      </c>
      <c r="S226" s="196">
        <f t="shared" si="208"/>
        <v>2.0859407592824363E-4</v>
      </c>
      <c r="T226" s="196">
        <f t="shared" si="208"/>
        <v>2.0859407592824363E-4</v>
      </c>
      <c r="U226" s="196">
        <f t="shared" si="208"/>
        <v>2.0859407592824363E-4</v>
      </c>
      <c r="V226" s="196">
        <f t="shared" si="208"/>
        <v>2.0859407592824363E-4</v>
      </c>
      <c r="W226" s="196">
        <f t="shared" si="208"/>
        <v>2.0859407592824363E-4</v>
      </c>
      <c r="X226" s="196">
        <f t="shared" si="208"/>
        <v>2.0859407592824363E-4</v>
      </c>
      <c r="Y226" s="196">
        <f t="shared" si="208"/>
        <v>2.0859407592824363E-4</v>
      </c>
    </row>
    <row r="227" spans="5:25" x14ac:dyDescent="0.25">
      <c r="G227" s="94"/>
      <c r="J227" s="106"/>
      <c r="K227" s="106"/>
      <c r="L227" s="106"/>
      <c r="M227" s="106"/>
      <c r="N227" s="106"/>
      <c r="O227" s="106"/>
      <c r="P227" s="106"/>
      <c r="Q227" s="106"/>
      <c r="R227" s="106"/>
      <c r="S227" s="106"/>
      <c r="T227" s="106"/>
      <c r="U227" s="106"/>
      <c r="V227" s="106"/>
      <c r="W227" s="106"/>
      <c r="X227" s="106"/>
      <c r="Y227" s="106"/>
    </row>
    <row r="228" spans="5:25" x14ac:dyDescent="0.25">
      <c r="E228" s="75" t="s">
        <v>156</v>
      </c>
      <c r="G228" s="94"/>
      <c r="J228" s="106"/>
      <c r="K228" s="106"/>
      <c r="L228" s="106"/>
      <c r="M228" s="106"/>
      <c r="N228" s="106"/>
      <c r="O228" s="106"/>
      <c r="P228" s="106"/>
      <c r="Q228" s="106"/>
      <c r="R228" s="106"/>
      <c r="S228" s="106"/>
      <c r="T228" s="106"/>
      <c r="U228" s="106"/>
      <c r="V228" s="106"/>
      <c r="W228" s="106"/>
      <c r="X228" s="106"/>
      <c r="Y228" s="106"/>
    </row>
    <row r="229" spans="5:25" x14ac:dyDescent="0.25">
      <c r="F229" s="224" t="s">
        <v>191</v>
      </c>
      <c r="G229" s="98" t="s">
        <v>283</v>
      </c>
      <c r="H229" s="95"/>
      <c r="I229" s="95"/>
      <c r="J229" s="146">
        <f>J177 * J$224 * hours_in_year</f>
        <v>16.781609195402297</v>
      </c>
      <c r="K229" s="146">
        <f t="shared" ref="K229:Y229" si="209">K177 * K$224 * hours_in_year</f>
        <v>16.781609195402297</v>
      </c>
      <c r="L229" s="146">
        <f t="shared" si="209"/>
        <v>16.781609195402297</v>
      </c>
      <c r="M229" s="146">
        <f t="shared" si="209"/>
        <v>16.781609195402297</v>
      </c>
      <c r="N229" s="146">
        <f t="shared" si="209"/>
        <v>16.781609195402297</v>
      </c>
      <c r="O229" s="146">
        <f t="shared" si="209"/>
        <v>16.781609195402297</v>
      </c>
      <c r="P229" s="146">
        <f t="shared" si="209"/>
        <v>16.781609195402297</v>
      </c>
      <c r="Q229" s="146">
        <f t="shared" si="209"/>
        <v>53.332699254633745</v>
      </c>
      <c r="R229" s="146">
        <f t="shared" si="209"/>
        <v>16.781609195402297</v>
      </c>
      <c r="S229" s="146">
        <f t="shared" si="209"/>
        <v>16.781609195402297</v>
      </c>
      <c r="T229" s="146">
        <f t="shared" si="209"/>
        <v>16.781609195402297</v>
      </c>
      <c r="U229" s="146">
        <f t="shared" si="209"/>
        <v>16.781609195402297</v>
      </c>
      <c r="V229" s="146">
        <f t="shared" si="209"/>
        <v>16.781609195402297</v>
      </c>
      <c r="W229" s="146">
        <f t="shared" si="209"/>
        <v>16.781609195402297</v>
      </c>
      <c r="X229" s="146">
        <f t="shared" si="209"/>
        <v>16.781609195402297</v>
      </c>
      <c r="Y229" s="146">
        <f t="shared" si="209"/>
        <v>16.781609195402297</v>
      </c>
    </row>
    <row r="230" spans="5:25" x14ac:dyDescent="0.25">
      <c r="F230" s="225" t="s">
        <v>192</v>
      </c>
      <c r="G230" s="94" t="s">
        <v>283</v>
      </c>
      <c r="J230" s="146">
        <f t="shared" ref="J230:Y230" si="210">J182 * J224 * hours_in_year</f>
        <v>13.3165925722518</v>
      </c>
      <c r="K230" s="146">
        <f t="shared" si="210"/>
        <v>13.3165925722518</v>
      </c>
      <c r="L230" s="146">
        <f t="shared" si="210"/>
        <v>13.3165925722518</v>
      </c>
      <c r="M230" s="146">
        <f t="shared" si="210"/>
        <v>13.3165925722518</v>
      </c>
      <c r="N230" s="146">
        <f t="shared" si="210"/>
        <v>13.3165925722518</v>
      </c>
      <c r="O230" s="146">
        <f t="shared" si="210"/>
        <v>13.3165925722518</v>
      </c>
      <c r="P230" s="146">
        <f t="shared" si="210"/>
        <v>13.3165925722518</v>
      </c>
      <c r="Q230" s="146">
        <f t="shared" si="210"/>
        <v>39.843198119616169</v>
      </c>
      <c r="R230" s="146">
        <f t="shared" si="210"/>
        <v>13.3165925722518</v>
      </c>
      <c r="S230" s="146">
        <f t="shared" si="210"/>
        <v>13.3165925722518</v>
      </c>
      <c r="T230" s="146">
        <f t="shared" si="210"/>
        <v>13.3165925722518</v>
      </c>
      <c r="U230" s="146">
        <f t="shared" si="210"/>
        <v>13.3165925722518</v>
      </c>
      <c r="V230" s="146">
        <f t="shared" si="210"/>
        <v>13.3165925722518</v>
      </c>
      <c r="W230" s="146">
        <f t="shared" si="210"/>
        <v>13.3165925722518</v>
      </c>
      <c r="X230" s="146">
        <f t="shared" si="210"/>
        <v>13.3165925722518</v>
      </c>
      <c r="Y230" s="146">
        <f t="shared" si="210"/>
        <v>13.3165925722518</v>
      </c>
    </row>
    <row r="231" spans="5:25" x14ac:dyDescent="0.25">
      <c r="F231" s="225" t="s">
        <v>193</v>
      </c>
      <c r="G231" s="94" t="s">
        <v>283</v>
      </c>
      <c r="J231" s="146">
        <f t="shared" ref="J231:Y231" si="211">J187 * J224 * hours_in_year</f>
        <v>13.3165925722518</v>
      </c>
      <c r="K231" s="146">
        <f t="shared" si="211"/>
        <v>13.3165925722518</v>
      </c>
      <c r="L231" s="146">
        <f t="shared" si="211"/>
        <v>13.3165925722518</v>
      </c>
      <c r="M231" s="146">
        <f t="shared" si="211"/>
        <v>13.3165925722518</v>
      </c>
      <c r="N231" s="146">
        <f t="shared" si="211"/>
        <v>13.3165925722518</v>
      </c>
      <c r="O231" s="146">
        <f t="shared" si="211"/>
        <v>13.3165925722518</v>
      </c>
      <c r="P231" s="146">
        <f t="shared" si="211"/>
        <v>13.3165925722518</v>
      </c>
      <c r="Q231" s="146">
        <f t="shared" si="211"/>
        <v>39.843198119616169</v>
      </c>
      <c r="R231" s="146">
        <f t="shared" si="211"/>
        <v>13.3165925722518</v>
      </c>
      <c r="S231" s="146">
        <f t="shared" si="211"/>
        <v>13.3165925722518</v>
      </c>
      <c r="T231" s="146">
        <f t="shared" si="211"/>
        <v>13.3165925722518</v>
      </c>
      <c r="U231" s="146">
        <f t="shared" si="211"/>
        <v>13.3165925722518</v>
      </c>
      <c r="V231" s="146">
        <f t="shared" si="211"/>
        <v>13.3165925722518</v>
      </c>
      <c r="W231" s="146">
        <f t="shared" si="211"/>
        <v>13.3165925722518</v>
      </c>
      <c r="X231" s="146">
        <f t="shared" si="211"/>
        <v>13.3165925722518</v>
      </c>
      <c r="Y231" s="146">
        <f t="shared" si="211"/>
        <v>13.3165925722518</v>
      </c>
    </row>
    <row r="232" spans="5:25" x14ac:dyDescent="0.25">
      <c r="F232" s="225" t="s">
        <v>194</v>
      </c>
      <c r="G232" s="94" t="s">
        <v>283</v>
      </c>
      <c r="J232" s="146">
        <f t="shared" ref="J232:Y232" si="212">J192 * J224 * hours_in_year</f>
        <v>9.0062839625968216</v>
      </c>
      <c r="K232" s="146">
        <f t="shared" si="212"/>
        <v>9.0062839625968216</v>
      </c>
      <c r="L232" s="146">
        <f t="shared" si="212"/>
        <v>9.0062839625968216</v>
      </c>
      <c r="M232" s="146">
        <f t="shared" si="212"/>
        <v>9.0062839625968216</v>
      </c>
      <c r="N232" s="146">
        <f t="shared" si="212"/>
        <v>9.0062839625968216</v>
      </c>
      <c r="O232" s="146">
        <f t="shared" si="212"/>
        <v>9.0062839625968216</v>
      </c>
      <c r="P232" s="146">
        <f t="shared" si="212"/>
        <v>9.0062839625968216</v>
      </c>
      <c r="Q232" s="146">
        <f t="shared" si="212"/>
        <v>26.649280582902939</v>
      </c>
      <c r="R232" s="146">
        <f t="shared" si="212"/>
        <v>9.0062839625968216</v>
      </c>
      <c r="S232" s="146">
        <f t="shared" si="212"/>
        <v>9.0062839625968216</v>
      </c>
      <c r="T232" s="146">
        <f t="shared" si="212"/>
        <v>9.0062839625968216</v>
      </c>
      <c r="U232" s="146">
        <f t="shared" si="212"/>
        <v>9.0062839625968216</v>
      </c>
      <c r="V232" s="146">
        <f t="shared" si="212"/>
        <v>9.0062839625968216</v>
      </c>
      <c r="W232" s="146">
        <f t="shared" si="212"/>
        <v>9.0062839625968216</v>
      </c>
      <c r="X232" s="146">
        <f t="shared" si="212"/>
        <v>9.0062839625968216</v>
      </c>
      <c r="Y232" s="146">
        <f t="shared" si="212"/>
        <v>9.0062839625968216</v>
      </c>
    </row>
    <row r="233" spans="5:25" x14ac:dyDescent="0.25">
      <c r="F233" s="225" t="s">
        <v>195</v>
      </c>
      <c r="G233" s="94" t="s">
        <v>283</v>
      </c>
      <c r="J233" s="146">
        <f t="shared" ref="J233:Y233" si="213">J197 * J224 * hours_in_year</f>
        <v>9.0062839625968216</v>
      </c>
      <c r="K233" s="146">
        <f t="shared" si="213"/>
        <v>9.0062839625968216</v>
      </c>
      <c r="L233" s="146">
        <f t="shared" si="213"/>
        <v>9.0062839625968216</v>
      </c>
      <c r="M233" s="146">
        <f t="shared" si="213"/>
        <v>9.0062839625968216</v>
      </c>
      <c r="N233" s="146">
        <f t="shared" si="213"/>
        <v>9.0062839625968216</v>
      </c>
      <c r="O233" s="146">
        <f t="shared" si="213"/>
        <v>9.0062839625968216</v>
      </c>
      <c r="P233" s="146">
        <f t="shared" si="213"/>
        <v>9.0062839625968216</v>
      </c>
      <c r="Q233" s="146">
        <f t="shared" si="213"/>
        <v>26.649280582902939</v>
      </c>
      <c r="R233" s="146">
        <f t="shared" si="213"/>
        <v>9.0062839625968216</v>
      </c>
      <c r="S233" s="146">
        <f t="shared" si="213"/>
        <v>9.0062839625968216</v>
      </c>
      <c r="T233" s="146">
        <f t="shared" si="213"/>
        <v>9.0062839625968216</v>
      </c>
      <c r="U233" s="146">
        <f t="shared" si="213"/>
        <v>9.0062839625968216</v>
      </c>
      <c r="V233" s="146">
        <f t="shared" si="213"/>
        <v>9.0062839625968216</v>
      </c>
      <c r="W233" s="146">
        <f t="shared" si="213"/>
        <v>9.0062839625968216</v>
      </c>
      <c r="X233" s="146">
        <f t="shared" si="213"/>
        <v>9.0062839625968216</v>
      </c>
      <c r="Y233" s="146">
        <f t="shared" si="213"/>
        <v>9.0062839625968216</v>
      </c>
    </row>
    <row r="234" spans="5:25" x14ac:dyDescent="0.25">
      <c r="F234" s="225" t="s">
        <v>196</v>
      </c>
      <c r="G234" s="94" t="s">
        <v>283</v>
      </c>
      <c r="J234" s="146">
        <f t="shared" ref="J234:Y234" si="214">J202 * J224 * hours_in_year</f>
        <v>13.3165925722518</v>
      </c>
      <c r="K234" s="146">
        <f t="shared" si="214"/>
        <v>13.3165925722518</v>
      </c>
      <c r="L234" s="146">
        <f t="shared" si="214"/>
        <v>13.3165925722518</v>
      </c>
      <c r="M234" s="146">
        <f t="shared" si="214"/>
        <v>13.3165925722518</v>
      </c>
      <c r="N234" s="146">
        <f t="shared" si="214"/>
        <v>13.3165925722518</v>
      </c>
      <c r="O234" s="146">
        <f t="shared" si="214"/>
        <v>13.3165925722518</v>
      </c>
      <c r="P234" s="146">
        <f t="shared" si="214"/>
        <v>13.3165925722518</v>
      </c>
      <c r="Q234" s="146">
        <f t="shared" si="214"/>
        <v>39.843198119616169</v>
      </c>
      <c r="R234" s="146">
        <f t="shared" si="214"/>
        <v>13.3165925722518</v>
      </c>
      <c r="S234" s="146">
        <f t="shared" si="214"/>
        <v>13.3165925722518</v>
      </c>
      <c r="T234" s="146">
        <f t="shared" si="214"/>
        <v>13.3165925722518</v>
      </c>
      <c r="U234" s="146">
        <f t="shared" si="214"/>
        <v>13.3165925722518</v>
      </c>
      <c r="V234" s="146">
        <f t="shared" si="214"/>
        <v>13.3165925722518</v>
      </c>
      <c r="W234" s="146">
        <f t="shared" si="214"/>
        <v>13.3165925722518</v>
      </c>
      <c r="X234" s="146">
        <f t="shared" si="214"/>
        <v>13.3165925722518</v>
      </c>
      <c r="Y234" s="146">
        <f t="shared" si="214"/>
        <v>13.3165925722518</v>
      </c>
    </row>
    <row r="235" spans="5:25" x14ac:dyDescent="0.25">
      <c r="F235" s="225" t="s">
        <v>197</v>
      </c>
      <c r="G235" s="94" t="s">
        <v>283</v>
      </c>
      <c r="J235" s="146">
        <f t="shared" ref="J235:Y235" si="215">J207 * J224 * hours_in_year</f>
        <v>9.0062839625968216</v>
      </c>
      <c r="K235" s="146">
        <f t="shared" si="215"/>
        <v>9.0062839625968216</v>
      </c>
      <c r="L235" s="146">
        <f t="shared" si="215"/>
        <v>9.0062839625968216</v>
      </c>
      <c r="M235" s="146">
        <f t="shared" si="215"/>
        <v>9.0062839625968216</v>
      </c>
      <c r="N235" s="146">
        <f t="shared" si="215"/>
        <v>9.0062839625968216</v>
      </c>
      <c r="O235" s="146">
        <f t="shared" si="215"/>
        <v>9.0062839625968216</v>
      </c>
      <c r="P235" s="146">
        <f t="shared" si="215"/>
        <v>9.0062839625968216</v>
      </c>
      <c r="Q235" s="146">
        <f t="shared" si="215"/>
        <v>26.649280582902939</v>
      </c>
      <c r="R235" s="146">
        <f t="shared" si="215"/>
        <v>9.0062839625968216</v>
      </c>
      <c r="S235" s="146">
        <f t="shared" si="215"/>
        <v>9.0062839625968216</v>
      </c>
      <c r="T235" s="146">
        <f t="shared" si="215"/>
        <v>9.0062839625968216</v>
      </c>
      <c r="U235" s="146">
        <f t="shared" si="215"/>
        <v>9.0062839625968216</v>
      </c>
      <c r="V235" s="146">
        <f t="shared" si="215"/>
        <v>9.0062839625968216</v>
      </c>
      <c r="W235" s="146">
        <f t="shared" si="215"/>
        <v>9.0062839625968216</v>
      </c>
      <c r="X235" s="146">
        <f t="shared" si="215"/>
        <v>9.0062839625968216</v>
      </c>
      <c r="Y235" s="146">
        <f t="shared" si="215"/>
        <v>9.0062839625968216</v>
      </c>
    </row>
    <row r="236" spans="5:25" x14ac:dyDescent="0.25">
      <c r="F236" s="225" t="s">
        <v>198</v>
      </c>
      <c r="G236" s="94" t="s">
        <v>283</v>
      </c>
      <c r="J236" s="146">
        <f t="shared" ref="J236:Y236" si="216">J212 * J224 * hours_in_year</f>
        <v>9.0062839625968216</v>
      </c>
      <c r="K236" s="146">
        <f t="shared" si="216"/>
        <v>9.0062839625968216</v>
      </c>
      <c r="L236" s="146">
        <f t="shared" si="216"/>
        <v>9.0062839625968216</v>
      </c>
      <c r="M236" s="146">
        <f t="shared" si="216"/>
        <v>9.0062839625968216</v>
      </c>
      <c r="N236" s="146">
        <f t="shared" si="216"/>
        <v>9.0062839625968216</v>
      </c>
      <c r="O236" s="146">
        <f t="shared" si="216"/>
        <v>9.0062839625968216</v>
      </c>
      <c r="P236" s="146">
        <f t="shared" si="216"/>
        <v>9.0062839625968216</v>
      </c>
      <c r="Q236" s="146">
        <f t="shared" si="216"/>
        <v>26.649280582902939</v>
      </c>
      <c r="R236" s="146">
        <f t="shared" si="216"/>
        <v>9.0062839625968216</v>
      </c>
      <c r="S236" s="146">
        <f t="shared" si="216"/>
        <v>9.0062839625968216</v>
      </c>
      <c r="T236" s="146">
        <f t="shared" si="216"/>
        <v>9.0062839625968216</v>
      </c>
      <c r="U236" s="146">
        <f t="shared" si="216"/>
        <v>9.0062839625968216</v>
      </c>
      <c r="V236" s="146">
        <f t="shared" si="216"/>
        <v>9.0062839625968216</v>
      </c>
      <c r="W236" s="146">
        <f t="shared" si="216"/>
        <v>9.0062839625968216</v>
      </c>
      <c r="X236" s="146">
        <f t="shared" si="216"/>
        <v>9.0062839625968216</v>
      </c>
      <c r="Y236" s="146">
        <f t="shared" si="216"/>
        <v>9.0062839625968216</v>
      </c>
    </row>
    <row r="237" spans="5:25" x14ac:dyDescent="0.25">
      <c r="F237" s="226" t="s">
        <v>199</v>
      </c>
      <c r="G237" s="101" t="s">
        <v>283</v>
      </c>
      <c r="H237" s="96"/>
      <c r="I237" s="96"/>
      <c r="J237" s="146">
        <f t="shared" ref="J237:Y237" si="217">J217 * J224 * hours_in_year</f>
        <v>9.0062839625968216</v>
      </c>
      <c r="K237" s="146">
        <f t="shared" si="217"/>
        <v>9.0062839625968216</v>
      </c>
      <c r="L237" s="146">
        <f t="shared" si="217"/>
        <v>9.0062839625968216</v>
      </c>
      <c r="M237" s="146">
        <f t="shared" si="217"/>
        <v>9.0062839625968216</v>
      </c>
      <c r="N237" s="146">
        <f t="shared" si="217"/>
        <v>9.0062839625968216</v>
      </c>
      <c r="O237" s="146">
        <f t="shared" si="217"/>
        <v>9.0062839625968216</v>
      </c>
      <c r="P237" s="146">
        <f t="shared" si="217"/>
        <v>9.0062839625968216</v>
      </c>
      <c r="Q237" s="146">
        <f t="shared" si="217"/>
        <v>26.649280582902939</v>
      </c>
      <c r="R237" s="146">
        <f t="shared" si="217"/>
        <v>9.0062839625968216</v>
      </c>
      <c r="S237" s="146">
        <f t="shared" si="217"/>
        <v>9.0062839625968216</v>
      </c>
      <c r="T237" s="146">
        <f t="shared" si="217"/>
        <v>9.0062839625968216</v>
      </c>
      <c r="U237" s="146">
        <f t="shared" si="217"/>
        <v>9.0062839625968216</v>
      </c>
      <c r="V237" s="146">
        <f t="shared" si="217"/>
        <v>9.0062839625968216</v>
      </c>
      <c r="W237" s="146">
        <f t="shared" si="217"/>
        <v>9.0062839625968216</v>
      </c>
      <c r="X237" s="146">
        <f t="shared" si="217"/>
        <v>9.0062839625968216</v>
      </c>
      <c r="Y237" s="146">
        <f t="shared" si="217"/>
        <v>9.0062839625968216</v>
      </c>
    </row>
    <row r="238" spans="5:25" x14ac:dyDescent="0.25">
      <c r="G238" s="94"/>
      <c r="J238" s="168"/>
      <c r="K238" s="168"/>
      <c r="L238" s="168"/>
      <c r="M238" s="168"/>
      <c r="N238" s="168"/>
      <c r="O238" s="168"/>
      <c r="P238" s="168"/>
      <c r="Q238" s="168"/>
      <c r="R238" s="168"/>
      <c r="S238" s="168"/>
      <c r="T238" s="168"/>
      <c r="U238" s="168"/>
      <c r="V238" s="168"/>
      <c r="W238" s="168"/>
      <c r="X238" s="168"/>
      <c r="Y238" s="168"/>
    </row>
    <row r="239" spans="5:25" x14ac:dyDescent="0.25">
      <c r="E239" s="75" t="s">
        <v>157</v>
      </c>
      <c r="G239" s="94"/>
      <c r="J239" s="106"/>
      <c r="K239" s="106"/>
      <c r="L239" s="106"/>
      <c r="M239" s="106"/>
      <c r="N239" s="106"/>
      <c r="O239" s="106"/>
      <c r="P239" s="106"/>
      <c r="Q239" s="106"/>
      <c r="R239" s="106"/>
      <c r="S239" s="106"/>
      <c r="T239" s="106"/>
      <c r="U239" s="106"/>
      <c r="V239" s="106"/>
      <c r="W239" s="106"/>
      <c r="X239" s="106"/>
      <c r="Y239" s="106"/>
    </row>
    <row r="240" spans="5:25" x14ac:dyDescent="0.25">
      <c r="F240" s="98" t="s">
        <v>191</v>
      </c>
      <c r="G240" s="98" t="s">
        <v>283</v>
      </c>
      <c r="H240" s="95"/>
      <c r="I240" s="95"/>
      <c r="J240" s="146">
        <f t="shared" ref="J240:Y240" si="218">J178 * J225 * hours_in_year</f>
        <v>0</v>
      </c>
      <c r="K240" s="146">
        <f t="shared" si="218"/>
        <v>0</v>
      </c>
      <c r="L240" s="146">
        <f t="shared" si="218"/>
        <v>0</v>
      </c>
      <c r="M240" s="146">
        <f t="shared" si="218"/>
        <v>0</v>
      </c>
      <c r="N240" s="146">
        <f t="shared" si="218"/>
        <v>0</v>
      </c>
      <c r="O240" s="146">
        <f t="shared" si="218"/>
        <v>0</v>
      </c>
      <c r="P240" s="146">
        <f t="shared" si="218"/>
        <v>0</v>
      </c>
      <c r="Q240" s="146">
        <f t="shared" si="218"/>
        <v>0.19918635005370516</v>
      </c>
      <c r="R240" s="146">
        <f t="shared" si="218"/>
        <v>0</v>
      </c>
      <c r="S240" s="146">
        <f t="shared" si="218"/>
        <v>0</v>
      </c>
      <c r="T240" s="146">
        <f t="shared" si="218"/>
        <v>0</v>
      </c>
      <c r="U240" s="146">
        <f t="shared" si="218"/>
        <v>0</v>
      </c>
      <c r="V240" s="146">
        <f t="shared" si="218"/>
        <v>0</v>
      </c>
      <c r="W240" s="146">
        <f t="shared" si="218"/>
        <v>0</v>
      </c>
      <c r="X240" s="146">
        <f t="shared" si="218"/>
        <v>0</v>
      </c>
      <c r="Y240" s="146">
        <f t="shared" si="218"/>
        <v>0</v>
      </c>
    </row>
    <row r="241" spans="5:25" x14ac:dyDescent="0.25">
      <c r="F241" s="94" t="s">
        <v>192</v>
      </c>
      <c r="G241" s="94" t="s">
        <v>283</v>
      </c>
      <c r="J241" s="146">
        <f t="shared" ref="J241:Y241" si="219">J183 * J225 * hours_in_year</f>
        <v>0.47587070313326774</v>
      </c>
      <c r="K241" s="146">
        <f t="shared" si="219"/>
        <v>0.47587070313326774</v>
      </c>
      <c r="L241" s="146">
        <f t="shared" si="219"/>
        <v>0.47587070313326774</v>
      </c>
      <c r="M241" s="146">
        <f t="shared" si="219"/>
        <v>0.47587070313326774</v>
      </c>
      <c r="N241" s="146">
        <f t="shared" si="219"/>
        <v>0.47587070313326774</v>
      </c>
      <c r="O241" s="146">
        <f t="shared" si="219"/>
        <v>0.47587070313326774</v>
      </c>
      <c r="P241" s="146">
        <f t="shared" si="219"/>
        <v>0.47587070313326774</v>
      </c>
      <c r="Q241" s="146">
        <f t="shared" si="219"/>
        <v>0.68492670502200981</v>
      </c>
      <c r="R241" s="146">
        <f t="shared" si="219"/>
        <v>0.47587070313326774</v>
      </c>
      <c r="S241" s="146">
        <f t="shared" si="219"/>
        <v>0.47587070313326774</v>
      </c>
      <c r="T241" s="146">
        <f t="shared" si="219"/>
        <v>0.47587070313326774</v>
      </c>
      <c r="U241" s="146">
        <f t="shared" si="219"/>
        <v>0.47587070313326774</v>
      </c>
      <c r="V241" s="146">
        <f t="shared" si="219"/>
        <v>0.47587070313326774</v>
      </c>
      <c r="W241" s="146">
        <f t="shared" si="219"/>
        <v>0.47587070313326774</v>
      </c>
      <c r="X241" s="146">
        <f t="shared" si="219"/>
        <v>0.47587070313326774</v>
      </c>
      <c r="Y241" s="146">
        <f t="shared" si="219"/>
        <v>0.47587070313326774</v>
      </c>
    </row>
    <row r="242" spans="5:25" x14ac:dyDescent="0.25">
      <c r="F242" s="94" t="s">
        <v>193</v>
      </c>
      <c r="G242" s="94" t="s">
        <v>283</v>
      </c>
      <c r="J242" s="146">
        <f t="shared" ref="J242:Y242" si="220">J188 * J225 * hours_in_year</f>
        <v>0.47587070313326774</v>
      </c>
      <c r="K242" s="146">
        <f t="shared" si="220"/>
        <v>0.47587070313326774</v>
      </c>
      <c r="L242" s="146">
        <f t="shared" si="220"/>
        <v>0.47587070313326774</v>
      </c>
      <c r="M242" s="146">
        <f t="shared" si="220"/>
        <v>0.47587070313326774</v>
      </c>
      <c r="N242" s="146">
        <f t="shared" si="220"/>
        <v>0.47587070313326774</v>
      </c>
      <c r="O242" s="146">
        <f t="shared" si="220"/>
        <v>0.47587070313326774</v>
      </c>
      <c r="P242" s="146">
        <f t="shared" si="220"/>
        <v>0.47587070313326774</v>
      </c>
      <c r="Q242" s="146">
        <f t="shared" si="220"/>
        <v>0.68492670502200981</v>
      </c>
      <c r="R242" s="146">
        <f t="shared" si="220"/>
        <v>0.47587070313326774</v>
      </c>
      <c r="S242" s="146">
        <f t="shared" si="220"/>
        <v>0.47587070313326774</v>
      </c>
      <c r="T242" s="146">
        <f t="shared" si="220"/>
        <v>0.47587070313326774</v>
      </c>
      <c r="U242" s="146">
        <f t="shared" si="220"/>
        <v>0.47587070313326774</v>
      </c>
      <c r="V242" s="146">
        <f t="shared" si="220"/>
        <v>0.47587070313326774</v>
      </c>
      <c r="W242" s="146">
        <f t="shared" si="220"/>
        <v>0.47587070313326774</v>
      </c>
      <c r="X242" s="146">
        <f t="shared" si="220"/>
        <v>0.47587070313326774</v>
      </c>
      <c r="Y242" s="146">
        <f t="shared" si="220"/>
        <v>0.47587070313326774</v>
      </c>
    </row>
    <row r="243" spans="5:25" x14ac:dyDescent="0.25">
      <c r="F243" s="94" t="s">
        <v>194</v>
      </c>
      <c r="G243" s="94" t="s">
        <v>283</v>
      </c>
      <c r="J243" s="146">
        <f t="shared" ref="J243:Y243" si="221">J193 * J225 * hours_in_year</f>
        <v>1.0155131673192064</v>
      </c>
      <c r="K243" s="146">
        <f t="shared" si="221"/>
        <v>1.0155131673192064</v>
      </c>
      <c r="L243" s="146">
        <f t="shared" si="221"/>
        <v>1.0155131673192064</v>
      </c>
      <c r="M243" s="146">
        <f t="shared" si="221"/>
        <v>1.0155131673192064</v>
      </c>
      <c r="N243" s="146">
        <f t="shared" si="221"/>
        <v>1.0155131673192064</v>
      </c>
      <c r="O243" s="146">
        <f t="shared" si="221"/>
        <v>1.0155131673192064</v>
      </c>
      <c r="P243" s="146">
        <f t="shared" si="221"/>
        <v>1.0155131673192064</v>
      </c>
      <c r="Q243" s="146">
        <f t="shared" si="221"/>
        <v>1.10097366071474</v>
      </c>
      <c r="R243" s="146">
        <f t="shared" si="221"/>
        <v>1.0155131673192064</v>
      </c>
      <c r="S243" s="146">
        <f t="shared" si="221"/>
        <v>1.0155131673192064</v>
      </c>
      <c r="T243" s="146">
        <f t="shared" si="221"/>
        <v>1.0155131673192064</v>
      </c>
      <c r="U243" s="146">
        <f t="shared" si="221"/>
        <v>1.0155131673192064</v>
      </c>
      <c r="V243" s="146">
        <f t="shared" si="221"/>
        <v>1.0155131673192064</v>
      </c>
      <c r="W243" s="146">
        <f t="shared" si="221"/>
        <v>1.0155131673192064</v>
      </c>
      <c r="X243" s="146">
        <f t="shared" si="221"/>
        <v>1.0155131673192064</v>
      </c>
      <c r="Y243" s="146">
        <f t="shared" si="221"/>
        <v>1.0155131673192064</v>
      </c>
    </row>
    <row r="244" spans="5:25" x14ac:dyDescent="0.25">
      <c r="F244" s="94" t="s">
        <v>195</v>
      </c>
      <c r="G244" s="94" t="s">
        <v>283</v>
      </c>
      <c r="J244" s="146">
        <f t="shared" ref="J244:Y244" si="222">J198 * J225 * hours_in_year</f>
        <v>1.0155131673192064</v>
      </c>
      <c r="K244" s="146">
        <f t="shared" si="222"/>
        <v>1.0155131673192064</v>
      </c>
      <c r="L244" s="146">
        <f t="shared" si="222"/>
        <v>1.0155131673192064</v>
      </c>
      <c r="M244" s="146">
        <f t="shared" si="222"/>
        <v>1.0155131673192064</v>
      </c>
      <c r="N244" s="146">
        <f t="shared" si="222"/>
        <v>1.0155131673192064</v>
      </c>
      <c r="O244" s="146">
        <f t="shared" si="222"/>
        <v>1.0155131673192064</v>
      </c>
      <c r="P244" s="146">
        <f t="shared" si="222"/>
        <v>1.0155131673192064</v>
      </c>
      <c r="Q244" s="146">
        <f t="shared" si="222"/>
        <v>1.10097366071474</v>
      </c>
      <c r="R244" s="146">
        <f t="shared" si="222"/>
        <v>1.0155131673192064</v>
      </c>
      <c r="S244" s="146">
        <f t="shared" si="222"/>
        <v>1.0155131673192064</v>
      </c>
      <c r="T244" s="146">
        <f t="shared" si="222"/>
        <v>1.0155131673192064</v>
      </c>
      <c r="U244" s="146">
        <f t="shared" si="222"/>
        <v>1.0155131673192064</v>
      </c>
      <c r="V244" s="146">
        <f t="shared" si="222"/>
        <v>1.0155131673192064</v>
      </c>
      <c r="W244" s="146">
        <f t="shared" si="222"/>
        <v>1.0155131673192064</v>
      </c>
      <c r="X244" s="146">
        <f t="shared" si="222"/>
        <v>1.0155131673192064</v>
      </c>
      <c r="Y244" s="146">
        <f t="shared" si="222"/>
        <v>1.0155131673192064</v>
      </c>
    </row>
    <row r="245" spans="5:25" x14ac:dyDescent="0.25">
      <c r="F245" s="94" t="s">
        <v>196</v>
      </c>
      <c r="G245" s="94" t="s">
        <v>283</v>
      </c>
      <c r="J245" s="146">
        <f t="shared" ref="J245:Y245" si="223">J203 * J225 * hours_in_year</f>
        <v>0.47587070313326774</v>
      </c>
      <c r="K245" s="146">
        <f t="shared" si="223"/>
        <v>0.47587070313326774</v>
      </c>
      <c r="L245" s="146">
        <f t="shared" si="223"/>
        <v>0.47587070313326774</v>
      </c>
      <c r="M245" s="146">
        <f t="shared" si="223"/>
        <v>0.47587070313326774</v>
      </c>
      <c r="N245" s="146">
        <f t="shared" si="223"/>
        <v>0.47587070313326774</v>
      </c>
      <c r="O245" s="146">
        <f t="shared" si="223"/>
        <v>0.47587070313326774</v>
      </c>
      <c r="P245" s="146">
        <f t="shared" si="223"/>
        <v>0.47587070313326774</v>
      </c>
      <c r="Q245" s="146">
        <f t="shared" si="223"/>
        <v>0.68492670502200981</v>
      </c>
      <c r="R245" s="146">
        <f t="shared" si="223"/>
        <v>0.47587070313326774</v>
      </c>
      <c r="S245" s="146">
        <f t="shared" si="223"/>
        <v>0.47587070313326774</v>
      </c>
      <c r="T245" s="146">
        <f t="shared" si="223"/>
        <v>0.47587070313326774</v>
      </c>
      <c r="U245" s="146">
        <f t="shared" si="223"/>
        <v>0.47587070313326774</v>
      </c>
      <c r="V245" s="146">
        <f t="shared" si="223"/>
        <v>0.47587070313326774</v>
      </c>
      <c r="W245" s="146">
        <f t="shared" si="223"/>
        <v>0.47587070313326774</v>
      </c>
      <c r="X245" s="146">
        <f t="shared" si="223"/>
        <v>0.47587070313326774</v>
      </c>
      <c r="Y245" s="146">
        <f t="shared" si="223"/>
        <v>0.47587070313326774</v>
      </c>
    </row>
    <row r="246" spans="5:25" x14ac:dyDescent="0.25">
      <c r="F246" s="94" t="s">
        <v>197</v>
      </c>
      <c r="G246" s="94" t="s">
        <v>283</v>
      </c>
      <c r="J246" s="146">
        <f t="shared" ref="J246:Y246" si="224">J208 * J225 * hours_in_year</f>
        <v>1.0155131673192064</v>
      </c>
      <c r="K246" s="146">
        <f t="shared" si="224"/>
        <v>1.0155131673192064</v>
      </c>
      <c r="L246" s="146">
        <f t="shared" si="224"/>
        <v>1.0155131673192064</v>
      </c>
      <c r="M246" s="146">
        <f t="shared" si="224"/>
        <v>1.0155131673192064</v>
      </c>
      <c r="N246" s="146">
        <f t="shared" si="224"/>
        <v>1.0155131673192064</v>
      </c>
      <c r="O246" s="146">
        <f t="shared" si="224"/>
        <v>1.0155131673192064</v>
      </c>
      <c r="P246" s="146">
        <f t="shared" si="224"/>
        <v>1.0155131673192064</v>
      </c>
      <c r="Q246" s="146">
        <f t="shared" si="224"/>
        <v>1.10097366071474</v>
      </c>
      <c r="R246" s="146">
        <f t="shared" si="224"/>
        <v>1.0155131673192064</v>
      </c>
      <c r="S246" s="146">
        <f t="shared" si="224"/>
        <v>1.0155131673192064</v>
      </c>
      <c r="T246" s="146">
        <f t="shared" si="224"/>
        <v>1.0155131673192064</v>
      </c>
      <c r="U246" s="146">
        <f t="shared" si="224"/>
        <v>1.0155131673192064</v>
      </c>
      <c r="V246" s="146">
        <f t="shared" si="224"/>
        <v>1.0155131673192064</v>
      </c>
      <c r="W246" s="146">
        <f t="shared" si="224"/>
        <v>1.0155131673192064</v>
      </c>
      <c r="X246" s="146">
        <f t="shared" si="224"/>
        <v>1.0155131673192064</v>
      </c>
      <c r="Y246" s="146">
        <f t="shared" si="224"/>
        <v>1.0155131673192064</v>
      </c>
    </row>
    <row r="247" spans="5:25" x14ac:dyDescent="0.25">
      <c r="F247" s="94" t="s">
        <v>198</v>
      </c>
      <c r="G247" s="94" t="s">
        <v>283</v>
      </c>
      <c r="J247" s="146">
        <f t="shared" ref="J247:Y247" si="225">J213 * J225 * hours_in_year</f>
        <v>1.0155131673192064</v>
      </c>
      <c r="K247" s="146">
        <f t="shared" si="225"/>
        <v>1.0155131673192064</v>
      </c>
      <c r="L247" s="146">
        <f t="shared" si="225"/>
        <v>1.0155131673192064</v>
      </c>
      <c r="M247" s="146">
        <f t="shared" si="225"/>
        <v>1.0155131673192064</v>
      </c>
      <c r="N247" s="146">
        <f t="shared" si="225"/>
        <v>1.0155131673192064</v>
      </c>
      <c r="O247" s="146">
        <f t="shared" si="225"/>
        <v>1.0155131673192064</v>
      </c>
      <c r="P247" s="146">
        <f t="shared" si="225"/>
        <v>1.0155131673192064</v>
      </c>
      <c r="Q247" s="146">
        <f t="shared" si="225"/>
        <v>1.10097366071474</v>
      </c>
      <c r="R247" s="146">
        <f t="shared" si="225"/>
        <v>1.0155131673192064</v>
      </c>
      <c r="S247" s="146">
        <f t="shared" si="225"/>
        <v>1.0155131673192064</v>
      </c>
      <c r="T247" s="146">
        <f t="shared" si="225"/>
        <v>1.0155131673192064</v>
      </c>
      <c r="U247" s="146">
        <f t="shared" si="225"/>
        <v>1.0155131673192064</v>
      </c>
      <c r="V247" s="146">
        <f t="shared" si="225"/>
        <v>1.0155131673192064</v>
      </c>
      <c r="W247" s="146">
        <f t="shared" si="225"/>
        <v>1.0155131673192064</v>
      </c>
      <c r="X247" s="146">
        <f t="shared" si="225"/>
        <v>1.0155131673192064</v>
      </c>
      <c r="Y247" s="146">
        <f t="shared" si="225"/>
        <v>1.0155131673192064</v>
      </c>
    </row>
    <row r="248" spans="5:25" x14ac:dyDescent="0.25">
      <c r="F248" s="101" t="s">
        <v>199</v>
      </c>
      <c r="G248" s="101" t="s">
        <v>283</v>
      </c>
      <c r="H248" s="96"/>
      <c r="I248" s="96"/>
      <c r="J248" s="146">
        <f t="shared" ref="J248:Y248" si="226">J218 * J225 * hours_in_year</f>
        <v>1.0155131673192064</v>
      </c>
      <c r="K248" s="146">
        <f t="shared" si="226"/>
        <v>1.0155131673192064</v>
      </c>
      <c r="L248" s="146">
        <f t="shared" si="226"/>
        <v>1.0155131673192064</v>
      </c>
      <c r="M248" s="146">
        <f t="shared" si="226"/>
        <v>1.0155131673192064</v>
      </c>
      <c r="N248" s="146">
        <f t="shared" si="226"/>
        <v>1.0155131673192064</v>
      </c>
      <c r="O248" s="146">
        <f t="shared" si="226"/>
        <v>1.0155131673192064</v>
      </c>
      <c r="P248" s="146">
        <f t="shared" si="226"/>
        <v>1.0155131673192064</v>
      </c>
      <c r="Q248" s="146">
        <f t="shared" si="226"/>
        <v>1.10097366071474</v>
      </c>
      <c r="R248" s="146">
        <f t="shared" si="226"/>
        <v>1.0155131673192064</v>
      </c>
      <c r="S248" s="146">
        <f t="shared" si="226"/>
        <v>1.0155131673192064</v>
      </c>
      <c r="T248" s="146">
        <f t="shared" si="226"/>
        <v>1.0155131673192064</v>
      </c>
      <c r="U248" s="146">
        <f t="shared" si="226"/>
        <v>1.0155131673192064</v>
      </c>
      <c r="V248" s="146">
        <f t="shared" si="226"/>
        <v>1.0155131673192064</v>
      </c>
      <c r="W248" s="146">
        <f t="shared" si="226"/>
        <v>1.0155131673192064</v>
      </c>
      <c r="X248" s="146">
        <f t="shared" si="226"/>
        <v>1.0155131673192064</v>
      </c>
      <c r="Y248" s="146">
        <f t="shared" si="226"/>
        <v>1.0155131673192064</v>
      </c>
    </row>
    <row r="249" spans="5:25" x14ac:dyDescent="0.25">
      <c r="J249" s="106"/>
      <c r="K249" s="106"/>
      <c r="L249" s="106"/>
      <c r="M249" s="106"/>
      <c r="N249" s="106"/>
      <c r="O249" s="106"/>
      <c r="P249" s="106"/>
      <c r="Q249" s="106"/>
      <c r="R249" s="106"/>
      <c r="S249" s="106"/>
      <c r="T249" s="106"/>
      <c r="U249" s="106"/>
      <c r="V249" s="106"/>
      <c r="W249" s="106"/>
      <c r="X249" s="106"/>
      <c r="Y249" s="106"/>
    </row>
    <row r="250" spans="5:25" x14ac:dyDescent="0.25">
      <c r="E250" s="75" t="s">
        <v>158</v>
      </c>
      <c r="G250" s="94"/>
      <c r="J250" s="106"/>
      <c r="K250" s="106"/>
      <c r="L250" s="106"/>
      <c r="M250" s="106"/>
      <c r="N250" s="106"/>
      <c r="O250" s="106"/>
      <c r="P250" s="106"/>
      <c r="Q250" s="106"/>
      <c r="R250" s="106"/>
      <c r="S250" s="106"/>
      <c r="T250" s="106"/>
      <c r="U250" s="106"/>
      <c r="V250" s="106"/>
      <c r="W250" s="106"/>
      <c r="X250" s="106"/>
      <c r="Y250" s="106"/>
    </row>
    <row r="251" spans="5:25" x14ac:dyDescent="0.25">
      <c r="F251" s="98" t="s">
        <v>191</v>
      </c>
      <c r="G251" s="98" t="s">
        <v>283</v>
      </c>
      <c r="H251" s="95"/>
      <c r="I251" s="95"/>
      <c r="J251" s="146">
        <f t="shared" ref="J251:Y251" si="227">J179 * J226 * hours_in_year</f>
        <v>0</v>
      </c>
      <c r="K251" s="146">
        <f t="shared" si="227"/>
        <v>0</v>
      </c>
      <c r="L251" s="146">
        <f t="shared" si="227"/>
        <v>0</v>
      </c>
      <c r="M251" s="146">
        <f t="shared" si="227"/>
        <v>0</v>
      </c>
      <c r="N251" s="146">
        <f t="shared" si="227"/>
        <v>0</v>
      </c>
      <c r="O251" s="146">
        <f t="shared" si="227"/>
        <v>0</v>
      </c>
      <c r="P251" s="146">
        <f t="shared" si="227"/>
        <v>0</v>
      </c>
      <c r="Q251" s="146">
        <f t="shared" si="227"/>
        <v>0</v>
      </c>
      <c r="R251" s="146">
        <f t="shared" si="227"/>
        <v>0</v>
      </c>
      <c r="S251" s="146">
        <f t="shared" si="227"/>
        <v>0</v>
      </c>
      <c r="T251" s="146">
        <f t="shared" si="227"/>
        <v>0</v>
      </c>
      <c r="U251" s="146">
        <f t="shared" si="227"/>
        <v>0</v>
      </c>
      <c r="V251" s="146">
        <f t="shared" si="227"/>
        <v>0</v>
      </c>
      <c r="W251" s="146">
        <f t="shared" si="227"/>
        <v>0</v>
      </c>
      <c r="X251" s="146">
        <f t="shared" si="227"/>
        <v>0</v>
      </c>
      <c r="Y251" s="146">
        <f t="shared" si="227"/>
        <v>0</v>
      </c>
    </row>
    <row r="252" spans="5:25" x14ac:dyDescent="0.25">
      <c r="F252" s="94" t="s">
        <v>192</v>
      </c>
      <c r="G252" s="94" t="s">
        <v>283</v>
      </c>
      <c r="J252" s="146">
        <f t="shared" ref="J252:Y252" si="228">J184 * J226 * hours_in_year</f>
        <v>3.5427612785478964E-2</v>
      </c>
      <c r="K252" s="146">
        <f t="shared" si="228"/>
        <v>3.5427612785478964E-2</v>
      </c>
      <c r="L252" s="146">
        <f t="shared" si="228"/>
        <v>3.5427612785478964E-2</v>
      </c>
      <c r="M252" s="146">
        <f t="shared" si="228"/>
        <v>3.5427612785478964E-2</v>
      </c>
      <c r="N252" s="146">
        <f t="shared" si="228"/>
        <v>3.5427612785478964E-2</v>
      </c>
      <c r="O252" s="146">
        <f t="shared" si="228"/>
        <v>3.5427612785478964E-2</v>
      </c>
      <c r="P252" s="146">
        <f t="shared" si="228"/>
        <v>3.5427612785478964E-2</v>
      </c>
      <c r="Q252" s="146">
        <f t="shared" si="228"/>
        <v>3.5427612785478964E-2</v>
      </c>
      <c r="R252" s="146">
        <f t="shared" si="228"/>
        <v>3.5427612785478964E-2</v>
      </c>
      <c r="S252" s="146">
        <f t="shared" si="228"/>
        <v>3.5427612785478964E-2</v>
      </c>
      <c r="T252" s="146">
        <f t="shared" si="228"/>
        <v>3.5427612785478964E-2</v>
      </c>
      <c r="U252" s="146">
        <f t="shared" si="228"/>
        <v>3.5427612785478964E-2</v>
      </c>
      <c r="V252" s="146">
        <f t="shared" si="228"/>
        <v>3.5427612785478964E-2</v>
      </c>
      <c r="W252" s="146">
        <f t="shared" si="228"/>
        <v>3.5427612785478964E-2</v>
      </c>
      <c r="X252" s="146">
        <f t="shared" si="228"/>
        <v>3.5427612785478964E-2</v>
      </c>
      <c r="Y252" s="146">
        <f t="shared" si="228"/>
        <v>3.5427612785478964E-2</v>
      </c>
    </row>
    <row r="253" spans="5:25" x14ac:dyDescent="0.25">
      <c r="F253" s="94" t="s">
        <v>193</v>
      </c>
      <c r="G253" s="94" t="s">
        <v>283</v>
      </c>
      <c r="J253" s="146">
        <f t="shared" ref="J253:Y253" si="229">J189 * J226 * hours_in_year</f>
        <v>3.5427612785478964E-2</v>
      </c>
      <c r="K253" s="146">
        <f t="shared" si="229"/>
        <v>3.5427612785478964E-2</v>
      </c>
      <c r="L253" s="146">
        <f t="shared" si="229"/>
        <v>3.5427612785478964E-2</v>
      </c>
      <c r="M253" s="146">
        <f t="shared" si="229"/>
        <v>3.5427612785478964E-2</v>
      </c>
      <c r="N253" s="146">
        <f t="shared" si="229"/>
        <v>3.5427612785478964E-2</v>
      </c>
      <c r="O253" s="146">
        <f t="shared" si="229"/>
        <v>3.5427612785478964E-2</v>
      </c>
      <c r="P253" s="146">
        <f t="shared" si="229"/>
        <v>3.5427612785478964E-2</v>
      </c>
      <c r="Q253" s="146">
        <f t="shared" si="229"/>
        <v>3.5427612785478964E-2</v>
      </c>
      <c r="R253" s="146">
        <f t="shared" si="229"/>
        <v>3.5427612785478964E-2</v>
      </c>
      <c r="S253" s="146">
        <f t="shared" si="229"/>
        <v>3.5427612785478964E-2</v>
      </c>
      <c r="T253" s="146">
        <f t="shared" si="229"/>
        <v>3.5427612785478964E-2</v>
      </c>
      <c r="U253" s="146">
        <f t="shared" si="229"/>
        <v>3.5427612785478964E-2</v>
      </c>
      <c r="V253" s="146">
        <f t="shared" si="229"/>
        <v>3.5427612785478964E-2</v>
      </c>
      <c r="W253" s="146">
        <f t="shared" si="229"/>
        <v>3.5427612785478964E-2</v>
      </c>
      <c r="X253" s="146">
        <f t="shared" si="229"/>
        <v>3.5427612785478964E-2</v>
      </c>
      <c r="Y253" s="146">
        <f t="shared" si="229"/>
        <v>3.5427612785478964E-2</v>
      </c>
    </row>
    <row r="254" spans="5:25" x14ac:dyDescent="0.25">
      <c r="F254" s="94" t="s">
        <v>194</v>
      </c>
      <c r="G254" s="94" t="s">
        <v>283</v>
      </c>
      <c r="J254" s="146">
        <f t="shared" ref="J254:Y254" si="230">J194 * J226 * hours_in_year</f>
        <v>0.11708227435901354</v>
      </c>
      <c r="K254" s="146">
        <f t="shared" si="230"/>
        <v>0.11708227435901354</v>
      </c>
      <c r="L254" s="146">
        <f t="shared" si="230"/>
        <v>0.11708227435901354</v>
      </c>
      <c r="M254" s="146">
        <f t="shared" si="230"/>
        <v>0.11708227435901354</v>
      </c>
      <c r="N254" s="146">
        <f t="shared" si="230"/>
        <v>0.11708227435901354</v>
      </c>
      <c r="O254" s="146">
        <f t="shared" si="230"/>
        <v>0.11708227435901354</v>
      </c>
      <c r="P254" s="146">
        <f t="shared" si="230"/>
        <v>0.11708227435901354</v>
      </c>
      <c r="Q254" s="146">
        <f t="shared" si="230"/>
        <v>0.11708227435901354</v>
      </c>
      <c r="R254" s="146">
        <f t="shared" si="230"/>
        <v>0.11708227435901354</v>
      </c>
      <c r="S254" s="146">
        <f t="shared" si="230"/>
        <v>0.11708227435901354</v>
      </c>
      <c r="T254" s="146">
        <f t="shared" si="230"/>
        <v>0.11708227435901354</v>
      </c>
      <c r="U254" s="146">
        <f t="shared" si="230"/>
        <v>0.11708227435901354</v>
      </c>
      <c r="V254" s="146">
        <f t="shared" si="230"/>
        <v>0.11708227435901354</v>
      </c>
      <c r="W254" s="146">
        <f t="shared" si="230"/>
        <v>0.11708227435901354</v>
      </c>
      <c r="X254" s="146">
        <f t="shared" si="230"/>
        <v>0.11708227435901354</v>
      </c>
      <c r="Y254" s="146">
        <f t="shared" si="230"/>
        <v>0.11708227435901354</v>
      </c>
    </row>
    <row r="255" spans="5:25" x14ac:dyDescent="0.25">
      <c r="F255" s="94" t="s">
        <v>195</v>
      </c>
      <c r="G255" s="94" t="s">
        <v>283</v>
      </c>
      <c r="J255" s="146">
        <f t="shared" ref="J255:Y255" si="231">J199 * J226 * hours_in_year</f>
        <v>0.11708227435901354</v>
      </c>
      <c r="K255" s="146">
        <f t="shared" si="231"/>
        <v>0.11708227435901354</v>
      </c>
      <c r="L255" s="146">
        <f t="shared" si="231"/>
        <v>0.11708227435901354</v>
      </c>
      <c r="M255" s="146">
        <f t="shared" si="231"/>
        <v>0.11708227435901354</v>
      </c>
      <c r="N255" s="146">
        <f t="shared" si="231"/>
        <v>0.11708227435901354</v>
      </c>
      <c r="O255" s="146">
        <f t="shared" si="231"/>
        <v>0.11708227435901354</v>
      </c>
      <c r="P255" s="146">
        <f t="shared" si="231"/>
        <v>0.11708227435901354</v>
      </c>
      <c r="Q255" s="146">
        <f t="shared" si="231"/>
        <v>0.11708227435901354</v>
      </c>
      <c r="R255" s="146">
        <f t="shared" si="231"/>
        <v>0.11708227435901354</v>
      </c>
      <c r="S255" s="146">
        <f t="shared" si="231"/>
        <v>0.11708227435901354</v>
      </c>
      <c r="T255" s="146">
        <f t="shared" si="231"/>
        <v>0.11708227435901354</v>
      </c>
      <c r="U255" s="146">
        <f t="shared" si="231"/>
        <v>0.11708227435901354</v>
      </c>
      <c r="V255" s="146">
        <f t="shared" si="231"/>
        <v>0.11708227435901354</v>
      </c>
      <c r="W255" s="146">
        <f t="shared" si="231"/>
        <v>0.11708227435901354</v>
      </c>
      <c r="X255" s="146">
        <f t="shared" si="231"/>
        <v>0.11708227435901354</v>
      </c>
      <c r="Y255" s="146">
        <f t="shared" si="231"/>
        <v>0.11708227435901354</v>
      </c>
    </row>
    <row r="256" spans="5:25" x14ac:dyDescent="0.25">
      <c r="F256" s="94" t="s">
        <v>196</v>
      </c>
      <c r="G256" s="94" t="s">
        <v>283</v>
      </c>
      <c r="J256" s="146">
        <f t="shared" ref="J256:Y256" si="232">J204 * J226 * hours_in_year</f>
        <v>3.5427612785478964E-2</v>
      </c>
      <c r="K256" s="146">
        <f t="shared" si="232"/>
        <v>3.5427612785478964E-2</v>
      </c>
      <c r="L256" s="146">
        <f t="shared" si="232"/>
        <v>3.5427612785478964E-2</v>
      </c>
      <c r="M256" s="146">
        <f t="shared" si="232"/>
        <v>3.5427612785478964E-2</v>
      </c>
      <c r="N256" s="146">
        <f t="shared" si="232"/>
        <v>3.5427612785478964E-2</v>
      </c>
      <c r="O256" s="146">
        <f t="shared" si="232"/>
        <v>3.5427612785478964E-2</v>
      </c>
      <c r="P256" s="146">
        <f t="shared" si="232"/>
        <v>3.5427612785478964E-2</v>
      </c>
      <c r="Q256" s="146">
        <f t="shared" si="232"/>
        <v>3.5427612785478964E-2</v>
      </c>
      <c r="R256" s="146">
        <f t="shared" si="232"/>
        <v>3.5427612785478964E-2</v>
      </c>
      <c r="S256" s="146">
        <f t="shared" si="232"/>
        <v>3.5427612785478964E-2</v>
      </c>
      <c r="T256" s="146">
        <f t="shared" si="232"/>
        <v>3.5427612785478964E-2</v>
      </c>
      <c r="U256" s="146">
        <f t="shared" si="232"/>
        <v>3.5427612785478964E-2</v>
      </c>
      <c r="V256" s="146">
        <f t="shared" si="232"/>
        <v>3.5427612785478964E-2</v>
      </c>
      <c r="W256" s="146">
        <f t="shared" si="232"/>
        <v>3.5427612785478964E-2</v>
      </c>
      <c r="X256" s="146">
        <f t="shared" si="232"/>
        <v>3.5427612785478964E-2</v>
      </c>
      <c r="Y256" s="146">
        <f t="shared" si="232"/>
        <v>3.5427612785478964E-2</v>
      </c>
    </row>
    <row r="257" spans="2:27" x14ac:dyDescent="0.25">
      <c r="F257" s="94" t="s">
        <v>197</v>
      </c>
      <c r="G257" s="94" t="s">
        <v>283</v>
      </c>
      <c r="J257" s="146">
        <f t="shared" ref="J257:Y257" si="233">J209 * J226 * hours_in_year</f>
        <v>0.11708227435901354</v>
      </c>
      <c r="K257" s="146">
        <f t="shared" si="233"/>
        <v>0.11708227435901354</v>
      </c>
      <c r="L257" s="146">
        <f t="shared" si="233"/>
        <v>0.11708227435901354</v>
      </c>
      <c r="M257" s="146">
        <f t="shared" si="233"/>
        <v>0.11708227435901354</v>
      </c>
      <c r="N257" s="146">
        <f t="shared" si="233"/>
        <v>0.11708227435901354</v>
      </c>
      <c r="O257" s="146">
        <f t="shared" si="233"/>
        <v>0.11708227435901354</v>
      </c>
      <c r="P257" s="146">
        <f t="shared" si="233"/>
        <v>0.11708227435901354</v>
      </c>
      <c r="Q257" s="146">
        <f t="shared" si="233"/>
        <v>0.11708227435901354</v>
      </c>
      <c r="R257" s="146">
        <f t="shared" si="233"/>
        <v>0.11708227435901354</v>
      </c>
      <c r="S257" s="146">
        <f t="shared" si="233"/>
        <v>0.11708227435901354</v>
      </c>
      <c r="T257" s="146">
        <f t="shared" si="233"/>
        <v>0.11708227435901354</v>
      </c>
      <c r="U257" s="146">
        <f t="shared" si="233"/>
        <v>0.11708227435901354</v>
      </c>
      <c r="V257" s="146">
        <f t="shared" si="233"/>
        <v>0.11708227435901354</v>
      </c>
      <c r="W257" s="146">
        <f t="shared" si="233"/>
        <v>0.11708227435901354</v>
      </c>
      <c r="X257" s="146">
        <f t="shared" si="233"/>
        <v>0.11708227435901354</v>
      </c>
      <c r="Y257" s="146">
        <f t="shared" si="233"/>
        <v>0.11708227435901354</v>
      </c>
    </row>
    <row r="258" spans="2:27" x14ac:dyDescent="0.25">
      <c r="F258" s="94" t="s">
        <v>198</v>
      </c>
      <c r="G258" s="94" t="s">
        <v>283</v>
      </c>
      <c r="J258" s="146">
        <f t="shared" ref="J258:Y258" si="234">J214 * J226 * hours_in_year</f>
        <v>0.11708227435901354</v>
      </c>
      <c r="K258" s="146">
        <f t="shared" si="234"/>
        <v>0.11708227435901354</v>
      </c>
      <c r="L258" s="146">
        <f t="shared" si="234"/>
        <v>0.11708227435901354</v>
      </c>
      <c r="M258" s="146">
        <f t="shared" si="234"/>
        <v>0.11708227435901354</v>
      </c>
      <c r="N258" s="146">
        <f t="shared" si="234"/>
        <v>0.11708227435901354</v>
      </c>
      <c r="O258" s="146">
        <f t="shared" si="234"/>
        <v>0.11708227435901354</v>
      </c>
      <c r="P258" s="146">
        <f t="shared" si="234"/>
        <v>0.11708227435901354</v>
      </c>
      <c r="Q258" s="146">
        <f t="shared" si="234"/>
        <v>0.11708227435901354</v>
      </c>
      <c r="R258" s="146">
        <f t="shared" si="234"/>
        <v>0.11708227435901354</v>
      </c>
      <c r="S258" s="146">
        <f t="shared" si="234"/>
        <v>0.11708227435901354</v>
      </c>
      <c r="T258" s="146">
        <f t="shared" si="234"/>
        <v>0.11708227435901354</v>
      </c>
      <c r="U258" s="146">
        <f t="shared" si="234"/>
        <v>0.11708227435901354</v>
      </c>
      <c r="V258" s="146">
        <f t="shared" si="234"/>
        <v>0.11708227435901354</v>
      </c>
      <c r="W258" s="146">
        <f t="shared" si="234"/>
        <v>0.11708227435901354</v>
      </c>
      <c r="X258" s="146">
        <f t="shared" si="234"/>
        <v>0.11708227435901354</v>
      </c>
      <c r="Y258" s="146">
        <f t="shared" si="234"/>
        <v>0.11708227435901354</v>
      </c>
    </row>
    <row r="259" spans="2:27" x14ac:dyDescent="0.25">
      <c r="F259" s="101" t="s">
        <v>199</v>
      </c>
      <c r="G259" s="101" t="s">
        <v>283</v>
      </c>
      <c r="H259" s="96"/>
      <c r="I259" s="96"/>
      <c r="J259" s="146">
        <f t="shared" ref="J259:Y259" si="235">J219 * J226 * hours_in_year</f>
        <v>0.11708227435901354</v>
      </c>
      <c r="K259" s="146">
        <f t="shared" si="235"/>
        <v>0.11708227435901354</v>
      </c>
      <c r="L259" s="146">
        <f t="shared" si="235"/>
        <v>0.11708227435901354</v>
      </c>
      <c r="M259" s="146">
        <f t="shared" si="235"/>
        <v>0.11708227435901354</v>
      </c>
      <c r="N259" s="146">
        <f t="shared" si="235"/>
        <v>0.11708227435901354</v>
      </c>
      <c r="O259" s="146">
        <f t="shared" si="235"/>
        <v>0.11708227435901354</v>
      </c>
      <c r="P259" s="146">
        <f t="shared" si="235"/>
        <v>0.11708227435901354</v>
      </c>
      <c r="Q259" s="146">
        <f t="shared" si="235"/>
        <v>0.11708227435901354</v>
      </c>
      <c r="R259" s="146">
        <f t="shared" si="235"/>
        <v>0.11708227435901354</v>
      </c>
      <c r="S259" s="146">
        <f t="shared" si="235"/>
        <v>0.11708227435901354</v>
      </c>
      <c r="T259" s="146">
        <f t="shared" si="235"/>
        <v>0.11708227435901354</v>
      </c>
      <c r="U259" s="146">
        <f t="shared" si="235"/>
        <v>0.11708227435901354</v>
      </c>
      <c r="V259" s="146">
        <f t="shared" si="235"/>
        <v>0.11708227435901354</v>
      </c>
      <c r="W259" s="146">
        <f t="shared" si="235"/>
        <v>0.11708227435901354</v>
      </c>
      <c r="X259" s="146">
        <f t="shared" si="235"/>
        <v>0.11708227435901354</v>
      </c>
      <c r="Y259" s="146">
        <f t="shared" si="235"/>
        <v>0.11708227435901354</v>
      </c>
    </row>
    <row r="260" spans="2:27" x14ac:dyDescent="0.25">
      <c r="J260" s="106"/>
      <c r="K260" s="106"/>
      <c r="L260" s="106"/>
      <c r="M260" s="106"/>
      <c r="N260" s="106"/>
      <c r="O260" s="106"/>
      <c r="P260" s="106"/>
      <c r="Q260" s="106"/>
      <c r="R260" s="106"/>
      <c r="S260" s="106"/>
      <c r="T260" s="106"/>
      <c r="U260" s="106"/>
      <c r="V260" s="106"/>
      <c r="W260" s="106"/>
      <c r="X260" s="106"/>
      <c r="Y260" s="106"/>
    </row>
    <row r="261" spans="2:27" x14ac:dyDescent="0.25">
      <c r="B261" s="85" t="s">
        <v>799</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25">
      <c r="F262" s="94"/>
      <c r="G262" s="94"/>
      <c r="J262" s="106"/>
      <c r="K262" s="106"/>
      <c r="L262" s="106"/>
      <c r="M262" s="106"/>
      <c r="N262" s="106"/>
      <c r="O262" s="106"/>
      <c r="P262" s="106"/>
      <c r="Q262" s="106"/>
      <c r="R262" s="106"/>
      <c r="S262" s="106"/>
      <c r="T262" s="106"/>
      <c r="U262" s="106"/>
      <c r="V262" s="106"/>
      <c r="W262" s="106"/>
      <c r="X262" s="106"/>
      <c r="Y262" s="106"/>
    </row>
    <row r="263" spans="2:27" x14ac:dyDescent="0.25">
      <c r="C263" s="86" t="s">
        <v>819</v>
      </c>
      <c r="F263" s="94"/>
      <c r="G263" s="94"/>
      <c r="J263" s="106"/>
      <c r="K263" s="106"/>
      <c r="L263" s="106"/>
      <c r="M263" s="106"/>
      <c r="N263" s="106"/>
      <c r="O263" s="106"/>
      <c r="P263" s="106"/>
      <c r="Q263" s="106"/>
      <c r="R263" s="106"/>
      <c r="S263" s="106"/>
      <c r="T263" s="106"/>
      <c r="U263" s="106"/>
      <c r="V263" s="106"/>
      <c r="W263" s="106"/>
      <c r="X263" s="106"/>
      <c r="Y263" s="106"/>
    </row>
    <row r="264" spans="2:27" x14ac:dyDescent="0.25">
      <c r="F264" s="94"/>
      <c r="G264" s="94"/>
      <c r="J264" s="106"/>
      <c r="K264" s="106"/>
      <c r="L264" s="106"/>
      <c r="M264" s="106"/>
      <c r="N264" s="106"/>
      <c r="O264" s="106"/>
      <c r="P264" s="106"/>
      <c r="Q264" s="106"/>
      <c r="R264" s="106"/>
      <c r="S264" s="106"/>
      <c r="T264" s="106"/>
      <c r="U264" s="106"/>
      <c r="V264" s="106"/>
      <c r="W264" s="106"/>
      <c r="X264" s="106"/>
      <c r="Y264" s="106"/>
    </row>
    <row r="265" spans="2:27" x14ac:dyDescent="0.25">
      <c r="C265" s="93" t="str">
        <f ca="1">INDEX('Version control'!$H$41:$H$64,MATCH($A$1,'Version control'!$F$41:$F$64,0),1)&amp;"-K: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25">
      <c r="F266" s="94"/>
      <c r="G266" s="94"/>
      <c r="J266" s="106"/>
      <c r="K266" s="106"/>
      <c r="L266" s="106"/>
      <c r="M266" s="106"/>
      <c r="N266" s="106"/>
      <c r="O266" s="106"/>
      <c r="P266" s="106"/>
      <c r="Q266" s="106"/>
      <c r="R266" s="106"/>
      <c r="S266" s="106"/>
      <c r="T266" s="106"/>
      <c r="U266" s="106"/>
      <c r="V266" s="106"/>
      <c r="W266" s="106"/>
      <c r="X266" s="106"/>
      <c r="Y266" s="106"/>
    </row>
    <row r="267" spans="2:27" x14ac:dyDescent="0.25">
      <c r="E267" s="94" t="s">
        <v>429</v>
      </c>
      <c r="G267" s="94" t="s">
        <v>283</v>
      </c>
      <c r="J267" s="151">
        <f>J91</f>
        <v>2.097808643959608</v>
      </c>
      <c r="K267" s="151">
        <f t="shared" ref="K267:Y267" si="236">K91</f>
        <v>2.097808643959608</v>
      </c>
      <c r="L267" s="151">
        <f t="shared" si="236"/>
        <v>1.7005354810434328</v>
      </c>
      <c r="M267" s="151">
        <f t="shared" si="236"/>
        <v>1.7005354810434328</v>
      </c>
      <c r="N267" s="151">
        <f t="shared" si="236"/>
        <v>1.4558052491854991</v>
      </c>
      <c r="O267" s="151">
        <f t="shared" si="236"/>
        <v>1.2969964990774232</v>
      </c>
      <c r="P267" s="151">
        <f t="shared" si="236"/>
        <v>1.1524638388454602</v>
      </c>
      <c r="Q267" s="151">
        <f t="shared" si="236"/>
        <v>1.9844921165155447</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25">
      <c r="F268" s="94"/>
      <c r="G268" s="94"/>
      <c r="J268" s="106"/>
      <c r="K268" s="106"/>
      <c r="L268" s="106"/>
      <c r="M268" s="106"/>
      <c r="N268" s="106"/>
      <c r="O268" s="106"/>
      <c r="P268" s="106"/>
      <c r="Q268" s="106"/>
      <c r="R268" s="106"/>
      <c r="S268" s="106"/>
      <c r="T268" s="106"/>
      <c r="U268" s="106"/>
      <c r="V268" s="106"/>
      <c r="W268" s="106"/>
      <c r="X268" s="106"/>
      <c r="Y268" s="106"/>
    </row>
    <row r="269" spans="2:27" x14ac:dyDescent="0.25">
      <c r="C269" s="93" t="str">
        <f ca="1">INDEX('Version control'!$H$41:$H$64,MATCH($A$1,'Version control'!$F$41:$F$64,0),1)&amp;"-L: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25">
      <c r="F270" s="94"/>
      <c r="G270" s="94"/>
      <c r="J270" s="106"/>
      <c r="K270" s="106"/>
      <c r="L270" s="106"/>
      <c r="M270" s="106"/>
      <c r="N270" s="106"/>
      <c r="O270" s="106"/>
      <c r="P270" s="106"/>
      <c r="Q270" s="106"/>
      <c r="R270" s="106"/>
      <c r="S270" s="106"/>
      <c r="T270" s="106"/>
      <c r="U270" s="106"/>
      <c r="V270" s="106"/>
      <c r="W270" s="106"/>
      <c r="X270" s="106"/>
      <c r="Y270" s="106"/>
    </row>
    <row r="271" spans="2:27" x14ac:dyDescent="0.25">
      <c r="E271" s="75" t="s">
        <v>156</v>
      </c>
      <c r="G271" s="94"/>
      <c r="J271" s="106"/>
      <c r="K271" s="106"/>
      <c r="L271" s="106"/>
      <c r="M271" s="106"/>
      <c r="N271" s="106"/>
      <c r="O271" s="106"/>
      <c r="P271" s="106"/>
      <c r="Q271" s="106"/>
      <c r="R271" s="106"/>
      <c r="S271" s="106"/>
      <c r="T271" s="106"/>
      <c r="U271" s="106"/>
      <c r="V271" s="106"/>
      <c r="W271" s="106"/>
      <c r="X271" s="106"/>
      <c r="Y271" s="106"/>
    </row>
    <row r="272" spans="2:27" x14ac:dyDescent="0.25">
      <c r="F272" s="98" t="s">
        <v>191</v>
      </c>
      <c r="G272" s="98" t="s">
        <v>283</v>
      </c>
      <c r="H272" s="95"/>
      <c r="I272" s="95"/>
      <c r="J272" s="149">
        <f>J229 * J$93</f>
        <v>26.329347999920454</v>
      </c>
      <c r="K272" s="149">
        <f t="shared" ref="K272:Y272" si="237">K229 * K$93</f>
        <v>26.329347999920454</v>
      </c>
      <c r="L272" s="149">
        <f t="shared" si="237"/>
        <v>28.007133956844726</v>
      </c>
      <c r="M272" s="149">
        <f t="shared" si="237"/>
        <v>28.007133956844726</v>
      </c>
      <c r="N272" s="149">
        <f t="shared" si="237"/>
        <v>21.298270198975541</v>
      </c>
      <c r="O272" s="149">
        <f t="shared" si="237"/>
        <v>19.932694191927393</v>
      </c>
      <c r="P272" s="149">
        <f t="shared" si="237"/>
        <v>18.513563330887099</v>
      </c>
      <c r="Q272" s="149">
        <f t="shared" si="237"/>
        <v>62.497657473038942</v>
      </c>
      <c r="R272" s="149">
        <f t="shared" si="237"/>
        <v>16.781609195402297</v>
      </c>
      <c r="S272" s="149">
        <f t="shared" si="237"/>
        <v>16.781609195402297</v>
      </c>
      <c r="T272" s="149">
        <f t="shared" si="237"/>
        <v>16.781609195402297</v>
      </c>
      <c r="U272" s="149">
        <f t="shared" si="237"/>
        <v>16.781609195402297</v>
      </c>
      <c r="V272" s="149">
        <f t="shared" si="237"/>
        <v>16.781609195402297</v>
      </c>
      <c r="W272" s="149">
        <f t="shared" si="237"/>
        <v>16.781609195402297</v>
      </c>
      <c r="X272" s="149">
        <f t="shared" si="237"/>
        <v>16.781609195402297</v>
      </c>
      <c r="Y272" s="149">
        <f t="shared" si="237"/>
        <v>16.781609195402297</v>
      </c>
    </row>
    <row r="273" spans="5:25" x14ac:dyDescent="0.25">
      <c r="F273" s="94" t="s">
        <v>192</v>
      </c>
      <c r="G273" s="94" t="s">
        <v>283</v>
      </c>
      <c r="J273" s="151">
        <f t="shared" ref="J273:Y273" si="238">J230 * J$93</f>
        <v>20.892942740201164</v>
      </c>
      <c r="K273" s="151">
        <f t="shared" si="238"/>
        <v>20.892942740201164</v>
      </c>
      <c r="L273" s="151">
        <f t="shared" si="238"/>
        <v>22.224304455973172</v>
      </c>
      <c r="M273" s="151">
        <f t="shared" si="238"/>
        <v>22.224304455973172</v>
      </c>
      <c r="N273" s="151">
        <f t="shared" si="238"/>
        <v>16.900666880694242</v>
      </c>
      <c r="O273" s="151">
        <f t="shared" si="238"/>
        <v>15.817050935372098</v>
      </c>
      <c r="P273" s="151">
        <f t="shared" si="238"/>
        <v>14.690937982607116</v>
      </c>
      <c r="Q273" s="151">
        <f t="shared" si="238"/>
        <v>46.690052885216581</v>
      </c>
      <c r="R273" s="151">
        <f t="shared" si="238"/>
        <v>13.3165925722518</v>
      </c>
      <c r="S273" s="151">
        <f t="shared" si="238"/>
        <v>13.3165925722518</v>
      </c>
      <c r="T273" s="151">
        <f t="shared" si="238"/>
        <v>13.3165925722518</v>
      </c>
      <c r="U273" s="151">
        <f t="shared" si="238"/>
        <v>13.3165925722518</v>
      </c>
      <c r="V273" s="151">
        <f t="shared" si="238"/>
        <v>13.3165925722518</v>
      </c>
      <c r="W273" s="151">
        <f t="shared" si="238"/>
        <v>13.3165925722518</v>
      </c>
      <c r="X273" s="151">
        <f t="shared" si="238"/>
        <v>13.3165925722518</v>
      </c>
      <c r="Y273" s="151">
        <f t="shared" si="238"/>
        <v>13.3165925722518</v>
      </c>
    </row>
    <row r="274" spans="5:25" x14ac:dyDescent="0.25">
      <c r="F274" s="94" t="s">
        <v>193</v>
      </c>
      <c r="G274" s="94" t="s">
        <v>283</v>
      </c>
      <c r="J274" s="151">
        <f t="shared" ref="J274:Y274" si="239">J231 * J$93</f>
        <v>20.892942740201164</v>
      </c>
      <c r="K274" s="151">
        <f t="shared" si="239"/>
        <v>20.892942740201164</v>
      </c>
      <c r="L274" s="151">
        <f t="shared" si="239"/>
        <v>22.224304455973172</v>
      </c>
      <c r="M274" s="151">
        <f t="shared" si="239"/>
        <v>22.224304455973172</v>
      </c>
      <c r="N274" s="151">
        <f t="shared" si="239"/>
        <v>16.900666880694242</v>
      </c>
      <c r="O274" s="151">
        <f t="shared" si="239"/>
        <v>15.817050935372098</v>
      </c>
      <c r="P274" s="151">
        <f t="shared" si="239"/>
        <v>14.690937982607116</v>
      </c>
      <c r="Q274" s="151">
        <f t="shared" si="239"/>
        <v>46.690052885216581</v>
      </c>
      <c r="R274" s="151">
        <f t="shared" si="239"/>
        <v>13.3165925722518</v>
      </c>
      <c r="S274" s="151">
        <f t="shared" si="239"/>
        <v>13.3165925722518</v>
      </c>
      <c r="T274" s="151">
        <f t="shared" si="239"/>
        <v>13.3165925722518</v>
      </c>
      <c r="U274" s="151">
        <f t="shared" si="239"/>
        <v>13.3165925722518</v>
      </c>
      <c r="V274" s="151">
        <f t="shared" si="239"/>
        <v>13.3165925722518</v>
      </c>
      <c r="W274" s="151">
        <f t="shared" si="239"/>
        <v>13.3165925722518</v>
      </c>
      <c r="X274" s="151">
        <f t="shared" si="239"/>
        <v>13.3165925722518</v>
      </c>
      <c r="Y274" s="151">
        <f t="shared" si="239"/>
        <v>13.3165925722518</v>
      </c>
    </row>
    <row r="275" spans="5:25" x14ac:dyDescent="0.25">
      <c r="F275" s="94" t="s">
        <v>194</v>
      </c>
      <c r="G275" s="94" t="s">
        <v>283</v>
      </c>
      <c r="J275" s="151">
        <f t="shared" ref="J275:Y275" si="240">J232 * J$93</f>
        <v>14.130324564004347</v>
      </c>
      <c r="K275" s="151">
        <f t="shared" si="240"/>
        <v>14.130324564004347</v>
      </c>
      <c r="L275" s="151">
        <f t="shared" si="240"/>
        <v>15.030751726892703</v>
      </c>
      <c r="M275" s="151">
        <f t="shared" si="240"/>
        <v>15.030751726892703</v>
      </c>
      <c r="N275" s="151">
        <f t="shared" si="240"/>
        <v>11.430266733695611</v>
      </c>
      <c r="O275" s="151">
        <f t="shared" si="240"/>
        <v>10.697395103282821</v>
      </c>
      <c r="P275" s="151">
        <f t="shared" si="240"/>
        <v>9.9357818774120226</v>
      </c>
      <c r="Q275" s="151">
        <f t="shared" si="240"/>
        <v>31.228826462003401</v>
      </c>
      <c r="R275" s="151">
        <f t="shared" si="240"/>
        <v>9.0062839625968216</v>
      </c>
      <c r="S275" s="151">
        <f t="shared" si="240"/>
        <v>9.0062839625968216</v>
      </c>
      <c r="T275" s="151">
        <f t="shared" si="240"/>
        <v>9.0062839625968216</v>
      </c>
      <c r="U275" s="151">
        <f t="shared" si="240"/>
        <v>9.0062839625968216</v>
      </c>
      <c r="V275" s="151">
        <f t="shared" si="240"/>
        <v>9.0062839625968216</v>
      </c>
      <c r="W275" s="151">
        <f t="shared" si="240"/>
        <v>9.0062839625968216</v>
      </c>
      <c r="X275" s="151">
        <f t="shared" si="240"/>
        <v>9.0062839625968216</v>
      </c>
      <c r="Y275" s="151">
        <f t="shared" si="240"/>
        <v>9.0062839625968216</v>
      </c>
    </row>
    <row r="276" spans="5:25" x14ac:dyDescent="0.25">
      <c r="F276" s="94" t="s">
        <v>195</v>
      </c>
      <c r="G276" s="94" t="s">
        <v>283</v>
      </c>
      <c r="J276" s="151">
        <f t="shared" ref="J276:Y276" si="241">J233 * J$93</f>
        <v>14.130324564004347</v>
      </c>
      <c r="K276" s="151">
        <f t="shared" si="241"/>
        <v>14.130324564004347</v>
      </c>
      <c r="L276" s="151">
        <f t="shared" si="241"/>
        <v>15.030751726892703</v>
      </c>
      <c r="M276" s="151">
        <f t="shared" si="241"/>
        <v>15.030751726892703</v>
      </c>
      <c r="N276" s="151">
        <f t="shared" si="241"/>
        <v>11.430266733695611</v>
      </c>
      <c r="O276" s="151">
        <f t="shared" si="241"/>
        <v>10.697395103282821</v>
      </c>
      <c r="P276" s="151">
        <f t="shared" si="241"/>
        <v>9.9357818774120226</v>
      </c>
      <c r="Q276" s="151">
        <f t="shared" si="241"/>
        <v>31.228826462003401</v>
      </c>
      <c r="R276" s="151">
        <f t="shared" si="241"/>
        <v>9.0062839625968216</v>
      </c>
      <c r="S276" s="151">
        <f t="shared" si="241"/>
        <v>9.0062839625968216</v>
      </c>
      <c r="T276" s="151">
        <f t="shared" si="241"/>
        <v>9.0062839625968216</v>
      </c>
      <c r="U276" s="151">
        <f t="shared" si="241"/>
        <v>9.0062839625968216</v>
      </c>
      <c r="V276" s="151">
        <f t="shared" si="241"/>
        <v>9.0062839625968216</v>
      </c>
      <c r="W276" s="151">
        <f t="shared" si="241"/>
        <v>9.0062839625968216</v>
      </c>
      <c r="X276" s="151">
        <f t="shared" si="241"/>
        <v>9.0062839625968216</v>
      </c>
      <c r="Y276" s="151">
        <f t="shared" si="241"/>
        <v>9.0062839625968216</v>
      </c>
    </row>
    <row r="277" spans="5:25" x14ac:dyDescent="0.25">
      <c r="F277" s="94" t="s">
        <v>196</v>
      </c>
      <c r="G277" s="94" t="s">
        <v>283</v>
      </c>
      <c r="J277" s="151">
        <f t="shared" ref="J277:Y277" si="242">J234 * J$93</f>
        <v>20.892942740201164</v>
      </c>
      <c r="K277" s="151">
        <f t="shared" si="242"/>
        <v>20.892942740201164</v>
      </c>
      <c r="L277" s="151">
        <f t="shared" si="242"/>
        <v>22.224304455973172</v>
      </c>
      <c r="M277" s="151">
        <f t="shared" si="242"/>
        <v>22.224304455973172</v>
      </c>
      <c r="N277" s="151">
        <f t="shared" si="242"/>
        <v>16.900666880694242</v>
      </c>
      <c r="O277" s="151">
        <f t="shared" si="242"/>
        <v>15.817050935372098</v>
      </c>
      <c r="P277" s="151">
        <f t="shared" si="242"/>
        <v>14.690937982607116</v>
      </c>
      <c r="Q277" s="151">
        <f t="shared" si="242"/>
        <v>46.690052885216581</v>
      </c>
      <c r="R277" s="151">
        <f t="shared" si="242"/>
        <v>13.3165925722518</v>
      </c>
      <c r="S277" s="151">
        <f t="shared" si="242"/>
        <v>13.3165925722518</v>
      </c>
      <c r="T277" s="151">
        <f t="shared" si="242"/>
        <v>13.3165925722518</v>
      </c>
      <c r="U277" s="151">
        <f t="shared" si="242"/>
        <v>13.3165925722518</v>
      </c>
      <c r="V277" s="151">
        <f t="shared" si="242"/>
        <v>13.3165925722518</v>
      </c>
      <c r="W277" s="151">
        <f t="shared" si="242"/>
        <v>13.3165925722518</v>
      </c>
      <c r="X277" s="151">
        <f t="shared" si="242"/>
        <v>13.3165925722518</v>
      </c>
      <c r="Y277" s="151">
        <f t="shared" si="242"/>
        <v>13.3165925722518</v>
      </c>
    </row>
    <row r="278" spans="5:25" x14ac:dyDescent="0.25">
      <c r="F278" s="94" t="s">
        <v>197</v>
      </c>
      <c r="G278" s="94" t="s">
        <v>283</v>
      </c>
      <c r="J278" s="151">
        <f t="shared" ref="J278:Y278" si="243">J235 * J$93</f>
        <v>14.130324564004347</v>
      </c>
      <c r="K278" s="151">
        <f t="shared" si="243"/>
        <v>14.130324564004347</v>
      </c>
      <c r="L278" s="151">
        <f t="shared" si="243"/>
        <v>15.030751726892703</v>
      </c>
      <c r="M278" s="151">
        <f t="shared" si="243"/>
        <v>15.030751726892703</v>
      </c>
      <c r="N278" s="151">
        <f t="shared" si="243"/>
        <v>11.430266733695611</v>
      </c>
      <c r="O278" s="151">
        <f t="shared" si="243"/>
        <v>10.697395103282821</v>
      </c>
      <c r="P278" s="151">
        <f t="shared" si="243"/>
        <v>9.9357818774120226</v>
      </c>
      <c r="Q278" s="151">
        <f t="shared" si="243"/>
        <v>31.228826462003401</v>
      </c>
      <c r="R278" s="151">
        <f t="shared" si="243"/>
        <v>9.0062839625968216</v>
      </c>
      <c r="S278" s="151">
        <f t="shared" si="243"/>
        <v>9.0062839625968216</v>
      </c>
      <c r="T278" s="151">
        <f t="shared" si="243"/>
        <v>9.0062839625968216</v>
      </c>
      <c r="U278" s="151">
        <f t="shared" si="243"/>
        <v>9.0062839625968216</v>
      </c>
      <c r="V278" s="151">
        <f t="shared" si="243"/>
        <v>9.0062839625968216</v>
      </c>
      <c r="W278" s="151">
        <f t="shared" si="243"/>
        <v>9.0062839625968216</v>
      </c>
      <c r="X278" s="151">
        <f t="shared" si="243"/>
        <v>9.0062839625968216</v>
      </c>
      <c r="Y278" s="151">
        <f t="shared" si="243"/>
        <v>9.0062839625968216</v>
      </c>
    </row>
    <row r="279" spans="5:25" x14ac:dyDescent="0.25">
      <c r="F279" s="94" t="s">
        <v>198</v>
      </c>
      <c r="G279" s="94" t="s">
        <v>283</v>
      </c>
      <c r="J279" s="151">
        <f t="shared" ref="J279:Y279" si="244">J236 * J$93</f>
        <v>14.130324564004347</v>
      </c>
      <c r="K279" s="151">
        <f t="shared" si="244"/>
        <v>14.130324564004347</v>
      </c>
      <c r="L279" s="151">
        <f t="shared" si="244"/>
        <v>15.030751726892703</v>
      </c>
      <c r="M279" s="151">
        <f t="shared" si="244"/>
        <v>15.030751726892703</v>
      </c>
      <c r="N279" s="151">
        <f t="shared" si="244"/>
        <v>11.430266733695611</v>
      </c>
      <c r="O279" s="151">
        <f t="shared" si="244"/>
        <v>10.697395103282821</v>
      </c>
      <c r="P279" s="151">
        <f t="shared" si="244"/>
        <v>9.9357818774120226</v>
      </c>
      <c r="Q279" s="151">
        <f t="shared" si="244"/>
        <v>31.228826462003401</v>
      </c>
      <c r="R279" s="151">
        <f t="shared" si="244"/>
        <v>9.0062839625968216</v>
      </c>
      <c r="S279" s="151">
        <f t="shared" si="244"/>
        <v>9.0062839625968216</v>
      </c>
      <c r="T279" s="151">
        <f t="shared" si="244"/>
        <v>9.0062839625968216</v>
      </c>
      <c r="U279" s="151">
        <f t="shared" si="244"/>
        <v>9.0062839625968216</v>
      </c>
      <c r="V279" s="151">
        <f t="shared" si="244"/>
        <v>9.0062839625968216</v>
      </c>
      <c r="W279" s="151">
        <f t="shared" si="244"/>
        <v>9.0062839625968216</v>
      </c>
      <c r="X279" s="151">
        <f t="shared" si="244"/>
        <v>9.0062839625968216</v>
      </c>
      <c r="Y279" s="151">
        <f t="shared" si="244"/>
        <v>9.0062839625968216</v>
      </c>
    </row>
    <row r="280" spans="5:25" x14ac:dyDescent="0.25">
      <c r="F280" s="101" t="s">
        <v>199</v>
      </c>
      <c r="G280" s="101" t="s">
        <v>283</v>
      </c>
      <c r="H280" s="96"/>
      <c r="I280" s="96"/>
      <c r="J280" s="150">
        <f t="shared" ref="J280:Y280" si="245">J237 * J$93</f>
        <v>14.130324564004347</v>
      </c>
      <c r="K280" s="150">
        <f t="shared" si="245"/>
        <v>14.130324564004347</v>
      </c>
      <c r="L280" s="150">
        <f t="shared" si="245"/>
        <v>15.030751726892703</v>
      </c>
      <c r="M280" s="150">
        <f t="shared" si="245"/>
        <v>15.030751726892703</v>
      </c>
      <c r="N280" s="150">
        <f t="shared" si="245"/>
        <v>11.430266733695611</v>
      </c>
      <c r="O280" s="150">
        <f t="shared" si="245"/>
        <v>10.697395103282821</v>
      </c>
      <c r="P280" s="150">
        <f t="shared" si="245"/>
        <v>9.9357818774120226</v>
      </c>
      <c r="Q280" s="150">
        <f t="shared" si="245"/>
        <v>31.228826462003401</v>
      </c>
      <c r="R280" s="150">
        <f t="shared" si="245"/>
        <v>9.0062839625968216</v>
      </c>
      <c r="S280" s="150">
        <f t="shared" si="245"/>
        <v>9.0062839625968216</v>
      </c>
      <c r="T280" s="150">
        <f t="shared" si="245"/>
        <v>9.0062839625968216</v>
      </c>
      <c r="U280" s="150">
        <f t="shared" si="245"/>
        <v>9.0062839625968216</v>
      </c>
      <c r="V280" s="150">
        <f t="shared" si="245"/>
        <v>9.0062839625968216</v>
      </c>
      <c r="W280" s="150">
        <f t="shared" si="245"/>
        <v>9.0062839625968216</v>
      </c>
      <c r="X280" s="150">
        <f t="shared" si="245"/>
        <v>9.0062839625968216</v>
      </c>
      <c r="Y280" s="150">
        <f t="shared" si="245"/>
        <v>9.0062839625968216</v>
      </c>
    </row>
    <row r="281" spans="5:25" x14ac:dyDescent="0.25">
      <c r="J281" s="106"/>
      <c r="K281" s="106"/>
      <c r="L281" s="106"/>
      <c r="M281" s="106"/>
      <c r="N281" s="106"/>
      <c r="O281" s="106"/>
      <c r="P281" s="106"/>
      <c r="Q281" s="106"/>
      <c r="R281" s="106"/>
      <c r="S281" s="106"/>
      <c r="T281" s="106"/>
      <c r="U281" s="106"/>
      <c r="V281" s="106"/>
      <c r="W281" s="106"/>
      <c r="X281" s="106"/>
      <c r="Y281" s="106"/>
    </row>
    <row r="282" spans="5:25" x14ac:dyDescent="0.25">
      <c r="E282" s="75" t="s">
        <v>157</v>
      </c>
      <c r="F282" s="94"/>
      <c r="G282" s="94"/>
      <c r="J282" s="106"/>
      <c r="K282" s="106"/>
      <c r="L282" s="106"/>
      <c r="M282" s="106"/>
      <c r="N282" s="106"/>
      <c r="O282" s="106"/>
      <c r="P282" s="106"/>
      <c r="Q282" s="106"/>
      <c r="R282" s="106"/>
      <c r="S282" s="106"/>
      <c r="T282" s="106"/>
      <c r="U282" s="106"/>
      <c r="V282" s="106"/>
      <c r="W282" s="106"/>
      <c r="X282" s="106"/>
      <c r="Y282" s="106"/>
    </row>
    <row r="283" spans="5:25" x14ac:dyDescent="0.25">
      <c r="F283" s="98" t="s">
        <v>191</v>
      </c>
      <c r="G283" s="98" t="s">
        <v>283</v>
      </c>
      <c r="H283" s="95"/>
      <c r="I283" s="95"/>
      <c r="J283" s="149">
        <f>J240 * J$93</f>
        <v>0</v>
      </c>
      <c r="K283" s="149">
        <f t="shared" ref="K283:Y283" si="246">K240 * K$93</f>
        <v>0</v>
      </c>
      <c r="L283" s="149">
        <f t="shared" si="246"/>
        <v>0</v>
      </c>
      <c r="M283" s="149">
        <f t="shared" si="246"/>
        <v>0</v>
      </c>
      <c r="N283" s="149">
        <f t="shared" si="246"/>
        <v>0</v>
      </c>
      <c r="O283" s="149">
        <f t="shared" si="246"/>
        <v>0</v>
      </c>
      <c r="P283" s="149">
        <f t="shared" si="246"/>
        <v>0</v>
      </c>
      <c r="Q283" s="149">
        <f t="shared" si="246"/>
        <v>0.23341553030207277</v>
      </c>
      <c r="R283" s="149">
        <f t="shared" si="246"/>
        <v>0</v>
      </c>
      <c r="S283" s="149">
        <f t="shared" si="246"/>
        <v>0</v>
      </c>
      <c r="T283" s="149">
        <f t="shared" si="246"/>
        <v>0</v>
      </c>
      <c r="U283" s="149">
        <f t="shared" si="246"/>
        <v>0</v>
      </c>
      <c r="V283" s="149">
        <f t="shared" si="246"/>
        <v>0</v>
      </c>
      <c r="W283" s="149">
        <f t="shared" si="246"/>
        <v>0</v>
      </c>
      <c r="X283" s="149">
        <f t="shared" si="246"/>
        <v>0</v>
      </c>
      <c r="Y283" s="149">
        <f t="shared" si="246"/>
        <v>0</v>
      </c>
    </row>
    <row r="284" spans="5:25" x14ac:dyDescent="0.25">
      <c r="F284" s="94" t="s">
        <v>192</v>
      </c>
      <c r="G284" s="94" t="s">
        <v>283</v>
      </c>
      <c r="J284" s="151">
        <f t="shared" ref="J284:Y284" si="247">J241 * J$93</f>
        <v>0.74661286649407543</v>
      </c>
      <c r="K284" s="151">
        <f t="shared" si="247"/>
        <v>0.74661286649407543</v>
      </c>
      <c r="L284" s="151">
        <f t="shared" si="247"/>
        <v>0.79418930411290745</v>
      </c>
      <c r="M284" s="151">
        <f t="shared" si="247"/>
        <v>0.79418930411290745</v>
      </c>
      <c r="N284" s="151">
        <f t="shared" si="247"/>
        <v>0.60394820884552525</v>
      </c>
      <c r="O284" s="151">
        <f t="shared" si="247"/>
        <v>0.56522500852013802</v>
      </c>
      <c r="P284" s="151">
        <f t="shared" si="247"/>
        <v>0.52498317039734443</v>
      </c>
      <c r="Q284" s="151">
        <f t="shared" si="247"/>
        <v>0.802627941260325</v>
      </c>
      <c r="R284" s="151">
        <f t="shared" si="247"/>
        <v>0.47587070313326774</v>
      </c>
      <c r="S284" s="151">
        <f t="shared" si="247"/>
        <v>0.47587070313326774</v>
      </c>
      <c r="T284" s="151">
        <f t="shared" si="247"/>
        <v>0.47587070313326774</v>
      </c>
      <c r="U284" s="151">
        <f t="shared" si="247"/>
        <v>0.47587070313326774</v>
      </c>
      <c r="V284" s="151">
        <f t="shared" si="247"/>
        <v>0.47587070313326774</v>
      </c>
      <c r="W284" s="151">
        <f t="shared" si="247"/>
        <v>0.47587070313326774</v>
      </c>
      <c r="X284" s="151">
        <f t="shared" si="247"/>
        <v>0.47587070313326774</v>
      </c>
      <c r="Y284" s="151">
        <f t="shared" si="247"/>
        <v>0.47587070313326774</v>
      </c>
    </row>
    <row r="285" spans="5:25" x14ac:dyDescent="0.25">
      <c r="F285" s="94" t="s">
        <v>193</v>
      </c>
      <c r="G285" s="94" t="s">
        <v>283</v>
      </c>
      <c r="J285" s="151">
        <f t="shared" ref="J285:Y285" si="248">J242 * J$93</f>
        <v>0.74661286649407543</v>
      </c>
      <c r="K285" s="151">
        <f t="shared" si="248"/>
        <v>0.74661286649407543</v>
      </c>
      <c r="L285" s="151">
        <f t="shared" si="248"/>
        <v>0.79418930411290745</v>
      </c>
      <c r="M285" s="151">
        <f t="shared" si="248"/>
        <v>0.79418930411290745</v>
      </c>
      <c r="N285" s="151">
        <f t="shared" si="248"/>
        <v>0.60394820884552525</v>
      </c>
      <c r="O285" s="151">
        <f t="shared" si="248"/>
        <v>0.56522500852013802</v>
      </c>
      <c r="P285" s="151">
        <f t="shared" si="248"/>
        <v>0.52498317039734443</v>
      </c>
      <c r="Q285" s="151">
        <f t="shared" si="248"/>
        <v>0.802627941260325</v>
      </c>
      <c r="R285" s="151">
        <f t="shared" si="248"/>
        <v>0.47587070313326774</v>
      </c>
      <c r="S285" s="151">
        <f t="shared" si="248"/>
        <v>0.47587070313326774</v>
      </c>
      <c r="T285" s="151">
        <f t="shared" si="248"/>
        <v>0.47587070313326774</v>
      </c>
      <c r="U285" s="151">
        <f t="shared" si="248"/>
        <v>0.47587070313326774</v>
      </c>
      <c r="V285" s="151">
        <f t="shared" si="248"/>
        <v>0.47587070313326774</v>
      </c>
      <c r="W285" s="151">
        <f t="shared" si="248"/>
        <v>0.47587070313326774</v>
      </c>
      <c r="X285" s="151">
        <f t="shared" si="248"/>
        <v>0.47587070313326774</v>
      </c>
      <c r="Y285" s="151">
        <f t="shared" si="248"/>
        <v>0.47587070313326774</v>
      </c>
    </row>
    <row r="286" spans="5:25" x14ac:dyDescent="0.25">
      <c r="F286" s="94" t="s">
        <v>194</v>
      </c>
      <c r="G286" s="94" t="s">
        <v>283</v>
      </c>
      <c r="J286" s="151">
        <f t="shared" ref="J286:Y286" si="249">J243 * J$93</f>
        <v>1.5932798380368827</v>
      </c>
      <c r="K286" s="151">
        <f t="shared" si="249"/>
        <v>1.5932798380368827</v>
      </c>
      <c r="L286" s="151">
        <f t="shared" si="249"/>
        <v>1.6948084644850931</v>
      </c>
      <c r="M286" s="151">
        <f t="shared" si="249"/>
        <v>1.6948084644850931</v>
      </c>
      <c r="N286" s="151">
        <f t="shared" si="249"/>
        <v>1.2888319335971417</v>
      </c>
      <c r="O286" s="151">
        <f t="shared" si="249"/>
        <v>1.2061962101700632</v>
      </c>
      <c r="P286" s="151">
        <f t="shared" si="249"/>
        <v>1.1203196974497995</v>
      </c>
      <c r="Q286" s="151">
        <f t="shared" si="249"/>
        <v>1.2901704900715163</v>
      </c>
      <c r="R286" s="151">
        <f t="shared" si="249"/>
        <v>1.0155131673192064</v>
      </c>
      <c r="S286" s="151">
        <f t="shared" si="249"/>
        <v>1.0155131673192064</v>
      </c>
      <c r="T286" s="151">
        <f t="shared" si="249"/>
        <v>1.0155131673192064</v>
      </c>
      <c r="U286" s="151">
        <f t="shared" si="249"/>
        <v>1.0155131673192064</v>
      </c>
      <c r="V286" s="151">
        <f t="shared" si="249"/>
        <v>1.0155131673192064</v>
      </c>
      <c r="W286" s="151">
        <f t="shared" si="249"/>
        <v>1.0155131673192064</v>
      </c>
      <c r="X286" s="151">
        <f t="shared" si="249"/>
        <v>1.0155131673192064</v>
      </c>
      <c r="Y286" s="151">
        <f t="shared" si="249"/>
        <v>1.0155131673192064</v>
      </c>
    </row>
    <row r="287" spans="5:25" x14ac:dyDescent="0.25">
      <c r="F287" s="94" t="s">
        <v>195</v>
      </c>
      <c r="G287" s="94" t="s">
        <v>283</v>
      </c>
      <c r="J287" s="151">
        <f t="shared" ref="J287:Y287" si="250">J244 * J$93</f>
        <v>1.5932798380368827</v>
      </c>
      <c r="K287" s="151">
        <f t="shared" si="250"/>
        <v>1.5932798380368827</v>
      </c>
      <c r="L287" s="151">
        <f t="shared" si="250"/>
        <v>1.6948084644850931</v>
      </c>
      <c r="M287" s="151">
        <f t="shared" si="250"/>
        <v>1.6948084644850931</v>
      </c>
      <c r="N287" s="151">
        <f t="shared" si="250"/>
        <v>1.2888319335971417</v>
      </c>
      <c r="O287" s="151">
        <f t="shared" si="250"/>
        <v>1.2061962101700632</v>
      </c>
      <c r="P287" s="151">
        <f t="shared" si="250"/>
        <v>1.1203196974497995</v>
      </c>
      <c r="Q287" s="151">
        <f t="shared" si="250"/>
        <v>1.2901704900715163</v>
      </c>
      <c r="R287" s="151">
        <f t="shared" si="250"/>
        <v>1.0155131673192064</v>
      </c>
      <c r="S287" s="151">
        <f t="shared" si="250"/>
        <v>1.0155131673192064</v>
      </c>
      <c r="T287" s="151">
        <f t="shared" si="250"/>
        <v>1.0155131673192064</v>
      </c>
      <c r="U287" s="151">
        <f t="shared" si="250"/>
        <v>1.0155131673192064</v>
      </c>
      <c r="V287" s="151">
        <f t="shared" si="250"/>
        <v>1.0155131673192064</v>
      </c>
      <c r="W287" s="151">
        <f t="shared" si="250"/>
        <v>1.0155131673192064</v>
      </c>
      <c r="X287" s="151">
        <f t="shared" si="250"/>
        <v>1.0155131673192064</v>
      </c>
      <c r="Y287" s="151">
        <f t="shared" si="250"/>
        <v>1.0155131673192064</v>
      </c>
    </row>
    <row r="288" spans="5:25" x14ac:dyDescent="0.25">
      <c r="F288" s="94" t="s">
        <v>196</v>
      </c>
      <c r="G288" s="94" t="s">
        <v>283</v>
      </c>
      <c r="J288" s="151">
        <f t="shared" ref="J288:Y288" si="251">J245 * J$93</f>
        <v>0.74661286649407543</v>
      </c>
      <c r="K288" s="151">
        <f t="shared" si="251"/>
        <v>0.74661286649407543</v>
      </c>
      <c r="L288" s="151">
        <f t="shared" si="251"/>
        <v>0.79418930411290745</v>
      </c>
      <c r="M288" s="151">
        <f t="shared" si="251"/>
        <v>0.79418930411290745</v>
      </c>
      <c r="N288" s="151">
        <f t="shared" si="251"/>
        <v>0.60394820884552525</v>
      </c>
      <c r="O288" s="151">
        <f t="shared" si="251"/>
        <v>0.56522500852013802</v>
      </c>
      <c r="P288" s="151">
        <f t="shared" si="251"/>
        <v>0.52498317039734443</v>
      </c>
      <c r="Q288" s="151">
        <f t="shared" si="251"/>
        <v>0.802627941260325</v>
      </c>
      <c r="R288" s="151">
        <f t="shared" si="251"/>
        <v>0.47587070313326774</v>
      </c>
      <c r="S288" s="151">
        <f t="shared" si="251"/>
        <v>0.47587070313326774</v>
      </c>
      <c r="T288" s="151">
        <f t="shared" si="251"/>
        <v>0.47587070313326774</v>
      </c>
      <c r="U288" s="151">
        <f t="shared" si="251"/>
        <v>0.47587070313326774</v>
      </c>
      <c r="V288" s="151">
        <f t="shared" si="251"/>
        <v>0.47587070313326774</v>
      </c>
      <c r="W288" s="151">
        <f t="shared" si="251"/>
        <v>0.47587070313326774</v>
      </c>
      <c r="X288" s="151">
        <f t="shared" si="251"/>
        <v>0.47587070313326774</v>
      </c>
      <c r="Y288" s="151">
        <f t="shared" si="251"/>
        <v>0.47587070313326774</v>
      </c>
    </row>
    <row r="289" spans="2:27" x14ac:dyDescent="0.25">
      <c r="F289" s="94" t="s">
        <v>197</v>
      </c>
      <c r="G289" s="94" t="s">
        <v>283</v>
      </c>
      <c r="J289" s="151">
        <f t="shared" ref="J289:Y289" si="252">J246 * J$93</f>
        <v>1.5932798380368827</v>
      </c>
      <c r="K289" s="151">
        <f t="shared" si="252"/>
        <v>1.5932798380368827</v>
      </c>
      <c r="L289" s="151">
        <f t="shared" si="252"/>
        <v>1.6948084644850931</v>
      </c>
      <c r="M289" s="151">
        <f t="shared" si="252"/>
        <v>1.6948084644850931</v>
      </c>
      <c r="N289" s="151">
        <f t="shared" si="252"/>
        <v>1.2888319335971417</v>
      </c>
      <c r="O289" s="151">
        <f t="shared" si="252"/>
        <v>1.2061962101700632</v>
      </c>
      <c r="P289" s="151">
        <f t="shared" si="252"/>
        <v>1.1203196974497995</v>
      </c>
      <c r="Q289" s="151">
        <f t="shared" si="252"/>
        <v>1.2901704900715163</v>
      </c>
      <c r="R289" s="151">
        <f t="shared" si="252"/>
        <v>1.0155131673192064</v>
      </c>
      <c r="S289" s="151">
        <f t="shared" si="252"/>
        <v>1.0155131673192064</v>
      </c>
      <c r="T289" s="151">
        <f t="shared" si="252"/>
        <v>1.0155131673192064</v>
      </c>
      <c r="U289" s="151">
        <f t="shared" si="252"/>
        <v>1.0155131673192064</v>
      </c>
      <c r="V289" s="151">
        <f t="shared" si="252"/>
        <v>1.0155131673192064</v>
      </c>
      <c r="W289" s="151">
        <f t="shared" si="252"/>
        <v>1.0155131673192064</v>
      </c>
      <c r="X289" s="151">
        <f t="shared" si="252"/>
        <v>1.0155131673192064</v>
      </c>
      <c r="Y289" s="151">
        <f t="shared" si="252"/>
        <v>1.0155131673192064</v>
      </c>
    </row>
    <row r="290" spans="2:27" x14ac:dyDescent="0.25">
      <c r="F290" s="94" t="s">
        <v>198</v>
      </c>
      <c r="G290" s="94" t="s">
        <v>283</v>
      </c>
      <c r="J290" s="151">
        <f t="shared" ref="J290:Y290" si="253">J247 * J$93</f>
        <v>1.5932798380368827</v>
      </c>
      <c r="K290" s="151">
        <f t="shared" si="253"/>
        <v>1.5932798380368827</v>
      </c>
      <c r="L290" s="151">
        <f t="shared" si="253"/>
        <v>1.6948084644850931</v>
      </c>
      <c r="M290" s="151">
        <f t="shared" si="253"/>
        <v>1.6948084644850931</v>
      </c>
      <c r="N290" s="151">
        <f t="shared" si="253"/>
        <v>1.2888319335971417</v>
      </c>
      <c r="O290" s="151">
        <f t="shared" si="253"/>
        <v>1.2061962101700632</v>
      </c>
      <c r="P290" s="151">
        <f t="shared" si="253"/>
        <v>1.1203196974497995</v>
      </c>
      <c r="Q290" s="151">
        <f t="shared" si="253"/>
        <v>1.2901704900715163</v>
      </c>
      <c r="R290" s="151">
        <f t="shared" si="253"/>
        <v>1.0155131673192064</v>
      </c>
      <c r="S290" s="151">
        <f t="shared" si="253"/>
        <v>1.0155131673192064</v>
      </c>
      <c r="T290" s="151">
        <f t="shared" si="253"/>
        <v>1.0155131673192064</v>
      </c>
      <c r="U290" s="151">
        <f t="shared" si="253"/>
        <v>1.0155131673192064</v>
      </c>
      <c r="V290" s="151">
        <f t="shared" si="253"/>
        <v>1.0155131673192064</v>
      </c>
      <c r="W290" s="151">
        <f t="shared" si="253"/>
        <v>1.0155131673192064</v>
      </c>
      <c r="X290" s="151">
        <f t="shared" si="253"/>
        <v>1.0155131673192064</v>
      </c>
      <c r="Y290" s="151">
        <f t="shared" si="253"/>
        <v>1.0155131673192064</v>
      </c>
    </row>
    <row r="291" spans="2:27" x14ac:dyDescent="0.25">
      <c r="F291" s="101" t="s">
        <v>199</v>
      </c>
      <c r="G291" s="101" t="s">
        <v>283</v>
      </c>
      <c r="H291" s="96"/>
      <c r="I291" s="96"/>
      <c r="J291" s="150">
        <f t="shared" ref="J291:Y291" si="254">J248 * J$93</f>
        <v>1.5932798380368827</v>
      </c>
      <c r="K291" s="150">
        <f t="shared" si="254"/>
        <v>1.5932798380368827</v>
      </c>
      <c r="L291" s="150">
        <f t="shared" si="254"/>
        <v>1.6948084644850931</v>
      </c>
      <c r="M291" s="150">
        <f t="shared" si="254"/>
        <v>1.6948084644850931</v>
      </c>
      <c r="N291" s="150">
        <f t="shared" si="254"/>
        <v>1.2888319335971417</v>
      </c>
      <c r="O291" s="150">
        <f t="shared" si="254"/>
        <v>1.2061962101700632</v>
      </c>
      <c r="P291" s="150">
        <f t="shared" si="254"/>
        <v>1.1203196974497995</v>
      </c>
      <c r="Q291" s="150">
        <f t="shared" si="254"/>
        <v>1.2901704900715163</v>
      </c>
      <c r="R291" s="150">
        <f t="shared" si="254"/>
        <v>1.0155131673192064</v>
      </c>
      <c r="S291" s="150">
        <f t="shared" si="254"/>
        <v>1.0155131673192064</v>
      </c>
      <c r="T291" s="150">
        <f t="shared" si="254"/>
        <v>1.0155131673192064</v>
      </c>
      <c r="U291" s="150">
        <f t="shared" si="254"/>
        <v>1.0155131673192064</v>
      </c>
      <c r="V291" s="150">
        <f t="shared" si="254"/>
        <v>1.0155131673192064</v>
      </c>
      <c r="W291" s="150">
        <f t="shared" si="254"/>
        <v>1.0155131673192064</v>
      </c>
      <c r="X291" s="150">
        <f t="shared" si="254"/>
        <v>1.0155131673192064</v>
      </c>
      <c r="Y291" s="150">
        <f t="shared" si="254"/>
        <v>1.0155131673192064</v>
      </c>
    </row>
    <row r="292" spans="2:27" x14ac:dyDescent="0.25">
      <c r="J292" s="106"/>
      <c r="K292" s="106"/>
      <c r="L292" s="106"/>
      <c r="M292" s="106"/>
      <c r="N292" s="106"/>
      <c r="O292" s="106"/>
      <c r="P292" s="106"/>
      <c r="Q292" s="106"/>
      <c r="R292" s="106"/>
      <c r="S292" s="106"/>
      <c r="T292" s="106"/>
      <c r="U292" s="106"/>
      <c r="V292" s="106"/>
      <c r="W292" s="106"/>
      <c r="X292" s="106"/>
      <c r="Y292" s="106"/>
    </row>
    <row r="293" spans="2:27" x14ac:dyDescent="0.25">
      <c r="E293" s="75" t="s">
        <v>158</v>
      </c>
      <c r="F293" s="94"/>
      <c r="G293" s="94"/>
      <c r="J293" s="106"/>
      <c r="K293" s="106"/>
      <c r="L293" s="106"/>
      <c r="M293" s="106"/>
      <c r="N293" s="106"/>
      <c r="O293" s="106"/>
      <c r="P293" s="106"/>
      <c r="Q293" s="106"/>
      <c r="R293" s="106"/>
      <c r="S293" s="106"/>
      <c r="T293" s="106"/>
      <c r="U293" s="106"/>
      <c r="V293" s="106"/>
      <c r="W293" s="106"/>
      <c r="X293" s="106"/>
      <c r="Y293" s="106"/>
    </row>
    <row r="294" spans="2:27" x14ac:dyDescent="0.25">
      <c r="F294" s="98" t="s">
        <v>191</v>
      </c>
      <c r="G294" s="98" t="s">
        <v>283</v>
      </c>
      <c r="H294" s="95"/>
      <c r="I294" s="95"/>
      <c r="J294" s="149">
        <f>J251 * J$93</f>
        <v>0</v>
      </c>
      <c r="K294" s="149">
        <f t="shared" ref="K294:Y294" si="255">K251 * K$93</f>
        <v>0</v>
      </c>
      <c r="L294" s="149">
        <f t="shared" si="255"/>
        <v>0</v>
      </c>
      <c r="M294" s="149">
        <f t="shared" si="255"/>
        <v>0</v>
      </c>
      <c r="N294" s="149">
        <f t="shared" si="255"/>
        <v>0</v>
      </c>
      <c r="O294" s="149">
        <f t="shared" si="255"/>
        <v>0</v>
      </c>
      <c r="P294" s="149">
        <f t="shared" si="255"/>
        <v>0</v>
      </c>
      <c r="Q294" s="149">
        <f t="shared" si="255"/>
        <v>0</v>
      </c>
      <c r="R294" s="149">
        <f t="shared" si="255"/>
        <v>0</v>
      </c>
      <c r="S294" s="149">
        <f t="shared" si="255"/>
        <v>0</v>
      </c>
      <c r="T294" s="149">
        <f t="shared" si="255"/>
        <v>0</v>
      </c>
      <c r="U294" s="149">
        <f t="shared" si="255"/>
        <v>0</v>
      </c>
      <c r="V294" s="149">
        <f t="shared" si="255"/>
        <v>0</v>
      </c>
      <c r="W294" s="149">
        <f t="shared" si="255"/>
        <v>0</v>
      </c>
      <c r="X294" s="149">
        <f t="shared" si="255"/>
        <v>0</v>
      </c>
      <c r="Y294" s="149">
        <f t="shared" si="255"/>
        <v>0</v>
      </c>
    </row>
    <row r="295" spans="2:27" x14ac:dyDescent="0.25">
      <c r="F295" s="94" t="s">
        <v>192</v>
      </c>
      <c r="G295" s="94" t="s">
        <v>283</v>
      </c>
      <c r="J295" s="151">
        <f t="shared" ref="J295:Y295" si="256">J252 * J$93</f>
        <v>5.5583820060049118E-2</v>
      </c>
      <c r="K295" s="151">
        <f t="shared" si="256"/>
        <v>5.5583820060049118E-2</v>
      </c>
      <c r="L295" s="151">
        <f t="shared" si="256"/>
        <v>5.9125789755965545E-2</v>
      </c>
      <c r="M295" s="151">
        <f t="shared" si="256"/>
        <v>5.9125789755965545E-2</v>
      </c>
      <c r="N295" s="151">
        <f t="shared" si="256"/>
        <v>4.4962724421954529E-2</v>
      </c>
      <c r="O295" s="151">
        <f t="shared" si="256"/>
        <v>4.207986036264269E-2</v>
      </c>
      <c r="P295" s="151">
        <f t="shared" si="256"/>
        <v>3.9083936786336718E-2</v>
      </c>
      <c r="Q295" s="151">
        <f t="shared" si="256"/>
        <v>4.1515671246696674E-2</v>
      </c>
      <c r="R295" s="151">
        <f t="shared" si="256"/>
        <v>3.5427612785478964E-2</v>
      </c>
      <c r="S295" s="151">
        <f t="shared" si="256"/>
        <v>3.5427612785478964E-2</v>
      </c>
      <c r="T295" s="151">
        <f t="shared" si="256"/>
        <v>3.5427612785478964E-2</v>
      </c>
      <c r="U295" s="151">
        <f t="shared" si="256"/>
        <v>3.5427612785478964E-2</v>
      </c>
      <c r="V295" s="151">
        <f t="shared" si="256"/>
        <v>3.5427612785478964E-2</v>
      </c>
      <c r="W295" s="151">
        <f t="shared" si="256"/>
        <v>3.5427612785478964E-2</v>
      </c>
      <c r="X295" s="151">
        <f t="shared" si="256"/>
        <v>3.5427612785478964E-2</v>
      </c>
      <c r="Y295" s="151">
        <f t="shared" si="256"/>
        <v>3.5427612785478964E-2</v>
      </c>
    </row>
    <row r="296" spans="2:27" x14ac:dyDescent="0.25">
      <c r="F296" s="94" t="s">
        <v>193</v>
      </c>
      <c r="G296" s="94" t="s">
        <v>283</v>
      </c>
      <c r="J296" s="151">
        <f t="shared" ref="J296:Y296" si="257">J253 * J$93</f>
        <v>5.5583820060049118E-2</v>
      </c>
      <c r="K296" s="151">
        <f t="shared" si="257"/>
        <v>5.5583820060049118E-2</v>
      </c>
      <c r="L296" s="151">
        <f t="shared" si="257"/>
        <v>5.9125789755965545E-2</v>
      </c>
      <c r="M296" s="151">
        <f t="shared" si="257"/>
        <v>5.9125789755965545E-2</v>
      </c>
      <c r="N296" s="151">
        <f t="shared" si="257"/>
        <v>4.4962724421954529E-2</v>
      </c>
      <c r="O296" s="151">
        <f t="shared" si="257"/>
        <v>4.207986036264269E-2</v>
      </c>
      <c r="P296" s="151">
        <f t="shared" si="257"/>
        <v>3.9083936786336718E-2</v>
      </c>
      <c r="Q296" s="151">
        <f t="shared" si="257"/>
        <v>4.1515671246696674E-2</v>
      </c>
      <c r="R296" s="151">
        <f t="shared" si="257"/>
        <v>3.5427612785478964E-2</v>
      </c>
      <c r="S296" s="151">
        <f t="shared" si="257"/>
        <v>3.5427612785478964E-2</v>
      </c>
      <c r="T296" s="151">
        <f t="shared" si="257"/>
        <v>3.5427612785478964E-2</v>
      </c>
      <c r="U296" s="151">
        <f t="shared" si="257"/>
        <v>3.5427612785478964E-2</v>
      </c>
      <c r="V296" s="151">
        <f t="shared" si="257"/>
        <v>3.5427612785478964E-2</v>
      </c>
      <c r="W296" s="151">
        <f t="shared" si="257"/>
        <v>3.5427612785478964E-2</v>
      </c>
      <c r="X296" s="151">
        <f t="shared" si="257"/>
        <v>3.5427612785478964E-2</v>
      </c>
      <c r="Y296" s="151">
        <f t="shared" si="257"/>
        <v>3.5427612785478964E-2</v>
      </c>
    </row>
    <row r="297" spans="2:27" x14ac:dyDescent="0.25">
      <c r="F297" s="94" t="s">
        <v>194</v>
      </c>
      <c r="G297" s="94" t="s">
        <v>283</v>
      </c>
      <c r="J297" s="151">
        <f t="shared" ref="J297:Y297" si="258">J254 * J$93</f>
        <v>0.18369513378164037</v>
      </c>
      <c r="K297" s="151">
        <f t="shared" si="258"/>
        <v>0.18369513378164037</v>
      </c>
      <c r="L297" s="151">
        <f t="shared" si="258"/>
        <v>0.19540074517069159</v>
      </c>
      <c r="M297" s="151">
        <f t="shared" si="258"/>
        <v>0.19540074517069159</v>
      </c>
      <c r="N297" s="151">
        <f t="shared" si="258"/>
        <v>0.14859420725230857</v>
      </c>
      <c r="O297" s="151">
        <f t="shared" si="258"/>
        <v>0.13906682862886274</v>
      </c>
      <c r="P297" s="151">
        <f t="shared" si="258"/>
        <v>0.12916580740443903</v>
      </c>
      <c r="Q297" s="151">
        <f t="shared" si="258"/>
        <v>0.13720227892681125</v>
      </c>
      <c r="R297" s="151">
        <f t="shared" si="258"/>
        <v>0.11708227435901354</v>
      </c>
      <c r="S297" s="151">
        <f t="shared" si="258"/>
        <v>0.11708227435901354</v>
      </c>
      <c r="T297" s="151">
        <f t="shared" si="258"/>
        <v>0.11708227435901354</v>
      </c>
      <c r="U297" s="151">
        <f t="shared" si="258"/>
        <v>0.11708227435901354</v>
      </c>
      <c r="V297" s="151">
        <f t="shared" si="258"/>
        <v>0.11708227435901354</v>
      </c>
      <c r="W297" s="151">
        <f t="shared" si="258"/>
        <v>0.11708227435901354</v>
      </c>
      <c r="X297" s="151">
        <f t="shared" si="258"/>
        <v>0.11708227435901354</v>
      </c>
      <c r="Y297" s="151">
        <f t="shared" si="258"/>
        <v>0.11708227435901354</v>
      </c>
    </row>
    <row r="298" spans="2:27" x14ac:dyDescent="0.25">
      <c r="F298" s="94" t="s">
        <v>195</v>
      </c>
      <c r="G298" s="94" t="s">
        <v>283</v>
      </c>
      <c r="J298" s="151">
        <f t="shared" ref="J298:Y298" si="259">J255 * J$93</f>
        <v>0.18369513378164037</v>
      </c>
      <c r="K298" s="151">
        <f t="shared" si="259"/>
        <v>0.18369513378164037</v>
      </c>
      <c r="L298" s="151">
        <f t="shared" si="259"/>
        <v>0.19540074517069159</v>
      </c>
      <c r="M298" s="151">
        <f t="shared" si="259"/>
        <v>0.19540074517069159</v>
      </c>
      <c r="N298" s="151">
        <f t="shared" si="259"/>
        <v>0.14859420725230857</v>
      </c>
      <c r="O298" s="151">
        <f t="shared" si="259"/>
        <v>0.13906682862886274</v>
      </c>
      <c r="P298" s="151">
        <f t="shared" si="259"/>
        <v>0.12916580740443903</v>
      </c>
      <c r="Q298" s="151">
        <f t="shared" si="259"/>
        <v>0.13720227892681125</v>
      </c>
      <c r="R298" s="151">
        <f t="shared" si="259"/>
        <v>0.11708227435901354</v>
      </c>
      <c r="S298" s="151">
        <f t="shared" si="259"/>
        <v>0.11708227435901354</v>
      </c>
      <c r="T298" s="151">
        <f t="shared" si="259"/>
        <v>0.11708227435901354</v>
      </c>
      <c r="U298" s="151">
        <f t="shared" si="259"/>
        <v>0.11708227435901354</v>
      </c>
      <c r="V298" s="151">
        <f t="shared" si="259"/>
        <v>0.11708227435901354</v>
      </c>
      <c r="W298" s="151">
        <f t="shared" si="259"/>
        <v>0.11708227435901354</v>
      </c>
      <c r="X298" s="151">
        <f t="shared" si="259"/>
        <v>0.11708227435901354</v>
      </c>
      <c r="Y298" s="151">
        <f t="shared" si="259"/>
        <v>0.11708227435901354</v>
      </c>
    </row>
    <row r="299" spans="2:27" x14ac:dyDescent="0.25">
      <c r="F299" s="94" t="s">
        <v>196</v>
      </c>
      <c r="G299" s="94" t="s">
        <v>283</v>
      </c>
      <c r="J299" s="151">
        <f t="shared" ref="J299:Y299" si="260">J256 * J$93</f>
        <v>5.5583820060049118E-2</v>
      </c>
      <c r="K299" s="151">
        <f t="shared" si="260"/>
        <v>5.5583820060049118E-2</v>
      </c>
      <c r="L299" s="151">
        <f t="shared" si="260"/>
        <v>5.9125789755965545E-2</v>
      </c>
      <c r="M299" s="151">
        <f t="shared" si="260"/>
        <v>5.9125789755965545E-2</v>
      </c>
      <c r="N299" s="151">
        <f t="shared" si="260"/>
        <v>4.4962724421954529E-2</v>
      </c>
      <c r="O299" s="151">
        <f t="shared" si="260"/>
        <v>4.207986036264269E-2</v>
      </c>
      <c r="P299" s="151">
        <f t="shared" si="260"/>
        <v>3.9083936786336718E-2</v>
      </c>
      <c r="Q299" s="151">
        <f t="shared" si="260"/>
        <v>4.1515671246696674E-2</v>
      </c>
      <c r="R299" s="151">
        <f t="shared" si="260"/>
        <v>3.5427612785478964E-2</v>
      </c>
      <c r="S299" s="151">
        <f t="shared" si="260"/>
        <v>3.5427612785478964E-2</v>
      </c>
      <c r="T299" s="151">
        <f t="shared" si="260"/>
        <v>3.5427612785478964E-2</v>
      </c>
      <c r="U299" s="151">
        <f t="shared" si="260"/>
        <v>3.5427612785478964E-2</v>
      </c>
      <c r="V299" s="151">
        <f t="shared" si="260"/>
        <v>3.5427612785478964E-2</v>
      </c>
      <c r="W299" s="151">
        <f t="shared" si="260"/>
        <v>3.5427612785478964E-2</v>
      </c>
      <c r="X299" s="151">
        <f t="shared" si="260"/>
        <v>3.5427612785478964E-2</v>
      </c>
      <c r="Y299" s="151">
        <f t="shared" si="260"/>
        <v>3.5427612785478964E-2</v>
      </c>
    </row>
    <row r="300" spans="2:27" x14ac:dyDescent="0.25">
      <c r="F300" s="94" t="s">
        <v>197</v>
      </c>
      <c r="G300" s="94" t="s">
        <v>283</v>
      </c>
      <c r="J300" s="151">
        <f t="shared" ref="J300:Y300" si="261">J257 * J$93</f>
        <v>0.18369513378164037</v>
      </c>
      <c r="K300" s="151">
        <f t="shared" si="261"/>
        <v>0.18369513378164037</v>
      </c>
      <c r="L300" s="151">
        <f t="shared" si="261"/>
        <v>0.19540074517069159</v>
      </c>
      <c r="M300" s="151">
        <f t="shared" si="261"/>
        <v>0.19540074517069159</v>
      </c>
      <c r="N300" s="151">
        <f t="shared" si="261"/>
        <v>0.14859420725230857</v>
      </c>
      <c r="O300" s="151">
        <f t="shared" si="261"/>
        <v>0.13906682862886274</v>
      </c>
      <c r="P300" s="151">
        <f t="shared" si="261"/>
        <v>0.12916580740443903</v>
      </c>
      <c r="Q300" s="151">
        <f t="shared" si="261"/>
        <v>0.13720227892681125</v>
      </c>
      <c r="R300" s="151">
        <f t="shared" si="261"/>
        <v>0.11708227435901354</v>
      </c>
      <c r="S300" s="151">
        <f t="shared" si="261"/>
        <v>0.11708227435901354</v>
      </c>
      <c r="T300" s="151">
        <f t="shared" si="261"/>
        <v>0.11708227435901354</v>
      </c>
      <c r="U300" s="151">
        <f t="shared" si="261"/>
        <v>0.11708227435901354</v>
      </c>
      <c r="V300" s="151">
        <f t="shared" si="261"/>
        <v>0.11708227435901354</v>
      </c>
      <c r="W300" s="151">
        <f t="shared" si="261"/>
        <v>0.11708227435901354</v>
      </c>
      <c r="X300" s="151">
        <f t="shared" si="261"/>
        <v>0.11708227435901354</v>
      </c>
      <c r="Y300" s="151">
        <f t="shared" si="261"/>
        <v>0.11708227435901354</v>
      </c>
    </row>
    <row r="301" spans="2:27" x14ac:dyDescent="0.25">
      <c r="F301" s="94" t="s">
        <v>198</v>
      </c>
      <c r="G301" s="94" t="s">
        <v>283</v>
      </c>
      <c r="J301" s="151">
        <f t="shared" ref="J301:Y301" si="262">J258 * J$93</f>
        <v>0.18369513378164037</v>
      </c>
      <c r="K301" s="151">
        <f t="shared" si="262"/>
        <v>0.18369513378164037</v>
      </c>
      <c r="L301" s="151">
        <f t="shared" si="262"/>
        <v>0.19540074517069159</v>
      </c>
      <c r="M301" s="151">
        <f t="shared" si="262"/>
        <v>0.19540074517069159</v>
      </c>
      <c r="N301" s="151">
        <f t="shared" si="262"/>
        <v>0.14859420725230857</v>
      </c>
      <c r="O301" s="151">
        <f t="shared" si="262"/>
        <v>0.13906682862886274</v>
      </c>
      <c r="P301" s="151">
        <f t="shared" si="262"/>
        <v>0.12916580740443903</v>
      </c>
      <c r="Q301" s="151">
        <f t="shared" si="262"/>
        <v>0.13720227892681125</v>
      </c>
      <c r="R301" s="151">
        <f t="shared" si="262"/>
        <v>0.11708227435901354</v>
      </c>
      <c r="S301" s="151">
        <f t="shared" si="262"/>
        <v>0.11708227435901354</v>
      </c>
      <c r="T301" s="151">
        <f t="shared" si="262"/>
        <v>0.11708227435901354</v>
      </c>
      <c r="U301" s="151">
        <f t="shared" si="262"/>
        <v>0.11708227435901354</v>
      </c>
      <c r="V301" s="151">
        <f t="shared" si="262"/>
        <v>0.11708227435901354</v>
      </c>
      <c r="W301" s="151">
        <f t="shared" si="262"/>
        <v>0.11708227435901354</v>
      </c>
      <c r="X301" s="151">
        <f t="shared" si="262"/>
        <v>0.11708227435901354</v>
      </c>
      <c r="Y301" s="151">
        <f t="shared" si="262"/>
        <v>0.11708227435901354</v>
      </c>
    </row>
    <row r="302" spans="2:27" x14ac:dyDescent="0.25">
      <c r="F302" s="101" t="s">
        <v>199</v>
      </c>
      <c r="G302" s="101" t="s">
        <v>283</v>
      </c>
      <c r="H302" s="96"/>
      <c r="I302" s="96"/>
      <c r="J302" s="150">
        <f t="shared" ref="J302:Y302" si="263">J259 * J$93</f>
        <v>0.18369513378164037</v>
      </c>
      <c r="K302" s="150">
        <f t="shared" si="263"/>
        <v>0.18369513378164037</v>
      </c>
      <c r="L302" s="150">
        <f t="shared" si="263"/>
        <v>0.19540074517069159</v>
      </c>
      <c r="M302" s="150">
        <f t="shared" si="263"/>
        <v>0.19540074517069159</v>
      </c>
      <c r="N302" s="150">
        <f t="shared" si="263"/>
        <v>0.14859420725230857</v>
      </c>
      <c r="O302" s="150">
        <f t="shared" si="263"/>
        <v>0.13906682862886274</v>
      </c>
      <c r="P302" s="150">
        <f t="shared" si="263"/>
        <v>0.12916580740443903</v>
      </c>
      <c r="Q302" s="150">
        <f t="shared" si="263"/>
        <v>0.13720227892681125</v>
      </c>
      <c r="R302" s="150">
        <f t="shared" si="263"/>
        <v>0.11708227435901354</v>
      </c>
      <c r="S302" s="150">
        <f t="shared" si="263"/>
        <v>0.11708227435901354</v>
      </c>
      <c r="T302" s="150">
        <f t="shared" si="263"/>
        <v>0.11708227435901354</v>
      </c>
      <c r="U302" s="150">
        <f t="shared" si="263"/>
        <v>0.11708227435901354</v>
      </c>
      <c r="V302" s="150">
        <f t="shared" si="263"/>
        <v>0.11708227435901354</v>
      </c>
      <c r="W302" s="150">
        <f t="shared" si="263"/>
        <v>0.11708227435901354</v>
      </c>
      <c r="X302" s="150">
        <f t="shared" si="263"/>
        <v>0.11708227435901354</v>
      </c>
      <c r="Y302" s="150">
        <f t="shared" si="263"/>
        <v>0.11708227435901354</v>
      </c>
    </row>
    <row r="304" spans="2:27" x14ac:dyDescent="0.25">
      <c r="B304" s="85" t="s">
        <v>231</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25">
      <c r="E306" t="s">
        <v>232</v>
      </c>
      <c r="G306" s="6" t="s">
        <v>56</v>
      </c>
      <c r="H306" s="113">
        <f t="array" ref="H306">SUM(IF(ISERROR(H20:Y302), 1))</f>
        <v>0</v>
      </c>
    </row>
    <row r="308" spans="2:27" x14ac:dyDescent="0.25">
      <c r="B308" s="85" t="s">
        <v>107</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H281 &amp; IF(H281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447</v>
      </c>
      <c r="D9" s="86"/>
    </row>
    <row r="10" spans="1:43" x14ac:dyDescent="0.25">
      <c r="C10" s="86" t="s">
        <v>448</v>
      </c>
      <c r="D10" s="86"/>
    </row>
    <row r="11" spans="1:43" x14ac:dyDescent="0.25">
      <c r="C11" s="86" t="s">
        <v>449</v>
      </c>
      <c r="D11" s="86"/>
    </row>
    <row r="12" spans="1:43" x14ac:dyDescent="0.25">
      <c r="C12" s="86"/>
      <c r="D12" s="86" t="s">
        <v>450</v>
      </c>
    </row>
    <row r="13" spans="1:43" x14ac:dyDescent="0.25">
      <c r="C13" s="86"/>
      <c r="D13" s="86" t="s">
        <v>451</v>
      </c>
    </row>
    <row r="14" spans="1:43" x14ac:dyDescent="0.25">
      <c r="C14" s="86"/>
      <c r="D14" s="86" t="s">
        <v>452</v>
      </c>
    </row>
    <row r="16" spans="1:43" x14ac:dyDescent="0.25">
      <c r="B16" s="85" t="s">
        <v>453</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25">
      <c r="C17" s="75"/>
      <c r="AQ17" s="3"/>
    </row>
    <row r="18" spans="3:43" x14ac:dyDescent="0.25">
      <c r="C18" s="93" t="str">
        <f ca="1">INDEX('Version control'!$H$41:$H$64,MATCH($A$1,'Version control'!$F$41:$F$64,0),1)&amp;"-A: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25">
      <c r="H19" s="97"/>
      <c r="J19" s="97"/>
      <c r="K19" s="97"/>
      <c r="L19" s="97"/>
      <c r="M19" s="97"/>
      <c r="N19" s="97"/>
      <c r="O19" s="97"/>
      <c r="P19" s="97"/>
      <c r="Q19" s="97"/>
      <c r="R19" s="97"/>
      <c r="S19" s="97"/>
      <c r="T19" s="97"/>
      <c r="U19" s="97"/>
      <c r="V19" s="97"/>
      <c r="W19" s="97"/>
      <c r="X19" s="97"/>
      <c r="Y19" s="97"/>
    </row>
    <row r="20" spans="3:43" x14ac:dyDescent="0.25">
      <c r="D20" s="86" t="s">
        <v>454</v>
      </c>
      <c r="AQ20" s="3"/>
    </row>
    <row r="21" spans="3:43" x14ac:dyDescent="0.25">
      <c r="C21" s="75"/>
      <c r="AQ21" s="3"/>
    </row>
    <row r="22" spans="3:43" x14ac:dyDescent="0.25">
      <c r="E22" s="75" t="s">
        <v>336</v>
      </c>
      <c r="H22" s="62"/>
      <c r="J22" s="97"/>
      <c r="L22" s="97"/>
      <c r="AQ22" s="3"/>
    </row>
    <row r="23" spans="3:43" x14ac:dyDescent="0.25">
      <c r="E23" s="75"/>
      <c r="F23" s="95" t="s">
        <v>191</v>
      </c>
      <c r="G23" s="95" t="s">
        <v>167</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25">
      <c r="E24" s="75"/>
      <c r="F24" t="s">
        <v>192</v>
      </c>
      <c r="G24" t="s">
        <v>167</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0</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25">
      <c r="E25" s="75"/>
      <c r="F25" t="s">
        <v>193</v>
      </c>
      <c r="G25" t="s">
        <v>167</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25">
      <c r="E26" s="75"/>
      <c r="F26" t="s">
        <v>194</v>
      </c>
      <c r="G26" t="s">
        <v>167</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25">
      <c r="E27" s="75"/>
      <c r="F27" t="s">
        <v>195</v>
      </c>
      <c r="G27" t="s">
        <v>167</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25">
      <c r="E28" s="75"/>
      <c r="F28" t="s">
        <v>196</v>
      </c>
      <c r="G28" t="s">
        <v>167</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25">
      <c r="E29" s="75"/>
      <c r="F29" t="s">
        <v>197</v>
      </c>
      <c r="G29" t="s">
        <v>167</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25">
      <c r="E30" s="75"/>
      <c r="F30" t="s">
        <v>198</v>
      </c>
      <c r="G30" t="s">
        <v>167</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25">
      <c r="E31" s="75"/>
      <c r="F31" s="96" t="s">
        <v>199</v>
      </c>
      <c r="G31" s="96" t="s">
        <v>167</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25">
      <c r="E32" s="75"/>
      <c r="J32" s="97"/>
      <c r="K32" s="97"/>
      <c r="L32" s="97"/>
      <c r="M32" s="97"/>
      <c r="N32" s="97"/>
      <c r="O32" s="97"/>
      <c r="P32" s="97"/>
      <c r="Q32" s="97"/>
      <c r="R32" s="97"/>
      <c r="S32" s="97"/>
      <c r="T32" s="97"/>
      <c r="U32" s="97"/>
      <c r="V32" s="97"/>
      <c r="W32" s="97"/>
      <c r="X32" s="97"/>
      <c r="Y32" s="97"/>
      <c r="AQ32" s="3"/>
    </row>
    <row r="33" spans="5:43" x14ac:dyDescent="0.25">
      <c r="E33" s="75" t="s">
        <v>455</v>
      </c>
      <c r="I33" t="s">
        <v>154</v>
      </c>
      <c r="J33" s="97"/>
      <c r="K33" s="97"/>
      <c r="L33" s="97"/>
      <c r="M33" s="97"/>
      <c r="N33" s="97"/>
      <c r="O33" s="97"/>
      <c r="P33" s="97"/>
      <c r="Q33" s="97"/>
      <c r="R33" s="97"/>
      <c r="S33" s="97"/>
      <c r="T33" s="97"/>
      <c r="U33" s="97"/>
      <c r="V33" s="97"/>
      <c r="W33" s="97"/>
      <c r="X33" s="97"/>
      <c r="Y33" s="97"/>
      <c r="AA33" t="s">
        <v>456</v>
      </c>
      <c r="AQ33" s="3"/>
    </row>
    <row r="34" spans="5:43" x14ac:dyDescent="0.25">
      <c r="E34" s="75"/>
      <c r="F34" s="95" t="s">
        <v>191</v>
      </c>
      <c r="G34" s="95" t="s">
        <v>283</v>
      </c>
      <c r="H34" s="223"/>
      <c r="I34" s="223"/>
      <c r="J34" s="171">
        <f t="array" ref="J34:Y42">TRANSPOSE('Load &amp; loss characteristics'!K145:S160)</f>
        <v>1.0620000000000001</v>
      </c>
      <c r="K34" s="171">
        <v>1.0620000000000001</v>
      </c>
      <c r="L34" s="171">
        <v>1.0620000000000001</v>
      </c>
      <c r="M34" s="171">
        <v>1.0620000000000001</v>
      </c>
      <c r="N34" s="171">
        <v>1.0620000000000001</v>
      </c>
      <c r="O34" s="171">
        <v>1.048</v>
      </c>
      <c r="P34" s="171">
        <v>1.034</v>
      </c>
      <c r="Q34" s="171">
        <v>1.0620000000000001</v>
      </c>
      <c r="R34" s="171">
        <v>-1.0620000000000001</v>
      </c>
      <c r="S34" s="171">
        <v>-1.048</v>
      </c>
      <c r="T34" s="171">
        <v>-1.0620000000000001</v>
      </c>
      <c r="U34" s="171">
        <v>-1.0620000000000001</v>
      </c>
      <c r="V34" s="171">
        <v>-1.048</v>
      </c>
      <c r="W34" s="171">
        <v>-1.048</v>
      </c>
      <c r="X34" s="171">
        <v>-1.034</v>
      </c>
      <c r="Y34" s="171">
        <v>-1.034</v>
      </c>
      <c r="AQ34" s="3"/>
    </row>
    <row r="35" spans="5:43" x14ac:dyDescent="0.25">
      <c r="E35" s="75"/>
      <c r="F35" t="s">
        <v>192</v>
      </c>
      <c r="G35" t="s">
        <v>283</v>
      </c>
      <c r="H35" s="106"/>
      <c r="I35" s="106"/>
      <c r="J35" s="167">
        <v>1.0620000000000001</v>
      </c>
      <c r="K35" s="167">
        <v>1.0620000000000001</v>
      </c>
      <c r="L35" s="167">
        <v>1.0620000000000001</v>
      </c>
      <c r="M35" s="167">
        <v>1.0620000000000001</v>
      </c>
      <c r="N35" s="167">
        <v>1.0620000000000001</v>
      </c>
      <c r="O35" s="167">
        <v>1.048</v>
      </c>
      <c r="P35" s="167">
        <v>1.034</v>
      </c>
      <c r="Q35" s="167">
        <v>1.0620000000000001</v>
      </c>
      <c r="R35" s="167">
        <v>-1.0620000000000001</v>
      </c>
      <c r="S35" s="167">
        <v>-1.048</v>
      </c>
      <c r="T35" s="167">
        <v>-1.0620000000000001</v>
      </c>
      <c r="U35" s="167">
        <v>-1.0620000000000001</v>
      </c>
      <c r="V35" s="167">
        <v>-1.048</v>
      </c>
      <c r="W35" s="167">
        <v>-1.048</v>
      </c>
      <c r="X35" s="167">
        <v>-1.034</v>
      </c>
      <c r="Y35" s="167">
        <v>-1.034</v>
      </c>
      <c r="AQ35" s="3"/>
    </row>
    <row r="36" spans="5:43" x14ac:dyDescent="0.25">
      <c r="E36" s="75"/>
      <c r="F36" t="s">
        <v>193</v>
      </c>
      <c r="G36" t="s">
        <v>283</v>
      </c>
      <c r="H36" s="106"/>
      <c r="I36" s="106"/>
      <c r="J36" s="167">
        <v>1.0620000000000001</v>
      </c>
      <c r="K36" s="167">
        <v>1.0620000000000001</v>
      </c>
      <c r="L36" s="167">
        <v>1.0620000000000001</v>
      </c>
      <c r="M36" s="167">
        <v>1.0620000000000001</v>
      </c>
      <c r="N36" s="167">
        <v>1.0620000000000001</v>
      </c>
      <c r="O36" s="167">
        <v>1.048</v>
      </c>
      <c r="P36" s="167">
        <v>1.034</v>
      </c>
      <c r="Q36" s="167">
        <v>1.0620000000000001</v>
      </c>
      <c r="R36" s="167">
        <v>-1.0620000000000001</v>
      </c>
      <c r="S36" s="167">
        <v>-1.048</v>
      </c>
      <c r="T36" s="167">
        <v>-1.0620000000000001</v>
      </c>
      <c r="U36" s="167">
        <v>-1.0620000000000001</v>
      </c>
      <c r="V36" s="167">
        <v>-1.048</v>
      </c>
      <c r="W36" s="167">
        <v>-1.048</v>
      </c>
      <c r="X36" s="167">
        <v>-1.034</v>
      </c>
      <c r="Y36" s="167">
        <v>-1.034</v>
      </c>
      <c r="AQ36" s="3"/>
    </row>
    <row r="37" spans="5:43" x14ac:dyDescent="0.25">
      <c r="E37" s="75"/>
      <c r="F37" t="s">
        <v>194</v>
      </c>
      <c r="G37" t="s">
        <v>283</v>
      </c>
      <c r="H37" s="106"/>
      <c r="I37" s="106"/>
      <c r="J37" s="167">
        <v>1.0620000000000001</v>
      </c>
      <c r="K37" s="167">
        <v>1.0620000000000001</v>
      </c>
      <c r="L37" s="167">
        <v>1.0620000000000001</v>
      </c>
      <c r="M37" s="167">
        <v>1.0620000000000001</v>
      </c>
      <c r="N37" s="167">
        <v>1.0620000000000001</v>
      </c>
      <c r="O37" s="167">
        <v>1.048</v>
      </c>
      <c r="P37" s="167">
        <v>1.034</v>
      </c>
      <c r="Q37" s="167">
        <v>1.0620000000000001</v>
      </c>
      <c r="R37" s="167">
        <v>-1.0620000000000001</v>
      </c>
      <c r="S37" s="167">
        <v>-1.048</v>
      </c>
      <c r="T37" s="167">
        <v>-1.0620000000000001</v>
      </c>
      <c r="U37" s="167">
        <v>-1.0620000000000001</v>
      </c>
      <c r="V37" s="167">
        <v>-1.048</v>
      </c>
      <c r="W37" s="167">
        <v>-1.048</v>
      </c>
      <c r="X37" s="167">
        <v>-1.034</v>
      </c>
      <c r="Y37" s="167">
        <v>-1.034</v>
      </c>
      <c r="AQ37" s="3"/>
    </row>
    <row r="38" spans="5:43" x14ac:dyDescent="0.25">
      <c r="E38" s="75"/>
      <c r="F38" t="s">
        <v>195</v>
      </c>
      <c r="G38" t="s">
        <v>283</v>
      </c>
      <c r="H38" s="106"/>
      <c r="I38" s="106"/>
      <c r="J38" s="167">
        <v>1.0620000000000001</v>
      </c>
      <c r="K38" s="167">
        <v>1.0620000000000001</v>
      </c>
      <c r="L38" s="167">
        <v>1.0620000000000001</v>
      </c>
      <c r="M38" s="167">
        <v>1.0620000000000001</v>
      </c>
      <c r="N38" s="167">
        <v>1.0620000000000001</v>
      </c>
      <c r="O38" s="167">
        <v>1.048</v>
      </c>
      <c r="P38" s="167">
        <v>1.034</v>
      </c>
      <c r="Q38" s="167">
        <v>1.0620000000000001</v>
      </c>
      <c r="R38" s="167">
        <v>-1.0620000000000001</v>
      </c>
      <c r="S38" s="167">
        <v>-1.048</v>
      </c>
      <c r="T38" s="167">
        <v>-1.0620000000000001</v>
      </c>
      <c r="U38" s="167">
        <v>-1.0620000000000001</v>
      </c>
      <c r="V38" s="167">
        <v>-1.048</v>
      </c>
      <c r="W38" s="167">
        <v>-1.048</v>
      </c>
      <c r="X38" s="167">
        <v>-1.034</v>
      </c>
      <c r="Y38" s="167">
        <v>-1.034</v>
      </c>
      <c r="AQ38" s="3"/>
    </row>
    <row r="39" spans="5:43" x14ac:dyDescent="0.25">
      <c r="E39" s="75"/>
      <c r="F39" t="s">
        <v>196</v>
      </c>
      <c r="G39" t="s">
        <v>283</v>
      </c>
      <c r="H39" s="106"/>
      <c r="I39" s="106"/>
      <c r="J39" s="167">
        <v>0</v>
      </c>
      <c r="K39" s="167">
        <v>0</v>
      </c>
      <c r="L39" s="167">
        <v>0</v>
      </c>
      <c r="M39" s="167">
        <v>0</v>
      </c>
      <c r="N39" s="167">
        <v>0</v>
      </c>
      <c r="O39" s="167">
        <v>0</v>
      </c>
      <c r="P39" s="167">
        <v>0</v>
      </c>
      <c r="Q39" s="167">
        <v>0</v>
      </c>
      <c r="R39" s="167">
        <v>0</v>
      </c>
      <c r="S39" s="167">
        <v>0</v>
      </c>
      <c r="T39" s="167">
        <v>0</v>
      </c>
      <c r="U39" s="167">
        <v>0</v>
      </c>
      <c r="V39" s="167">
        <v>0</v>
      </c>
      <c r="W39" s="167">
        <v>0</v>
      </c>
      <c r="X39" s="167">
        <v>0</v>
      </c>
      <c r="Y39" s="167">
        <v>0</v>
      </c>
      <c r="AQ39" s="3"/>
    </row>
    <row r="40" spans="5:43" x14ac:dyDescent="0.25">
      <c r="E40" s="75"/>
      <c r="F40" t="s">
        <v>197</v>
      </c>
      <c r="G40" t="s">
        <v>283</v>
      </c>
      <c r="H40" s="106"/>
      <c r="I40" s="106"/>
      <c r="J40" s="167">
        <v>1.0620000000000001</v>
      </c>
      <c r="K40" s="167">
        <v>1.0620000000000001</v>
      </c>
      <c r="L40" s="167">
        <v>1.0620000000000001</v>
      </c>
      <c r="M40" s="167">
        <v>1.0620000000000001</v>
      </c>
      <c r="N40" s="167">
        <v>1.0620000000000001</v>
      </c>
      <c r="O40" s="167">
        <v>1.048</v>
      </c>
      <c r="P40" s="167">
        <v>1.034</v>
      </c>
      <c r="Q40" s="167">
        <v>1.0620000000000001</v>
      </c>
      <c r="R40" s="167">
        <v>-1.0620000000000001</v>
      </c>
      <c r="S40" s="167">
        <v>-1.048</v>
      </c>
      <c r="T40" s="167">
        <v>-1.0620000000000001</v>
      </c>
      <c r="U40" s="167">
        <v>-1.0620000000000001</v>
      </c>
      <c r="V40" s="167">
        <v>-1.048</v>
      </c>
      <c r="W40" s="167">
        <v>-1.048</v>
      </c>
      <c r="X40" s="167">
        <v>0</v>
      </c>
      <c r="Y40" s="167">
        <v>0</v>
      </c>
      <c r="AQ40" s="3"/>
    </row>
    <row r="41" spans="5:43" x14ac:dyDescent="0.25">
      <c r="E41" s="75"/>
      <c r="F41" t="s">
        <v>198</v>
      </c>
      <c r="G41" t="s">
        <v>283</v>
      </c>
      <c r="H41" s="106"/>
      <c r="I41" s="106"/>
      <c r="J41" s="167">
        <v>1.0620000000000001</v>
      </c>
      <c r="K41" s="167">
        <v>1.0620000000000001</v>
      </c>
      <c r="L41" s="167">
        <v>1.0620000000000001</v>
      </c>
      <c r="M41" s="167">
        <v>1.0620000000000001</v>
      </c>
      <c r="N41" s="167">
        <v>1.0620000000000001</v>
      </c>
      <c r="O41" s="167">
        <v>1.048</v>
      </c>
      <c r="P41" s="167">
        <v>0</v>
      </c>
      <c r="Q41" s="167">
        <v>1.0620000000000001</v>
      </c>
      <c r="R41" s="167">
        <v>-1.0620000000000001</v>
      </c>
      <c r="S41" s="167">
        <v>0</v>
      </c>
      <c r="T41" s="167">
        <v>-1.0620000000000001</v>
      </c>
      <c r="U41" s="167">
        <v>-1.0620000000000001</v>
      </c>
      <c r="V41" s="167">
        <v>0</v>
      </c>
      <c r="W41" s="167">
        <v>0</v>
      </c>
      <c r="X41" s="167">
        <v>0</v>
      </c>
      <c r="Y41" s="167">
        <v>0</v>
      </c>
      <c r="AQ41" s="3"/>
    </row>
    <row r="42" spans="5:43" x14ac:dyDescent="0.25">
      <c r="E42" s="75"/>
      <c r="F42" s="96" t="s">
        <v>199</v>
      </c>
      <c r="G42" s="96" t="s">
        <v>283</v>
      </c>
      <c r="H42" s="196"/>
      <c r="I42" s="196"/>
      <c r="J42" s="172">
        <v>1.0620000000000001</v>
      </c>
      <c r="K42" s="172">
        <v>1.0620000000000001</v>
      </c>
      <c r="L42" s="172">
        <v>1.0620000000000001</v>
      </c>
      <c r="M42" s="172">
        <v>1.0620000000000001</v>
      </c>
      <c r="N42" s="172">
        <v>1.0620000000000001</v>
      </c>
      <c r="O42" s="172">
        <v>0</v>
      </c>
      <c r="P42" s="172">
        <v>0</v>
      </c>
      <c r="Q42" s="172">
        <v>1.0620000000000001</v>
      </c>
      <c r="R42" s="172">
        <v>0</v>
      </c>
      <c r="S42" s="172">
        <v>0</v>
      </c>
      <c r="T42" s="172">
        <v>0</v>
      </c>
      <c r="U42" s="172">
        <v>0</v>
      </c>
      <c r="V42" s="172">
        <v>0</v>
      </c>
      <c r="W42" s="172">
        <v>0</v>
      </c>
      <c r="X42" s="172">
        <v>0</v>
      </c>
      <c r="Y42" s="172">
        <v>0</v>
      </c>
      <c r="AQ42" s="3"/>
    </row>
    <row r="43" spans="5:43" x14ac:dyDescent="0.25">
      <c r="E43" s="75"/>
      <c r="H43" s="106"/>
      <c r="I43" s="106"/>
      <c r="J43" s="106"/>
      <c r="K43" s="106"/>
      <c r="L43" s="106"/>
      <c r="M43" s="106"/>
      <c r="N43" s="106"/>
      <c r="O43" s="106"/>
      <c r="P43" s="106"/>
      <c r="Q43" s="106"/>
      <c r="R43" s="106"/>
      <c r="S43" s="106"/>
      <c r="T43" s="106"/>
      <c r="U43" s="106"/>
      <c r="V43" s="106"/>
      <c r="W43" s="106"/>
      <c r="X43" s="106"/>
      <c r="Y43" s="106"/>
      <c r="AQ43" s="3"/>
    </row>
    <row r="44" spans="5:43" x14ac:dyDescent="0.25">
      <c r="E44" s="75" t="s">
        <v>457</v>
      </c>
      <c r="H44" s="106"/>
      <c r="I44" s="106"/>
      <c r="J44" s="106"/>
      <c r="K44" s="106"/>
      <c r="L44" s="106"/>
      <c r="M44" s="106"/>
      <c r="N44" s="106"/>
      <c r="O44" s="106"/>
      <c r="P44" s="106"/>
      <c r="Q44" s="106"/>
      <c r="R44" s="106"/>
      <c r="S44" s="106"/>
      <c r="T44" s="106"/>
      <c r="U44" s="106"/>
      <c r="V44" s="106"/>
      <c r="W44" s="106"/>
      <c r="X44" s="106"/>
      <c r="Y44" s="106"/>
      <c r="AQ44" s="3"/>
    </row>
    <row r="45" spans="5:43" x14ac:dyDescent="0.25">
      <c r="E45" s="75"/>
      <c r="F45" s="95" t="s">
        <v>191</v>
      </c>
      <c r="G45" s="95" t="s">
        <v>283</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25">
      <c r="E46" s="75"/>
      <c r="F46" t="s">
        <v>192</v>
      </c>
      <c r="G46" t="s">
        <v>283</v>
      </c>
      <c r="H46" s="167">
        <f>'Load &amp; loss characteristics'!L29</f>
        <v>1.0009999999999999</v>
      </c>
      <c r="I46" s="106"/>
      <c r="J46" s="106"/>
      <c r="K46" s="106"/>
      <c r="L46" s="106"/>
      <c r="M46" s="106"/>
      <c r="N46" s="106"/>
      <c r="O46" s="106"/>
      <c r="P46" s="106"/>
      <c r="Q46" s="106"/>
      <c r="R46" s="106"/>
      <c r="S46" s="106"/>
      <c r="T46" s="106"/>
      <c r="U46" s="106"/>
      <c r="V46" s="106"/>
      <c r="W46" s="106"/>
      <c r="X46" s="106"/>
      <c r="Y46" s="106"/>
      <c r="AQ46" s="3"/>
    </row>
    <row r="47" spans="5:43" x14ac:dyDescent="0.25">
      <c r="E47" s="75"/>
      <c r="F47" t="s">
        <v>193</v>
      </c>
      <c r="G47" t="s">
        <v>283</v>
      </c>
      <c r="H47" s="167">
        <f>'Load &amp; loss characteristics'!M29</f>
        <v>1.0049999999999999</v>
      </c>
      <c r="I47" s="106"/>
      <c r="J47" s="106"/>
      <c r="K47" s="106"/>
      <c r="L47" s="106"/>
      <c r="M47" s="106"/>
      <c r="N47" s="106"/>
      <c r="O47" s="106"/>
      <c r="P47" s="106"/>
      <c r="Q47" s="106"/>
      <c r="R47" s="106"/>
      <c r="S47" s="106"/>
      <c r="T47" s="106"/>
      <c r="U47" s="106"/>
      <c r="V47" s="106"/>
      <c r="W47" s="106"/>
      <c r="X47" s="106"/>
      <c r="Y47" s="106"/>
      <c r="AQ47" s="3"/>
    </row>
    <row r="48" spans="5:43" x14ac:dyDescent="0.25">
      <c r="E48" s="75"/>
      <c r="F48" t="s">
        <v>194</v>
      </c>
      <c r="G48" t="s">
        <v>283</v>
      </c>
      <c r="H48" s="167">
        <f>'Load &amp; loss characteristics'!N29</f>
        <v>1.012</v>
      </c>
      <c r="I48" s="106"/>
      <c r="J48" s="106"/>
      <c r="K48" s="106"/>
      <c r="L48" s="106"/>
      <c r="M48" s="106"/>
      <c r="N48" s="106"/>
      <c r="O48" s="106"/>
      <c r="P48" s="106"/>
      <c r="Q48" s="106"/>
      <c r="R48" s="106"/>
      <c r="S48" s="106"/>
      <c r="T48" s="106"/>
      <c r="U48" s="106"/>
      <c r="V48" s="106"/>
      <c r="W48" s="106"/>
      <c r="X48" s="106"/>
      <c r="Y48" s="106"/>
      <c r="AQ48" s="3"/>
    </row>
    <row r="49" spans="2:43" x14ac:dyDescent="0.25">
      <c r="E49" s="75"/>
      <c r="F49" t="s">
        <v>195</v>
      </c>
      <c r="G49" t="s">
        <v>283</v>
      </c>
      <c r="H49" s="167">
        <f>'Load &amp; loss characteristics'!O29</f>
        <v>1.018</v>
      </c>
      <c r="I49" s="106"/>
      <c r="J49" s="106"/>
      <c r="K49" s="106"/>
      <c r="L49" s="106"/>
      <c r="M49" s="106"/>
      <c r="N49" s="106"/>
      <c r="O49" s="106"/>
      <c r="P49" s="106"/>
      <c r="Q49" s="106"/>
      <c r="R49" s="106"/>
      <c r="S49" s="106"/>
      <c r="T49" s="106"/>
      <c r="U49" s="106"/>
      <c r="V49" s="106"/>
      <c r="W49" s="106"/>
      <c r="X49" s="106"/>
      <c r="Y49" s="106"/>
      <c r="AQ49" s="3"/>
    </row>
    <row r="50" spans="2:43" x14ac:dyDescent="0.25">
      <c r="E50" s="75"/>
      <c r="F50" t="s">
        <v>196</v>
      </c>
      <c r="G50" t="s">
        <v>283</v>
      </c>
      <c r="H50" s="167">
        <f>'Load &amp; loss characteristics'!P29</f>
        <v>1.018</v>
      </c>
      <c r="I50" s="106"/>
      <c r="J50" s="106"/>
      <c r="K50" s="106"/>
      <c r="L50" s="106"/>
      <c r="M50" s="106"/>
      <c r="N50" s="106"/>
      <c r="O50" s="106"/>
      <c r="P50" s="106"/>
      <c r="Q50" s="106"/>
      <c r="R50" s="106"/>
      <c r="S50" s="106"/>
      <c r="T50" s="106"/>
      <c r="U50" s="106"/>
      <c r="V50" s="106"/>
      <c r="W50" s="106"/>
      <c r="X50" s="106"/>
      <c r="Y50" s="106"/>
      <c r="AQ50" s="3"/>
    </row>
    <row r="51" spans="2:43" x14ac:dyDescent="0.25">
      <c r="E51" s="75"/>
      <c r="F51" t="s">
        <v>197</v>
      </c>
      <c r="G51" t="s">
        <v>283</v>
      </c>
      <c r="H51" s="167">
        <f>'Load &amp; loss characteristics'!Q29</f>
        <v>1.034</v>
      </c>
      <c r="I51" s="106"/>
      <c r="J51" s="106"/>
      <c r="K51" s="106"/>
      <c r="L51" s="106"/>
      <c r="M51" s="106"/>
      <c r="N51" s="106"/>
      <c r="O51" s="106"/>
      <c r="P51" s="106"/>
      <c r="Q51" s="106"/>
      <c r="R51" s="106"/>
      <c r="S51" s="106"/>
      <c r="T51" s="106"/>
      <c r="U51" s="106"/>
      <c r="V51" s="106"/>
      <c r="W51" s="106"/>
      <c r="X51" s="106"/>
      <c r="Y51" s="106"/>
      <c r="AQ51" s="3"/>
    </row>
    <row r="52" spans="2:43" x14ac:dyDescent="0.25">
      <c r="E52" s="75"/>
      <c r="F52" t="s">
        <v>198</v>
      </c>
      <c r="G52" t="s">
        <v>283</v>
      </c>
      <c r="H52" s="167">
        <f>'Load &amp; loss characteristics'!R29</f>
        <v>1.048</v>
      </c>
      <c r="I52" s="106"/>
      <c r="J52" s="106"/>
      <c r="K52" s="106"/>
      <c r="L52" s="106"/>
      <c r="M52" s="106"/>
      <c r="N52" s="106"/>
      <c r="O52" s="106"/>
      <c r="P52" s="106"/>
      <c r="Q52" s="106"/>
      <c r="R52" s="106"/>
      <c r="S52" s="106"/>
      <c r="T52" s="106"/>
      <c r="U52" s="106"/>
      <c r="V52" s="106"/>
      <c r="W52" s="106"/>
      <c r="X52" s="106"/>
      <c r="Y52" s="106"/>
      <c r="AQ52" s="3"/>
    </row>
    <row r="53" spans="2:43" x14ac:dyDescent="0.25">
      <c r="E53" s="75"/>
      <c r="F53" s="96" t="s">
        <v>199</v>
      </c>
      <c r="G53" s="96" t="s">
        <v>283</v>
      </c>
      <c r="H53" s="172">
        <f>'Load &amp; loss characteristics'!S29</f>
        <v>1.0620000000000001</v>
      </c>
      <c r="I53" s="106"/>
      <c r="J53" s="106"/>
      <c r="K53" s="106"/>
      <c r="L53" s="106"/>
      <c r="M53" s="106"/>
      <c r="N53" s="106"/>
      <c r="O53" s="106"/>
      <c r="P53" s="106"/>
      <c r="Q53" s="106"/>
      <c r="R53" s="106"/>
      <c r="S53" s="106"/>
      <c r="T53" s="106"/>
      <c r="U53" s="106"/>
      <c r="V53" s="106"/>
      <c r="W53" s="106"/>
      <c r="X53" s="106"/>
      <c r="Y53" s="106"/>
      <c r="AQ53" s="3"/>
    </row>
    <row r="54" spans="2:43" x14ac:dyDescent="0.25">
      <c r="E54" s="75"/>
      <c r="H54" s="106"/>
      <c r="I54" s="106"/>
      <c r="J54" s="106"/>
      <c r="K54" s="106"/>
      <c r="L54" s="106"/>
      <c r="M54" s="106"/>
      <c r="N54" s="106"/>
      <c r="O54" s="106"/>
      <c r="P54" s="106"/>
      <c r="Q54" s="106"/>
      <c r="R54" s="106"/>
      <c r="S54" s="106"/>
      <c r="T54" s="106"/>
      <c r="U54" s="106"/>
      <c r="V54" s="106"/>
      <c r="W54" s="106"/>
      <c r="X54" s="106"/>
      <c r="Y54" s="106"/>
      <c r="AQ54" s="3"/>
    </row>
    <row r="55" spans="2:43" x14ac:dyDescent="0.25">
      <c r="E55" s="75" t="s">
        <v>458</v>
      </c>
      <c r="H55" s="106"/>
      <c r="I55" s="106" t="s">
        <v>154</v>
      </c>
      <c r="J55" s="106"/>
      <c r="K55" s="106"/>
      <c r="L55" s="106"/>
      <c r="M55" s="106"/>
      <c r="N55" s="106"/>
      <c r="O55" s="106"/>
      <c r="P55" s="106"/>
      <c r="Q55" s="106"/>
      <c r="R55" s="106"/>
      <c r="S55" s="106"/>
      <c r="T55" s="106"/>
      <c r="U55" s="106"/>
      <c r="V55" s="106"/>
      <c r="W55" s="106"/>
      <c r="X55" s="106"/>
      <c r="Y55" s="106"/>
      <c r="AA55" t="s">
        <v>459</v>
      </c>
    </row>
    <row r="56" spans="2:43" x14ac:dyDescent="0.25">
      <c r="E56" s="75"/>
      <c r="F56" s="95" t="s">
        <v>156</v>
      </c>
      <c r="G56" s="95" t="s">
        <v>207</v>
      </c>
      <c r="H56" s="223"/>
      <c r="I56" s="223"/>
      <c r="J56" s="171">
        <f>'Volume adjustments'!J238</f>
        <v>422507.98433825071</v>
      </c>
      <c r="K56" s="171">
        <f>'Volume adjustments'!K238</f>
        <v>42.949716657044405</v>
      </c>
      <c r="L56" s="171">
        <f>'Volume adjustments'!L238</f>
        <v>110638.64265511218</v>
      </c>
      <c r="M56" s="171">
        <f>'Volume adjustments'!M238</f>
        <v>25.765928672816155</v>
      </c>
      <c r="N56" s="171">
        <f>'Volume adjustments'!N238</f>
        <v>88258.621320989012</v>
      </c>
      <c r="O56" s="171">
        <f>'Volume adjustments'!O238</f>
        <v>42682.126821808786</v>
      </c>
      <c r="P56" s="171">
        <f>'Volume adjustments'!P238</f>
        <v>127879.26927057881</v>
      </c>
      <c r="Q56" s="171">
        <f>'Volume adjustments'!Q238</f>
        <v>3122.9507279534723</v>
      </c>
      <c r="R56" s="171">
        <f>'Volume adjustments'!R238</f>
        <v>8806.6823305226171</v>
      </c>
      <c r="S56" s="171">
        <f>'Volume adjustments'!S238</f>
        <v>1036.7343209799037</v>
      </c>
      <c r="T56" s="171">
        <f>'Volume adjustments'!T238</f>
        <v>4624.7476230209113</v>
      </c>
      <c r="U56" s="171">
        <f>'Volume adjustments'!U238</f>
        <v>0</v>
      </c>
      <c r="V56" s="171">
        <f>'Volume adjustments'!V238</f>
        <v>0</v>
      </c>
      <c r="W56" s="171">
        <f>'Volume adjustments'!W238</f>
        <v>0</v>
      </c>
      <c r="X56" s="171">
        <f>'Volume adjustments'!X238</f>
        <v>53814.546731455142</v>
      </c>
      <c r="Y56" s="171">
        <f>'Volume adjustments'!Y238</f>
        <v>0</v>
      </c>
      <c r="AQ56" s="3"/>
    </row>
    <row r="57" spans="2:43" x14ac:dyDescent="0.25">
      <c r="E57" s="75"/>
      <c r="F57" t="s">
        <v>157</v>
      </c>
      <c r="G57" t="s">
        <v>207</v>
      </c>
      <c r="H57" s="106"/>
      <c r="I57" s="106"/>
      <c r="J57" s="167">
        <f>'Volume adjustments'!J249</f>
        <v>2266046.5649797935</v>
      </c>
      <c r="K57" s="167">
        <f>'Volume adjustments'!K249</f>
        <v>3119.337000290659</v>
      </c>
      <c r="L57" s="167">
        <f>'Volume adjustments'!L249</f>
        <v>929915.07966146199</v>
      </c>
      <c r="M57" s="167">
        <f>'Volume adjustments'!M249</f>
        <v>1609.0521821484306</v>
      </c>
      <c r="N57" s="167">
        <f>'Volume adjustments'!N249</f>
        <v>636021.3375294531</v>
      </c>
      <c r="O57" s="167">
        <f>'Volume adjustments'!O249</f>
        <v>307685.37731866277</v>
      </c>
      <c r="P57" s="167">
        <f>'Volume adjustments'!P249</f>
        <v>899776.86821160768</v>
      </c>
      <c r="Q57" s="167">
        <f>'Volume adjustments'!Q249</f>
        <v>32473.298761415626</v>
      </c>
      <c r="R57" s="167">
        <f>'Volume adjustments'!R249</f>
        <v>80667.23392856303</v>
      </c>
      <c r="S57" s="167">
        <f>'Volume adjustments'!S249</f>
        <v>8528.2795750860623</v>
      </c>
      <c r="T57" s="167">
        <f>'Volume adjustments'!T249</f>
        <v>38124.074375305863</v>
      </c>
      <c r="U57" s="167">
        <f>'Volume adjustments'!U249</f>
        <v>0</v>
      </c>
      <c r="V57" s="167">
        <f>'Volume adjustments'!V249</f>
        <v>0</v>
      </c>
      <c r="W57" s="167">
        <f>'Volume adjustments'!W249</f>
        <v>0</v>
      </c>
      <c r="X57" s="167">
        <f>'Volume adjustments'!X249</f>
        <v>302507.33246507391</v>
      </c>
      <c r="Y57" s="167">
        <f>'Volume adjustments'!Y249</f>
        <v>0</v>
      </c>
      <c r="AQ57" s="3"/>
    </row>
    <row r="58" spans="2:43" x14ac:dyDescent="0.25">
      <c r="E58" s="75"/>
      <c r="F58" s="96" t="s">
        <v>158</v>
      </c>
      <c r="G58" s="96" t="s">
        <v>207</v>
      </c>
      <c r="H58" s="196"/>
      <c r="I58" s="196"/>
      <c r="J58" s="172">
        <f>'Volume adjustments'!J260</f>
        <v>2587588.3037086395</v>
      </c>
      <c r="K58" s="172">
        <f>'Volume adjustments'!K260</f>
        <v>24081.62170271924</v>
      </c>
      <c r="L58" s="172">
        <f>'Volume adjustments'!L260</f>
        <v>769083.79099687468</v>
      </c>
      <c r="M58" s="172">
        <f>'Volume adjustments'!M260</f>
        <v>11325.873677164167</v>
      </c>
      <c r="N58" s="172">
        <f>'Volume adjustments'!N260</f>
        <v>566933.93485902413</v>
      </c>
      <c r="O58" s="172">
        <f>'Volume adjustments'!O260</f>
        <v>305586.29527636897</v>
      </c>
      <c r="P58" s="172">
        <f>'Volume adjustments'!P260</f>
        <v>1026639.0781665677</v>
      </c>
      <c r="Q58" s="172">
        <f>'Volume adjustments'!Q260</f>
        <v>72099.552886005127</v>
      </c>
      <c r="R58" s="172">
        <f>'Volume adjustments'!R260</f>
        <v>35020.601850964522</v>
      </c>
      <c r="S58" s="172">
        <f>'Volume adjustments'!S260</f>
        <v>8832.4293538785987</v>
      </c>
      <c r="T58" s="172">
        <f>'Volume adjustments'!T260</f>
        <v>44888.264832121997</v>
      </c>
      <c r="U58" s="172">
        <f>'Volume adjustments'!U260</f>
        <v>0</v>
      </c>
      <c r="V58" s="172">
        <f>'Volume adjustments'!V260</f>
        <v>0</v>
      </c>
      <c r="W58" s="172">
        <f>'Volume adjustments'!W260</f>
        <v>0</v>
      </c>
      <c r="X58" s="172">
        <f>'Volume adjustments'!X260</f>
        <v>259913.71528039253</v>
      </c>
      <c r="Y58" s="172">
        <f>'Volume adjustments'!Y260</f>
        <v>0</v>
      </c>
      <c r="AQ58" s="3"/>
    </row>
    <row r="59" spans="2:43" x14ac:dyDescent="0.25">
      <c r="E59" s="75"/>
      <c r="F59" s="145" t="s">
        <v>460</v>
      </c>
      <c r="G59" s="145" t="s">
        <v>207</v>
      </c>
      <c r="H59" s="228"/>
      <c r="I59" s="228"/>
      <c r="J59" s="228">
        <f t="shared" ref="J59:Y59" si="0">SUM(J56:J58)</f>
        <v>5276142.8530266844</v>
      </c>
      <c r="K59" s="228">
        <f t="shared" si="0"/>
        <v>27243.908419666943</v>
      </c>
      <c r="L59" s="228">
        <f t="shared" si="0"/>
        <v>1809637.513313449</v>
      </c>
      <c r="M59" s="228">
        <f t="shared" si="0"/>
        <v>12960.691787985414</v>
      </c>
      <c r="N59" s="228">
        <f t="shared" si="0"/>
        <v>1291213.8937094663</v>
      </c>
      <c r="O59" s="228">
        <f t="shared" si="0"/>
        <v>655953.79941684054</v>
      </c>
      <c r="P59" s="228">
        <f t="shared" si="0"/>
        <v>2054295.2156487543</v>
      </c>
      <c r="Q59" s="228">
        <f t="shared" si="0"/>
        <v>107695.80237537422</v>
      </c>
      <c r="R59" s="228">
        <f t="shared" si="0"/>
        <v>124494.51811005016</v>
      </c>
      <c r="S59" s="228">
        <f t="shared" si="0"/>
        <v>18397.443249944565</v>
      </c>
      <c r="T59" s="228">
        <f t="shared" si="0"/>
        <v>87637.086830448767</v>
      </c>
      <c r="U59" s="228">
        <f t="shared" si="0"/>
        <v>0</v>
      </c>
      <c r="V59" s="228">
        <f t="shared" si="0"/>
        <v>0</v>
      </c>
      <c r="W59" s="228">
        <f t="shared" si="0"/>
        <v>0</v>
      </c>
      <c r="X59" s="228">
        <f t="shared" si="0"/>
        <v>616235.5944769216</v>
      </c>
      <c r="Y59" s="228">
        <f t="shared" si="0"/>
        <v>0</v>
      </c>
      <c r="AQ59" s="3"/>
    </row>
    <row r="60" spans="2:43" x14ac:dyDescent="0.25">
      <c r="D60" s="75"/>
      <c r="J60" s="97"/>
      <c r="L60" s="97"/>
      <c r="AQ60" s="3"/>
    </row>
    <row r="61" spans="2:43" x14ac:dyDescent="0.25">
      <c r="C61" s="75"/>
      <c r="E61" s="94" t="s">
        <v>241</v>
      </c>
      <c r="F61" s="94"/>
      <c r="G61" s="94" t="s">
        <v>167</v>
      </c>
      <c r="I61" t="s">
        <v>154</v>
      </c>
      <c r="J61" s="155">
        <f>'Inputs by customer type'!J15</f>
        <v>0.43118428528627506</v>
      </c>
      <c r="K61" s="155">
        <f>'Inputs by customer type'!K15</f>
        <v>0.13841316624389913</v>
      </c>
      <c r="L61" s="155">
        <f>'Inputs by customer type'!L15</f>
        <v>0.44832007498284149</v>
      </c>
      <c r="M61" s="155">
        <f>'Inputs by customer type'!M15</f>
        <v>0.16499245482800254</v>
      </c>
      <c r="N61" s="155">
        <f>'Inputs by customer type'!N15</f>
        <v>0.55545921418146904</v>
      </c>
      <c r="O61" s="155">
        <f>'Inputs by customer type'!O15</f>
        <v>0.60838244554198517</v>
      </c>
      <c r="P61" s="155">
        <f>'Inputs by customer type'!P15</f>
        <v>0.73727707430579059</v>
      </c>
      <c r="Q61" s="155">
        <f>'Inputs by customer type'!Q15</f>
        <v>0.49990620990783308</v>
      </c>
      <c r="R61" s="103"/>
      <c r="S61" s="103"/>
      <c r="T61" s="103"/>
      <c r="U61" s="103"/>
      <c r="V61" s="103"/>
      <c r="W61" s="103"/>
      <c r="X61" s="103"/>
      <c r="Y61" s="103"/>
      <c r="AA61" t="s">
        <v>461</v>
      </c>
      <c r="AQ61" s="3"/>
    </row>
    <row r="63" spans="2:43" x14ac:dyDescent="0.25">
      <c r="B63" s="85" t="s">
        <v>462</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25">
      <c r="C64" s="75"/>
      <c r="J64" s="97"/>
      <c r="L64" s="97"/>
      <c r="AQ64" s="3"/>
    </row>
    <row r="65" spans="3:43" x14ac:dyDescent="0.25">
      <c r="C65" s="86" t="s">
        <v>463</v>
      </c>
      <c r="J65" s="97"/>
      <c r="L65" s="97"/>
      <c r="AQ65" s="3"/>
    </row>
    <row r="66" spans="3:43" x14ac:dyDescent="0.25">
      <c r="C66" s="75"/>
      <c r="J66" s="97"/>
      <c r="L66" s="97"/>
      <c r="AQ66" s="3"/>
    </row>
    <row r="67" spans="3:43" x14ac:dyDescent="0.25">
      <c r="C67" s="93" t="str">
        <f ca="1">INDEX('Version control'!$H$41:$H$64,MATCH($A$1,'Version control'!$F$41:$F$64,0),1)&amp;"-B: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25">
      <c r="H68" s="97"/>
      <c r="J68" s="97"/>
      <c r="K68" s="97"/>
      <c r="L68" s="97"/>
      <c r="M68" s="97"/>
      <c r="N68" s="97"/>
      <c r="O68" s="97"/>
      <c r="P68" s="97"/>
      <c r="Q68" s="97"/>
      <c r="R68" s="97"/>
      <c r="S68" s="97"/>
      <c r="T68" s="97"/>
      <c r="U68" s="97"/>
      <c r="V68" s="97"/>
      <c r="W68" s="97"/>
      <c r="X68" s="97"/>
      <c r="Y68" s="97"/>
    </row>
    <row r="69" spans="3:43" x14ac:dyDescent="0.25">
      <c r="E69" s="75" t="s">
        <v>464</v>
      </c>
      <c r="J69" s="97"/>
      <c r="L69" s="97"/>
      <c r="AQ69" s="3"/>
    </row>
    <row r="70" spans="3:43" x14ac:dyDescent="0.25">
      <c r="E70" s="75"/>
      <c r="F70" s="95" t="s">
        <v>191</v>
      </c>
      <c r="G70" s="95" t="s">
        <v>283</v>
      </c>
      <c r="H70" s="95"/>
      <c r="I70" s="95"/>
      <c r="J70" s="171">
        <f>'Pseudo-load coefficients'!J272</f>
        <v>26.329347999920454</v>
      </c>
      <c r="K70" s="171">
        <f>'Pseudo-load coefficients'!K272</f>
        <v>26.329347999920454</v>
      </c>
      <c r="L70" s="171">
        <f>'Pseudo-load coefficients'!L272</f>
        <v>28.007133956844726</v>
      </c>
      <c r="M70" s="171">
        <f>'Pseudo-load coefficients'!M272</f>
        <v>28.007133956844726</v>
      </c>
      <c r="N70" s="171">
        <f>'Pseudo-load coefficients'!N272</f>
        <v>21.298270198975541</v>
      </c>
      <c r="O70" s="171">
        <f>'Pseudo-load coefficients'!O272</f>
        <v>19.932694191927393</v>
      </c>
      <c r="P70" s="171">
        <f>'Pseudo-load coefficients'!P272</f>
        <v>18.513563330887099</v>
      </c>
      <c r="Q70" s="171">
        <f>'Pseudo-load coefficients'!Q272</f>
        <v>62.497657473038942</v>
      </c>
      <c r="R70" s="171">
        <f>'Pseudo-load coefficients'!R272</f>
        <v>16.781609195402297</v>
      </c>
      <c r="S70" s="171">
        <f>'Pseudo-load coefficients'!S272</f>
        <v>16.781609195402297</v>
      </c>
      <c r="T70" s="171">
        <f>'Pseudo-load coefficients'!T272</f>
        <v>16.781609195402297</v>
      </c>
      <c r="U70" s="171">
        <f>'Pseudo-load coefficients'!U272</f>
        <v>16.781609195402297</v>
      </c>
      <c r="V70" s="171">
        <f>'Pseudo-load coefficients'!V272</f>
        <v>16.781609195402297</v>
      </c>
      <c r="W70" s="171">
        <f>'Pseudo-load coefficients'!W272</f>
        <v>16.781609195402297</v>
      </c>
      <c r="X70" s="171">
        <f>'Pseudo-load coefficients'!X272</f>
        <v>16.781609195402297</v>
      </c>
      <c r="Y70" s="171">
        <f>'Pseudo-load coefficients'!Y272</f>
        <v>16.781609195402297</v>
      </c>
      <c r="AQ70" s="3"/>
    </row>
    <row r="71" spans="3:43" x14ac:dyDescent="0.25">
      <c r="E71" s="75"/>
      <c r="F71" t="s">
        <v>192</v>
      </c>
      <c r="G71" t="s">
        <v>283</v>
      </c>
      <c r="J71" s="167">
        <f>'Pseudo-load coefficients'!J273</f>
        <v>20.892942740201164</v>
      </c>
      <c r="K71" s="167">
        <f>'Pseudo-load coefficients'!K273</f>
        <v>20.892942740201164</v>
      </c>
      <c r="L71" s="167">
        <f>'Pseudo-load coefficients'!L273</f>
        <v>22.224304455973172</v>
      </c>
      <c r="M71" s="167">
        <f>'Pseudo-load coefficients'!M273</f>
        <v>22.224304455973172</v>
      </c>
      <c r="N71" s="167">
        <f>'Pseudo-load coefficients'!N273</f>
        <v>16.900666880694242</v>
      </c>
      <c r="O71" s="167">
        <f>'Pseudo-load coefficients'!O273</f>
        <v>15.817050935372098</v>
      </c>
      <c r="P71" s="167">
        <f>'Pseudo-load coefficients'!P273</f>
        <v>14.690937982607116</v>
      </c>
      <c r="Q71" s="167">
        <f>'Pseudo-load coefficients'!Q273</f>
        <v>46.690052885216581</v>
      </c>
      <c r="R71" s="167">
        <f>'Pseudo-load coefficients'!R273</f>
        <v>13.3165925722518</v>
      </c>
      <c r="S71" s="167">
        <f>'Pseudo-load coefficients'!S273</f>
        <v>13.3165925722518</v>
      </c>
      <c r="T71" s="167">
        <f>'Pseudo-load coefficients'!T273</f>
        <v>13.3165925722518</v>
      </c>
      <c r="U71" s="167">
        <f>'Pseudo-load coefficients'!U273</f>
        <v>13.3165925722518</v>
      </c>
      <c r="V71" s="167">
        <f>'Pseudo-load coefficients'!V273</f>
        <v>13.3165925722518</v>
      </c>
      <c r="W71" s="167">
        <f>'Pseudo-load coefficients'!W273</f>
        <v>13.3165925722518</v>
      </c>
      <c r="X71" s="167">
        <f>'Pseudo-load coefficients'!X273</f>
        <v>13.3165925722518</v>
      </c>
      <c r="Y71" s="167">
        <f>'Pseudo-load coefficients'!Y273</f>
        <v>13.3165925722518</v>
      </c>
      <c r="AQ71" s="3"/>
    </row>
    <row r="72" spans="3:43" x14ac:dyDescent="0.25">
      <c r="E72" s="75"/>
      <c r="F72" t="s">
        <v>193</v>
      </c>
      <c r="G72" t="s">
        <v>283</v>
      </c>
      <c r="J72" s="167">
        <f>'Pseudo-load coefficients'!J274</f>
        <v>20.892942740201164</v>
      </c>
      <c r="K72" s="167">
        <f>'Pseudo-load coefficients'!K274</f>
        <v>20.892942740201164</v>
      </c>
      <c r="L72" s="167">
        <f>'Pseudo-load coefficients'!L274</f>
        <v>22.224304455973172</v>
      </c>
      <c r="M72" s="167">
        <f>'Pseudo-load coefficients'!M274</f>
        <v>22.224304455973172</v>
      </c>
      <c r="N72" s="167">
        <f>'Pseudo-load coefficients'!N274</f>
        <v>16.900666880694242</v>
      </c>
      <c r="O72" s="167">
        <f>'Pseudo-load coefficients'!O274</f>
        <v>15.817050935372098</v>
      </c>
      <c r="P72" s="167">
        <f>'Pseudo-load coefficients'!P274</f>
        <v>14.690937982607116</v>
      </c>
      <c r="Q72" s="167">
        <f>'Pseudo-load coefficients'!Q274</f>
        <v>46.690052885216581</v>
      </c>
      <c r="R72" s="167">
        <f>'Pseudo-load coefficients'!R274</f>
        <v>13.3165925722518</v>
      </c>
      <c r="S72" s="167">
        <f>'Pseudo-load coefficients'!S274</f>
        <v>13.3165925722518</v>
      </c>
      <c r="T72" s="167">
        <f>'Pseudo-load coefficients'!T274</f>
        <v>13.3165925722518</v>
      </c>
      <c r="U72" s="167">
        <f>'Pseudo-load coefficients'!U274</f>
        <v>13.3165925722518</v>
      </c>
      <c r="V72" s="167">
        <f>'Pseudo-load coefficients'!V274</f>
        <v>13.3165925722518</v>
      </c>
      <c r="W72" s="167">
        <f>'Pseudo-load coefficients'!W274</f>
        <v>13.3165925722518</v>
      </c>
      <c r="X72" s="167">
        <f>'Pseudo-load coefficients'!X274</f>
        <v>13.3165925722518</v>
      </c>
      <c r="Y72" s="167">
        <f>'Pseudo-load coefficients'!Y274</f>
        <v>13.3165925722518</v>
      </c>
      <c r="AQ72" s="3"/>
    </row>
    <row r="73" spans="3:43" x14ac:dyDescent="0.25">
      <c r="E73" s="75"/>
      <c r="F73" t="s">
        <v>194</v>
      </c>
      <c r="G73" t="s">
        <v>283</v>
      </c>
      <c r="J73" s="167">
        <f>'Pseudo-load coefficients'!J275</f>
        <v>14.130324564004347</v>
      </c>
      <c r="K73" s="167">
        <f>'Pseudo-load coefficients'!K275</f>
        <v>14.130324564004347</v>
      </c>
      <c r="L73" s="167">
        <f>'Pseudo-load coefficients'!L275</f>
        <v>15.030751726892703</v>
      </c>
      <c r="M73" s="167">
        <f>'Pseudo-load coefficients'!M275</f>
        <v>15.030751726892703</v>
      </c>
      <c r="N73" s="167">
        <f>'Pseudo-load coefficients'!N275</f>
        <v>11.430266733695611</v>
      </c>
      <c r="O73" s="167">
        <f>'Pseudo-load coefficients'!O275</f>
        <v>10.697395103282821</v>
      </c>
      <c r="P73" s="167">
        <f>'Pseudo-load coefficients'!P275</f>
        <v>9.9357818774120226</v>
      </c>
      <c r="Q73" s="167">
        <f>'Pseudo-load coefficients'!Q275</f>
        <v>31.228826462003401</v>
      </c>
      <c r="R73" s="167">
        <f>'Pseudo-load coefficients'!R275</f>
        <v>9.0062839625968216</v>
      </c>
      <c r="S73" s="167">
        <f>'Pseudo-load coefficients'!S275</f>
        <v>9.0062839625968216</v>
      </c>
      <c r="T73" s="167">
        <f>'Pseudo-load coefficients'!T275</f>
        <v>9.0062839625968216</v>
      </c>
      <c r="U73" s="167">
        <f>'Pseudo-load coefficients'!U275</f>
        <v>9.0062839625968216</v>
      </c>
      <c r="V73" s="167">
        <f>'Pseudo-load coefficients'!V275</f>
        <v>9.0062839625968216</v>
      </c>
      <c r="W73" s="167">
        <f>'Pseudo-load coefficients'!W275</f>
        <v>9.0062839625968216</v>
      </c>
      <c r="X73" s="167">
        <f>'Pseudo-load coefficients'!X275</f>
        <v>9.0062839625968216</v>
      </c>
      <c r="Y73" s="167">
        <f>'Pseudo-load coefficients'!Y275</f>
        <v>9.0062839625968216</v>
      </c>
      <c r="AQ73" s="3"/>
    </row>
    <row r="74" spans="3:43" x14ac:dyDescent="0.25">
      <c r="E74" s="75"/>
      <c r="F74" t="s">
        <v>195</v>
      </c>
      <c r="G74" t="s">
        <v>283</v>
      </c>
      <c r="J74" s="167">
        <f>'Pseudo-load coefficients'!J276</f>
        <v>14.130324564004347</v>
      </c>
      <c r="K74" s="167">
        <f>'Pseudo-load coefficients'!K276</f>
        <v>14.130324564004347</v>
      </c>
      <c r="L74" s="167">
        <f>'Pseudo-load coefficients'!L276</f>
        <v>15.030751726892703</v>
      </c>
      <c r="M74" s="167">
        <f>'Pseudo-load coefficients'!M276</f>
        <v>15.030751726892703</v>
      </c>
      <c r="N74" s="167">
        <f>'Pseudo-load coefficients'!N276</f>
        <v>11.430266733695611</v>
      </c>
      <c r="O74" s="167">
        <f>'Pseudo-load coefficients'!O276</f>
        <v>10.697395103282821</v>
      </c>
      <c r="P74" s="167">
        <f>'Pseudo-load coefficients'!P276</f>
        <v>9.9357818774120226</v>
      </c>
      <c r="Q74" s="167">
        <f>'Pseudo-load coefficients'!Q276</f>
        <v>31.228826462003401</v>
      </c>
      <c r="R74" s="167">
        <f>'Pseudo-load coefficients'!R276</f>
        <v>9.0062839625968216</v>
      </c>
      <c r="S74" s="167">
        <f>'Pseudo-load coefficients'!S276</f>
        <v>9.0062839625968216</v>
      </c>
      <c r="T74" s="167">
        <f>'Pseudo-load coefficients'!T276</f>
        <v>9.0062839625968216</v>
      </c>
      <c r="U74" s="167">
        <f>'Pseudo-load coefficients'!U276</f>
        <v>9.0062839625968216</v>
      </c>
      <c r="V74" s="167">
        <f>'Pseudo-load coefficients'!V276</f>
        <v>9.0062839625968216</v>
      </c>
      <c r="W74" s="167">
        <f>'Pseudo-load coefficients'!W276</f>
        <v>9.0062839625968216</v>
      </c>
      <c r="X74" s="167">
        <f>'Pseudo-load coefficients'!X276</f>
        <v>9.0062839625968216</v>
      </c>
      <c r="Y74" s="167">
        <f>'Pseudo-load coefficients'!Y276</f>
        <v>9.0062839625968216</v>
      </c>
      <c r="AQ74" s="3"/>
    </row>
    <row r="75" spans="3:43" x14ac:dyDescent="0.25">
      <c r="E75" s="75"/>
      <c r="F75" t="s">
        <v>196</v>
      </c>
      <c r="G75" t="s">
        <v>283</v>
      </c>
      <c r="J75" s="167">
        <f>'Pseudo-load coefficients'!J277</f>
        <v>20.892942740201164</v>
      </c>
      <c r="K75" s="167">
        <f>'Pseudo-load coefficients'!K277</f>
        <v>20.892942740201164</v>
      </c>
      <c r="L75" s="167">
        <f>'Pseudo-load coefficients'!L277</f>
        <v>22.224304455973172</v>
      </c>
      <c r="M75" s="167">
        <f>'Pseudo-load coefficients'!M277</f>
        <v>22.224304455973172</v>
      </c>
      <c r="N75" s="167">
        <f>'Pseudo-load coefficients'!N277</f>
        <v>16.900666880694242</v>
      </c>
      <c r="O75" s="167">
        <f>'Pseudo-load coefficients'!O277</f>
        <v>15.817050935372098</v>
      </c>
      <c r="P75" s="167">
        <f>'Pseudo-load coefficients'!P277</f>
        <v>14.690937982607116</v>
      </c>
      <c r="Q75" s="167">
        <f>'Pseudo-load coefficients'!Q277</f>
        <v>46.690052885216581</v>
      </c>
      <c r="R75" s="167">
        <f>'Pseudo-load coefficients'!R277</f>
        <v>13.3165925722518</v>
      </c>
      <c r="S75" s="167">
        <f>'Pseudo-load coefficients'!S277</f>
        <v>13.3165925722518</v>
      </c>
      <c r="T75" s="167">
        <f>'Pseudo-load coefficients'!T277</f>
        <v>13.3165925722518</v>
      </c>
      <c r="U75" s="167">
        <f>'Pseudo-load coefficients'!U277</f>
        <v>13.3165925722518</v>
      </c>
      <c r="V75" s="167">
        <f>'Pseudo-load coefficients'!V277</f>
        <v>13.3165925722518</v>
      </c>
      <c r="W75" s="167">
        <f>'Pseudo-load coefficients'!W277</f>
        <v>13.3165925722518</v>
      </c>
      <c r="X75" s="167">
        <f>'Pseudo-load coefficients'!X277</f>
        <v>13.3165925722518</v>
      </c>
      <c r="Y75" s="167">
        <f>'Pseudo-load coefficients'!Y277</f>
        <v>13.3165925722518</v>
      </c>
      <c r="AQ75" s="3"/>
    </row>
    <row r="76" spans="3:43" x14ac:dyDescent="0.25">
      <c r="E76" s="75"/>
      <c r="F76" t="s">
        <v>197</v>
      </c>
      <c r="G76" t="s">
        <v>283</v>
      </c>
      <c r="J76" s="167">
        <f>'Pseudo-load coefficients'!J278</f>
        <v>14.130324564004347</v>
      </c>
      <c r="K76" s="167">
        <f>'Pseudo-load coefficients'!K278</f>
        <v>14.130324564004347</v>
      </c>
      <c r="L76" s="167">
        <f>'Pseudo-load coefficients'!L278</f>
        <v>15.030751726892703</v>
      </c>
      <c r="M76" s="167">
        <f>'Pseudo-load coefficients'!M278</f>
        <v>15.030751726892703</v>
      </c>
      <c r="N76" s="167">
        <f>'Pseudo-load coefficients'!N278</f>
        <v>11.430266733695611</v>
      </c>
      <c r="O76" s="167">
        <f>'Pseudo-load coefficients'!O278</f>
        <v>10.697395103282821</v>
      </c>
      <c r="P76" s="167">
        <f>'Pseudo-load coefficients'!P278</f>
        <v>9.9357818774120226</v>
      </c>
      <c r="Q76" s="167">
        <f>'Pseudo-load coefficients'!Q278</f>
        <v>31.228826462003401</v>
      </c>
      <c r="R76" s="167">
        <f>'Pseudo-load coefficients'!R278</f>
        <v>9.0062839625968216</v>
      </c>
      <c r="S76" s="167">
        <f>'Pseudo-load coefficients'!S278</f>
        <v>9.0062839625968216</v>
      </c>
      <c r="T76" s="167">
        <f>'Pseudo-load coefficients'!T278</f>
        <v>9.0062839625968216</v>
      </c>
      <c r="U76" s="167">
        <f>'Pseudo-load coefficients'!U278</f>
        <v>9.0062839625968216</v>
      </c>
      <c r="V76" s="167">
        <f>'Pseudo-load coefficients'!V278</f>
        <v>9.0062839625968216</v>
      </c>
      <c r="W76" s="167">
        <f>'Pseudo-load coefficients'!W278</f>
        <v>9.0062839625968216</v>
      </c>
      <c r="X76" s="167">
        <f>'Pseudo-load coefficients'!X278</f>
        <v>9.0062839625968216</v>
      </c>
      <c r="Y76" s="167">
        <f>'Pseudo-load coefficients'!Y278</f>
        <v>9.0062839625968216</v>
      </c>
      <c r="AQ76" s="3"/>
    </row>
    <row r="77" spans="3:43" x14ac:dyDescent="0.25">
      <c r="E77" s="75"/>
      <c r="F77" t="s">
        <v>198</v>
      </c>
      <c r="G77" t="s">
        <v>283</v>
      </c>
      <c r="J77" s="167">
        <f>'Pseudo-load coefficients'!J279</f>
        <v>14.130324564004347</v>
      </c>
      <c r="K77" s="167">
        <f>'Pseudo-load coefficients'!K279</f>
        <v>14.130324564004347</v>
      </c>
      <c r="L77" s="167">
        <f>'Pseudo-load coefficients'!L279</f>
        <v>15.030751726892703</v>
      </c>
      <c r="M77" s="167">
        <f>'Pseudo-load coefficients'!M279</f>
        <v>15.030751726892703</v>
      </c>
      <c r="N77" s="167">
        <f>'Pseudo-load coefficients'!N279</f>
        <v>11.430266733695611</v>
      </c>
      <c r="O77" s="167">
        <f>'Pseudo-load coefficients'!O279</f>
        <v>10.697395103282821</v>
      </c>
      <c r="P77" s="167">
        <f>'Pseudo-load coefficients'!P279</f>
        <v>9.9357818774120226</v>
      </c>
      <c r="Q77" s="167">
        <f>'Pseudo-load coefficients'!Q279</f>
        <v>31.228826462003401</v>
      </c>
      <c r="R77" s="167">
        <f>'Pseudo-load coefficients'!R279</f>
        <v>9.0062839625968216</v>
      </c>
      <c r="S77" s="167">
        <f>'Pseudo-load coefficients'!S279</f>
        <v>9.0062839625968216</v>
      </c>
      <c r="T77" s="167">
        <f>'Pseudo-load coefficients'!T279</f>
        <v>9.0062839625968216</v>
      </c>
      <c r="U77" s="167">
        <f>'Pseudo-load coefficients'!U279</f>
        <v>9.0062839625968216</v>
      </c>
      <c r="V77" s="167">
        <f>'Pseudo-load coefficients'!V279</f>
        <v>9.0062839625968216</v>
      </c>
      <c r="W77" s="167">
        <f>'Pseudo-load coefficients'!W279</f>
        <v>9.0062839625968216</v>
      </c>
      <c r="X77" s="167">
        <f>'Pseudo-load coefficients'!X279</f>
        <v>9.0062839625968216</v>
      </c>
      <c r="Y77" s="167">
        <f>'Pseudo-load coefficients'!Y279</f>
        <v>9.0062839625968216</v>
      </c>
      <c r="AQ77" s="3"/>
    </row>
    <row r="78" spans="3:43" x14ac:dyDescent="0.25">
      <c r="E78" s="75"/>
      <c r="F78" s="96" t="s">
        <v>199</v>
      </c>
      <c r="G78" s="96" t="s">
        <v>283</v>
      </c>
      <c r="H78" s="96"/>
      <c r="I78" s="96"/>
      <c r="J78" s="172">
        <f>'Pseudo-load coefficients'!J280</f>
        <v>14.130324564004347</v>
      </c>
      <c r="K78" s="172">
        <f>'Pseudo-load coefficients'!K280</f>
        <v>14.130324564004347</v>
      </c>
      <c r="L78" s="172">
        <f>'Pseudo-load coefficients'!L280</f>
        <v>15.030751726892703</v>
      </c>
      <c r="M78" s="172">
        <f>'Pseudo-load coefficients'!M280</f>
        <v>15.030751726892703</v>
      </c>
      <c r="N78" s="172">
        <f>'Pseudo-load coefficients'!N280</f>
        <v>11.430266733695611</v>
      </c>
      <c r="O78" s="172">
        <f>'Pseudo-load coefficients'!O280</f>
        <v>10.697395103282821</v>
      </c>
      <c r="P78" s="172">
        <f>'Pseudo-load coefficients'!P280</f>
        <v>9.9357818774120226</v>
      </c>
      <c r="Q78" s="172">
        <f>'Pseudo-load coefficients'!Q280</f>
        <v>31.228826462003401</v>
      </c>
      <c r="R78" s="172">
        <f>'Pseudo-load coefficients'!R280</f>
        <v>9.0062839625968216</v>
      </c>
      <c r="S78" s="172">
        <f>'Pseudo-load coefficients'!S280</f>
        <v>9.0062839625968216</v>
      </c>
      <c r="T78" s="172">
        <f>'Pseudo-load coefficients'!T280</f>
        <v>9.0062839625968216</v>
      </c>
      <c r="U78" s="172">
        <f>'Pseudo-load coefficients'!U280</f>
        <v>9.0062839625968216</v>
      </c>
      <c r="V78" s="172">
        <f>'Pseudo-load coefficients'!V280</f>
        <v>9.0062839625968216</v>
      </c>
      <c r="W78" s="172">
        <f>'Pseudo-load coefficients'!W280</f>
        <v>9.0062839625968216</v>
      </c>
      <c r="X78" s="172">
        <f>'Pseudo-load coefficients'!X280</f>
        <v>9.0062839625968216</v>
      </c>
      <c r="Y78" s="172">
        <f>'Pseudo-load coefficients'!Y280</f>
        <v>9.0062839625968216</v>
      </c>
      <c r="AQ78" s="3"/>
    </row>
    <row r="79" spans="3:43" x14ac:dyDescent="0.25">
      <c r="E79" s="75"/>
      <c r="J79" s="106"/>
      <c r="K79" s="106"/>
      <c r="L79" s="106"/>
      <c r="M79" s="106"/>
      <c r="N79" s="106"/>
      <c r="O79" s="106"/>
      <c r="P79" s="106"/>
      <c r="Q79" s="106"/>
      <c r="R79" s="106"/>
      <c r="S79" s="106"/>
      <c r="T79" s="106"/>
      <c r="U79" s="106"/>
      <c r="V79" s="106"/>
      <c r="W79" s="106"/>
      <c r="X79" s="106"/>
      <c r="Y79" s="106"/>
      <c r="AQ79" s="3"/>
    </row>
    <row r="80" spans="3:43" x14ac:dyDescent="0.25">
      <c r="E80" s="75" t="s">
        <v>465</v>
      </c>
      <c r="J80" s="106"/>
      <c r="K80" s="106"/>
      <c r="L80" s="106"/>
      <c r="M80" s="106"/>
      <c r="N80" s="106"/>
      <c r="O80" s="106"/>
      <c r="P80" s="106"/>
      <c r="Q80" s="106"/>
      <c r="R80" s="106"/>
      <c r="S80" s="106"/>
      <c r="T80" s="106"/>
      <c r="U80" s="106"/>
      <c r="V80" s="106"/>
      <c r="W80" s="106"/>
      <c r="X80" s="106"/>
      <c r="Y80" s="106"/>
      <c r="AQ80" s="3"/>
    </row>
    <row r="81" spans="5:43" x14ac:dyDescent="0.25">
      <c r="E81" s="86" t="s">
        <v>466</v>
      </c>
      <c r="J81" s="106"/>
      <c r="K81" s="106"/>
      <c r="L81" s="106"/>
      <c r="M81" s="106"/>
      <c r="N81" s="106"/>
      <c r="O81" s="106"/>
      <c r="P81" s="106"/>
      <c r="Q81" s="106"/>
      <c r="R81" s="106"/>
      <c r="S81" s="106"/>
      <c r="T81" s="106"/>
      <c r="U81" s="106"/>
      <c r="V81" s="106"/>
      <c r="W81" s="106"/>
      <c r="X81" s="106"/>
      <c r="Y81" s="106"/>
      <c r="AQ81" s="3"/>
    </row>
    <row r="82" spans="5:43" x14ac:dyDescent="0.25">
      <c r="E82" s="75"/>
      <c r="F82" s="95" t="s">
        <v>191</v>
      </c>
      <c r="G82" s="95" t="s">
        <v>172</v>
      </c>
      <c r="H82" s="95"/>
      <c r="I82" s="95"/>
      <c r="J82" s="223">
        <f t="shared" ref="J82:Y82" si="1">J$56 * J34 * J70 / hours_in_year / $H45</f>
        <v>1348.6381343646945</v>
      </c>
      <c r="K82" s="223">
        <f t="shared" si="1"/>
        <v>0.13709474824380175</v>
      </c>
      <c r="L82" s="223">
        <f t="shared" si="1"/>
        <v>375.66083394465807</v>
      </c>
      <c r="M82" s="223">
        <f t="shared" si="1"/>
        <v>8.7485258498346666E-2</v>
      </c>
      <c r="N82" s="223">
        <f t="shared" si="1"/>
        <v>227.88822306724472</v>
      </c>
      <c r="O82" s="223">
        <f t="shared" si="1"/>
        <v>101.78159028623115</v>
      </c>
      <c r="P82" s="223">
        <f t="shared" si="1"/>
        <v>279.45159619409492</v>
      </c>
      <c r="Q82" s="223">
        <f t="shared" si="1"/>
        <v>23.661881895509612</v>
      </c>
      <c r="R82" s="223">
        <f t="shared" si="1"/>
        <v>-17.917043362097736</v>
      </c>
      <c r="S82" s="223">
        <f t="shared" si="1"/>
        <v>-2.0814129662585037</v>
      </c>
      <c r="T82" s="223">
        <f t="shared" si="1"/>
        <v>-9.4089693020080603</v>
      </c>
      <c r="U82" s="223">
        <f t="shared" si="1"/>
        <v>0</v>
      </c>
      <c r="V82" s="223">
        <f t="shared" si="1"/>
        <v>0</v>
      </c>
      <c r="W82" s="223">
        <f t="shared" si="1"/>
        <v>0</v>
      </c>
      <c r="X82" s="223">
        <f t="shared" si="1"/>
        <v>-106.59816344889772</v>
      </c>
      <c r="Y82" s="223">
        <f t="shared" si="1"/>
        <v>0</v>
      </c>
      <c r="AQ82" s="3"/>
    </row>
    <row r="83" spans="5:43" x14ac:dyDescent="0.25">
      <c r="E83" s="75"/>
      <c r="F83" t="s">
        <v>192</v>
      </c>
      <c r="G83" t="s">
        <v>172</v>
      </c>
      <c r="J83" s="106">
        <f t="shared" ref="J83:Y83" si="2">J$56 * J35 * J71 / hours_in_year / $H46</f>
        <v>1069.1062478330359</v>
      </c>
      <c r="K83" s="106">
        <f t="shared" si="2"/>
        <v>0.10867915429485465</v>
      </c>
      <c r="L83" s="106">
        <f t="shared" si="2"/>
        <v>297.79770748184797</v>
      </c>
      <c r="M83" s="106">
        <f t="shared" si="2"/>
        <v>6.9352210997600527E-2</v>
      </c>
      <c r="N83" s="106">
        <f t="shared" si="2"/>
        <v>180.65388845283564</v>
      </c>
      <c r="O83" s="106">
        <f t="shared" si="2"/>
        <v>80.685345695531424</v>
      </c>
      <c r="P83" s="106">
        <f t="shared" si="2"/>
        <v>221.529734214998</v>
      </c>
      <c r="Q83" s="106">
        <f t="shared" si="2"/>
        <v>17.659395421260225</v>
      </c>
      <c r="R83" s="106">
        <f t="shared" si="2"/>
        <v>-14.203382295828078</v>
      </c>
      <c r="S83" s="106">
        <f t="shared" si="2"/>
        <v>-1.6499990248280438</v>
      </c>
      <c r="T83" s="106">
        <f t="shared" si="2"/>
        <v>-7.4587746038967344</v>
      </c>
      <c r="U83" s="106">
        <f t="shared" si="2"/>
        <v>0</v>
      </c>
      <c r="V83" s="106">
        <f t="shared" si="2"/>
        <v>0</v>
      </c>
      <c r="W83" s="106">
        <f t="shared" si="2"/>
        <v>0</v>
      </c>
      <c r="X83" s="106">
        <f t="shared" si="2"/>
        <v>-84.503588951553184</v>
      </c>
      <c r="Y83" s="106">
        <f t="shared" si="2"/>
        <v>0</v>
      </c>
      <c r="AQ83" s="3"/>
    </row>
    <row r="84" spans="5:43" x14ac:dyDescent="0.25">
      <c r="E84" s="75"/>
      <c r="F84" t="s">
        <v>193</v>
      </c>
      <c r="G84" t="s">
        <v>172</v>
      </c>
      <c r="J84" s="106">
        <f t="shared" ref="J84:Y84" si="3">J$56 * J36 * J72 / hours_in_year / $H47</f>
        <v>1064.8510985879293</v>
      </c>
      <c r="K84" s="106">
        <f t="shared" si="3"/>
        <v>0.10824660044691493</v>
      </c>
      <c r="L84" s="106">
        <f t="shared" si="3"/>
        <v>296.61244297445757</v>
      </c>
      <c r="M84" s="106">
        <f t="shared" si="3"/>
        <v>6.9076182297112557E-2</v>
      </c>
      <c r="N84" s="106">
        <f t="shared" si="3"/>
        <v>179.93486800128207</v>
      </c>
      <c r="O84" s="106">
        <f t="shared" si="3"/>
        <v>80.364209991270613</v>
      </c>
      <c r="P84" s="106">
        <f t="shared" si="3"/>
        <v>220.6480238300627</v>
      </c>
      <c r="Q84" s="106">
        <f t="shared" si="3"/>
        <v>17.589109270329836</v>
      </c>
      <c r="R84" s="106">
        <f t="shared" si="3"/>
        <v>-14.146851421018813</v>
      </c>
      <c r="S84" s="106">
        <f t="shared" si="3"/>
        <v>-1.6434318645302206</v>
      </c>
      <c r="T84" s="106">
        <f t="shared" si="3"/>
        <v>-7.4290879388065987</v>
      </c>
      <c r="U84" s="106">
        <f t="shared" si="3"/>
        <v>0</v>
      </c>
      <c r="V84" s="106">
        <f t="shared" si="3"/>
        <v>0</v>
      </c>
      <c r="W84" s="106">
        <f t="shared" si="3"/>
        <v>0</v>
      </c>
      <c r="X84" s="106">
        <f t="shared" si="3"/>
        <v>-84.167256259208699</v>
      </c>
      <c r="Y84" s="106">
        <f t="shared" si="3"/>
        <v>0</v>
      </c>
      <c r="AQ84" s="3"/>
    </row>
    <row r="85" spans="5:43" x14ac:dyDescent="0.25">
      <c r="E85" s="75"/>
      <c r="F85" t="s">
        <v>194</v>
      </c>
      <c r="G85" t="s">
        <v>172</v>
      </c>
      <c r="J85" s="106">
        <f t="shared" ref="J85:Y85" si="4">J$56 * J37 * J73 / hours_in_year / $H48</f>
        <v>715.19909448003853</v>
      </c>
      <c r="K85" s="106">
        <f t="shared" si="4"/>
        <v>7.2703001126484146E-2</v>
      </c>
      <c r="L85" s="106">
        <f t="shared" si="4"/>
        <v>199.21747830110078</v>
      </c>
      <c r="M85" s="106">
        <f t="shared" si="4"/>
        <v>4.6394489421615163E-2</v>
      </c>
      <c r="N85" s="106">
        <f t="shared" si="4"/>
        <v>120.85187762923248</v>
      </c>
      <c r="O85" s="106">
        <f t="shared" si="4"/>
        <v>53.976006871362905</v>
      </c>
      <c r="P85" s="106">
        <f t="shared" si="4"/>
        <v>148.196557294569</v>
      </c>
      <c r="Q85" s="106">
        <f t="shared" si="4"/>
        <v>11.683169961068799</v>
      </c>
      <c r="R85" s="106">
        <f t="shared" si="4"/>
        <v>-9.501624536494603</v>
      </c>
      <c r="S85" s="106">
        <f t="shared" si="4"/>
        <v>-1.1037984399042238</v>
      </c>
      <c r="T85" s="106">
        <f t="shared" si="4"/>
        <v>-4.9896900831420004</v>
      </c>
      <c r="U85" s="106">
        <f t="shared" si="4"/>
        <v>0</v>
      </c>
      <c r="V85" s="106">
        <f t="shared" si="4"/>
        <v>0</v>
      </c>
      <c r="W85" s="106">
        <f t="shared" si="4"/>
        <v>0</v>
      </c>
      <c r="X85" s="106">
        <f t="shared" si="4"/>
        <v>-56.530293804720856</v>
      </c>
      <c r="Y85" s="106">
        <f t="shared" si="4"/>
        <v>0</v>
      </c>
      <c r="AQ85" s="3"/>
    </row>
    <row r="86" spans="5:43" x14ac:dyDescent="0.25">
      <c r="E86" s="75"/>
      <c r="F86" t="s">
        <v>195</v>
      </c>
      <c r="G86" t="s">
        <v>172</v>
      </c>
      <c r="J86" s="106">
        <f t="shared" ref="J86:Y86" si="5">J$56 * J38 * J74 / hours_in_year / $H49</f>
        <v>710.98377565206181</v>
      </c>
      <c r="K86" s="106">
        <f t="shared" si="5"/>
        <v>7.2274496208253394E-2</v>
      </c>
      <c r="L86" s="106">
        <f t="shared" si="5"/>
        <v>198.04330848793123</v>
      </c>
      <c r="M86" s="106">
        <f t="shared" si="5"/>
        <v>4.6121044493786394E-2</v>
      </c>
      <c r="N86" s="106">
        <f t="shared" si="5"/>
        <v>120.13958758426647</v>
      </c>
      <c r="O86" s="106">
        <f t="shared" si="5"/>
        <v>53.657877164851925</v>
      </c>
      <c r="P86" s="106">
        <f t="shared" si="5"/>
        <v>147.32310017888392</v>
      </c>
      <c r="Q86" s="106">
        <f t="shared" si="5"/>
        <v>11.614310413164661</v>
      </c>
      <c r="R86" s="106">
        <f t="shared" si="5"/>
        <v>-9.4456228201694863</v>
      </c>
      <c r="S86" s="106">
        <f t="shared" si="5"/>
        <v>-1.0972927516533149</v>
      </c>
      <c r="T86" s="106">
        <f t="shared" si="5"/>
        <v>-4.9602813007266251</v>
      </c>
      <c r="U86" s="106">
        <f t="shared" si="5"/>
        <v>0</v>
      </c>
      <c r="V86" s="106">
        <f t="shared" si="5"/>
        <v>0</v>
      </c>
      <c r="W86" s="106">
        <f t="shared" si="5"/>
        <v>0</v>
      </c>
      <c r="X86" s="106">
        <f t="shared" si="5"/>
        <v>-56.197109361863951</v>
      </c>
      <c r="Y86" s="106">
        <f t="shared" si="5"/>
        <v>0</v>
      </c>
      <c r="AQ86" s="3"/>
    </row>
    <row r="87" spans="5:43" x14ac:dyDescent="0.25">
      <c r="E87" s="75"/>
      <c r="F87" t="s">
        <v>196</v>
      </c>
      <c r="G87" t="s">
        <v>172</v>
      </c>
      <c r="J87" s="106">
        <f t="shared" ref="J87:Y87" si="6">J$56 * J39 * J75 / hours_in_year / $H50</f>
        <v>0</v>
      </c>
      <c r="K87" s="106">
        <f t="shared" si="6"/>
        <v>0</v>
      </c>
      <c r="L87" s="106">
        <f t="shared" si="6"/>
        <v>0</v>
      </c>
      <c r="M87" s="106">
        <f t="shared" si="6"/>
        <v>0</v>
      </c>
      <c r="N87" s="106">
        <f t="shared" si="6"/>
        <v>0</v>
      </c>
      <c r="O87" s="106">
        <f t="shared" si="6"/>
        <v>0</v>
      </c>
      <c r="P87" s="106">
        <f t="shared" si="6"/>
        <v>0</v>
      </c>
      <c r="Q87" s="106">
        <f t="shared" si="6"/>
        <v>0</v>
      </c>
      <c r="R87" s="106">
        <f t="shared" si="6"/>
        <v>0</v>
      </c>
      <c r="S87" s="106">
        <f t="shared" si="6"/>
        <v>0</v>
      </c>
      <c r="T87" s="106">
        <f t="shared" si="6"/>
        <v>0</v>
      </c>
      <c r="U87" s="106">
        <f t="shared" si="6"/>
        <v>0</v>
      </c>
      <c r="V87" s="106">
        <f t="shared" si="6"/>
        <v>0</v>
      </c>
      <c r="W87" s="106">
        <f t="shared" si="6"/>
        <v>0</v>
      </c>
      <c r="X87" s="106">
        <f t="shared" si="6"/>
        <v>0</v>
      </c>
      <c r="Y87" s="106">
        <f t="shared" si="6"/>
        <v>0</v>
      </c>
      <c r="AQ87" s="3"/>
    </row>
    <row r="88" spans="5:43" x14ac:dyDescent="0.25">
      <c r="E88" s="75"/>
      <c r="F88" t="s">
        <v>197</v>
      </c>
      <c r="G88" t="s">
        <v>172</v>
      </c>
      <c r="J88" s="106">
        <f t="shared" ref="J88:Y88" si="7">J$56 * J40 * J76 / hours_in_year / $H51</f>
        <v>699.98209246982492</v>
      </c>
      <c r="K88" s="106">
        <f t="shared" si="7"/>
        <v>7.1156128762090876E-2</v>
      </c>
      <c r="L88" s="106">
        <f t="shared" si="7"/>
        <v>194.97880855001353</v>
      </c>
      <c r="M88" s="106">
        <f t="shared" si="7"/>
        <v>4.5407372625410586E-2</v>
      </c>
      <c r="N88" s="106">
        <f>N$56 * N40 * N76 / hours_in_year / $H51</f>
        <v>118.28056108392965</v>
      </c>
      <c r="O88" s="106">
        <f t="shared" si="7"/>
        <v>52.827581193248804</v>
      </c>
      <c r="P88" s="106">
        <f t="shared" si="7"/>
        <v>145.04343905425901</v>
      </c>
      <c r="Q88" s="106">
        <f t="shared" si="7"/>
        <v>11.434591876790741</v>
      </c>
      <c r="R88" s="106">
        <f t="shared" si="7"/>
        <v>-9.2994623123138656</v>
      </c>
      <c r="S88" s="106">
        <f t="shared" si="7"/>
        <v>-1.0803133667147722</v>
      </c>
      <c r="T88" s="106">
        <f t="shared" si="7"/>
        <v>-4.8835264643517453</v>
      </c>
      <c r="U88" s="106">
        <f t="shared" si="7"/>
        <v>0</v>
      </c>
      <c r="V88" s="106">
        <f t="shared" si="7"/>
        <v>0</v>
      </c>
      <c r="W88" s="106">
        <f t="shared" si="7"/>
        <v>0</v>
      </c>
      <c r="X88" s="106">
        <f t="shared" si="7"/>
        <v>0</v>
      </c>
      <c r="Y88" s="106">
        <f t="shared" si="7"/>
        <v>0</v>
      </c>
      <c r="AQ88" s="3"/>
    </row>
    <row r="89" spans="5:43" x14ac:dyDescent="0.25">
      <c r="E89" s="75"/>
      <c r="F89" t="s">
        <v>198</v>
      </c>
      <c r="G89" t="s">
        <v>172</v>
      </c>
      <c r="J89" s="106">
        <f t="shared" ref="J89:Y89" si="8">J$56 * J41 * J77 / hours_in_year / $H52</f>
        <v>690.63118665438833</v>
      </c>
      <c r="K89" s="106">
        <f t="shared" si="8"/>
        <v>7.0205569790078207E-2</v>
      </c>
      <c r="L89" s="106">
        <f t="shared" si="8"/>
        <v>192.37412980984158</v>
      </c>
      <c r="M89" s="106">
        <f t="shared" si="8"/>
        <v>4.4800785586521515E-2</v>
      </c>
      <c r="N89" s="106">
        <f t="shared" si="8"/>
        <v>116.70047725265579</v>
      </c>
      <c r="O89" s="106">
        <f t="shared" si="8"/>
        <v>52.12186923074357</v>
      </c>
      <c r="P89" s="106">
        <f t="shared" si="8"/>
        <v>0</v>
      </c>
      <c r="Q89" s="106">
        <f t="shared" si="8"/>
        <v>11.281839695230559</v>
      </c>
      <c r="R89" s="106">
        <f t="shared" si="8"/>
        <v>-9.1752328539432604</v>
      </c>
      <c r="S89" s="106">
        <f t="shared" si="8"/>
        <v>0</v>
      </c>
      <c r="T89" s="106">
        <f t="shared" si="8"/>
        <v>-4.8182885154004813</v>
      </c>
      <c r="U89" s="106">
        <f t="shared" si="8"/>
        <v>0</v>
      </c>
      <c r="V89" s="106">
        <f t="shared" si="8"/>
        <v>0</v>
      </c>
      <c r="W89" s="106">
        <f t="shared" si="8"/>
        <v>0</v>
      </c>
      <c r="X89" s="106">
        <f t="shared" si="8"/>
        <v>0</v>
      </c>
      <c r="Y89" s="106">
        <f t="shared" si="8"/>
        <v>0</v>
      </c>
      <c r="AQ89" s="3"/>
    </row>
    <row r="90" spans="5:43" x14ac:dyDescent="0.25">
      <c r="E90" s="75"/>
      <c r="F90" s="96" t="s">
        <v>199</v>
      </c>
      <c r="G90" s="96" t="s">
        <v>172</v>
      </c>
      <c r="H90" s="96"/>
      <c r="I90" s="96"/>
      <c r="J90" s="196">
        <f t="shared" ref="J90:Y90" si="9">J$56 * J42 * J78 / hours_in_year / $H53</f>
        <v>681.52682072862422</v>
      </c>
      <c r="K90" s="196">
        <f t="shared" si="9"/>
        <v>6.9280072636536683E-2</v>
      </c>
      <c r="L90" s="196">
        <f t="shared" si="9"/>
        <v>189.83812433212239</v>
      </c>
      <c r="M90" s="196">
        <f t="shared" si="9"/>
        <v>4.4210191426247221E-2</v>
      </c>
      <c r="N90" s="196">
        <f t="shared" si="9"/>
        <v>115.16205288209346</v>
      </c>
      <c r="O90" s="196">
        <f t="shared" si="9"/>
        <v>0</v>
      </c>
      <c r="P90" s="196">
        <f t="shared" si="9"/>
        <v>0</v>
      </c>
      <c r="Q90" s="196">
        <f t="shared" si="9"/>
        <v>11.133114878155956</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25">
      <c r="E91" s="75"/>
      <c r="J91" s="106"/>
      <c r="K91" s="106"/>
      <c r="L91" s="106"/>
      <c r="M91" s="106"/>
      <c r="N91" s="106"/>
      <c r="O91" s="106"/>
      <c r="P91" s="106"/>
      <c r="Q91" s="106"/>
      <c r="R91" s="106"/>
      <c r="S91" s="106"/>
      <c r="T91" s="106"/>
      <c r="U91" s="106"/>
      <c r="V91" s="106"/>
      <c r="W91" s="106"/>
      <c r="X91" s="106"/>
      <c r="Y91" s="106"/>
      <c r="AQ91" s="3"/>
    </row>
    <row r="92" spans="5:43" x14ac:dyDescent="0.25">
      <c r="E92" s="75" t="s">
        <v>467</v>
      </c>
      <c r="J92" s="106"/>
      <c r="K92" s="106"/>
      <c r="L92" s="106"/>
      <c r="M92" s="106"/>
      <c r="N92" s="106"/>
      <c r="O92" s="106"/>
      <c r="P92" s="106"/>
      <c r="Q92" s="106"/>
      <c r="R92" s="106"/>
      <c r="S92" s="106"/>
      <c r="T92" s="106"/>
      <c r="U92" s="106"/>
      <c r="V92" s="106"/>
      <c r="W92" s="106"/>
      <c r="X92" s="106"/>
      <c r="Y92" s="106"/>
      <c r="AQ92" s="3"/>
    </row>
    <row r="93" spans="5:43" x14ac:dyDescent="0.25">
      <c r="E93" s="75"/>
      <c r="F93" s="95" t="s">
        <v>191</v>
      </c>
      <c r="G93" s="95" t="s">
        <v>283</v>
      </c>
      <c r="H93" s="95"/>
      <c r="I93" s="95"/>
      <c r="J93" s="171">
        <f>'Pseudo-load coefficients'!J283</f>
        <v>0</v>
      </c>
      <c r="K93" s="171">
        <f>'Pseudo-load coefficients'!K283</f>
        <v>0</v>
      </c>
      <c r="L93" s="171">
        <f>'Pseudo-load coefficients'!L283</f>
        <v>0</v>
      </c>
      <c r="M93" s="171">
        <f>'Pseudo-load coefficients'!M283</f>
        <v>0</v>
      </c>
      <c r="N93" s="171">
        <f>'Pseudo-load coefficients'!N283</f>
        <v>0</v>
      </c>
      <c r="O93" s="171">
        <f>'Pseudo-load coefficients'!O283</f>
        <v>0</v>
      </c>
      <c r="P93" s="171">
        <f>'Pseudo-load coefficients'!P283</f>
        <v>0</v>
      </c>
      <c r="Q93" s="171">
        <f>'Pseudo-load coefficients'!Q283</f>
        <v>0.23341553030207277</v>
      </c>
      <c r="R93" s="171">
        <f>'Pseudo-load coefficients'!R283</f>
        <v>0</v>
      </c>
      <c r="S93" s="171">
        <f>'Pseudo-load coefficients'!S283</f>
        <v>0</v>
      </c>
      <c r="T93" s="171">
        <f>'Pseudo-load coefficients'!T283</f>
        <v>0</v>
      </c>
      <c r="U93" s="171">
        <f>'Pseudo-load coefficients'!U283</f>
        <v>0</v>
      </c>
      <c r="V93" s="171">
        <f>'Pseudo-load coefficients'!V283</f>
        <v>0</v>
      </c>
      <c r="W93" s="171">
        <f>'Pseudo-load coefficients'!W283</f>
        <v>0</v>
      </c>
      <c r="X93" s="171">
        <f>'Pseudo-load coefficients'!X283</f>
        <v>0</v>
      </c>
      <c r="Y93" s="171">
        <f>'Pseudo-load coefficients'!Y283</f>
        <v>0</v>
      </c>
      <c r="AQ93" s="3"/>
    </row>
    <row r="94" spans="5:43" x14ac:dyDescent="0.25">
      <c r="E94" s="75"/>
      <c r="F94" t="s">
        <v>192</v>
      </c>
      <c r="G94" t="s">
        <v>283</v>
      </c>
      <c r="J94" s="167">
        <f>'Pseudo-load coefficients'!J284</f>
        <v>0.74661286649407543</v>
      </c>
      <c r="K94" s="167">
        <f>'Pseudo-load coefficients'!K284</f>
        <v>0.74661286649407543</v>
      </c>
      <c r="L94" s="167">
        <f>'Pseudo-load coefficients'!L284</f>
        <v>0.79418930411290745</v>
      </c>
      <c r="M94" s="167">
        <f>'Pseudo-load coefficients'!M284</f>
        <v>0.79418930411290745</v>
      </c>
      <c r="N94" s="167">
        <f>'Pseudo-load coefficients'!N284</f>
        <v>0.60394820884552525</v>
      </c>
      <c r="O94" s="167">
        <f>'Pseudo-load coefficients'!O284</f>
        <v>0.56522500852013802</v>
      </c>
      <c r="P94" s="167">
        <f>'Pseudo-load coefficients'!P284</f>
        <v>0.52498317039734443</v>
      </c>
      <c r="Q94" s="167">
        <f>'Pseudo-load coefficients'!Q284</f>
        <v>0.802627941260325</v>
      </c>
      <c r="R94" s="167">
        <f>'Pseudo-load coefficients'!R284</f>
        <v>0.47587070313326774</v>
      </c>
      <c r="S94" s="167">
        <f>'Pseudo-load coefficients'!S284</f>
        <v>0.47587070313326774</v>
      </c>
      <c r="T94" s="167">
        <f>'Pseudo-load coefficients'!T284</f>
        <v>0.47587070313326774</v>
      </c>
      <c r="U94" s="167">
        <f>'Pseudo-load coefficients'!U284</f>
        <v>0.47587070313326774</v>
      </c>
      <c r="V94" s="167">
        <f>'Pseudo-load coefficients'!V284</f>
        <v>0.47587070313326774</v>
      </c>
      <c r="W94" s="167">
        <f>'Pseudo-load coefficients'!W284</f>
        <v>0.47587070313326774</v>
      </c>
      <c r="X94" s="167">
        <f>'Pseudo-load coefficients'!X284</f>
        <v>0.47587070313326774</v>
      </c>
      <c r="Y94" s="167">
        <f>'Pseudo-load coefficients'!Y284</f>
        <v>0.47587070313326774</v>
      </c>
      <c r="AQ94" s="3"/>
    </row>
    <row r="95" spans="5:43" x14ac:dyDescent="0.25">
      <c r="E95" s="75"/>
      <c r="F95" t="s">
        <v>193</v>
      </c>
      <c r="G95" t="s">
        <v>283</v>
      </c>
      <c r="J95" s="167">
        <f>'Pseudo-load coefficients'!J285</f>
        <v>0.74661286649407543</v>
      </c>
      <c r="K95" s="167">
        <f>'Pseudo-load coefficients'!K285</f>
        <v>0.74661286649407543</v>
      </c>
      <c r="L95" s="167">
        <f>'Pseudo-load coefficients'!L285</f>
        <v>0.79418930411290745</v>
      </c>
      <c r="M95" s="167">
        <f>'Pseudo-load coefficients'!M285</f>
        <v>0.79418930411290745</v>
      </c>
      <c r="N95" s="167">
        <f>'Pseudo-load coefficients'!N285</f>
        <v>0.60394820884552525</v>
      </c>
      <c r="O95" s="167">
        <f>'Pseudo-load coefficients'!O285</f>
        <v>0.56522500852013802</v>
      </c>
      <c r="P95" s="167">
        <f>'Pseudo-load coefficients'!P285</f>
        <v>0.52498317039734443</v>
      </c>
      <c r="Q95" s="167">
        <f>'Pseudo-load coefficients'!Q285</f>
        <v>0.802627941260325</v>
      </c>
      <c r="R95" s="167">
        <f>'Pseudo-load coefficients'!R285</f>
        <v>0.47587070313326774</v>
      </c>
      <c r="S95" s="167">
        <f>'Pseudo-load coefficients'!S285</f>
        <v>0.47587070313326774</v>
      </c>
      <c r="T95" s="167">
        <f>'Pseudo-load coefficients'!T285</f>
        <v>0.47587070313326774</v>
      </c>
      <c r="U95" s="167">
        <f>'Pseudo-load coefficients'!U285</f>
        <v>0.47587070313326774</v>
      </c>
      <c r="V95" s="167">
        <f>'Pseudo-load coefficients'!V285</f>
        <v>0.47587070313326774</v>
      </c>
      <c r="W95" s="167">
        <f>'Pseudo-load coefficients'!W285</f>
        <v>0.47587070313326774</v>
      </c>
      <c r="X95" s="167">
        <f>'Pseudo-load coefficients'!X285</f>
        <v>0.47587070313326774</v>
      </c>
      <c r="Y95" s="167">
        <f>'Pseudo-load coefficients'!Y285</f>
        <v>0.47587070313326774</v>
      </c>
      <c r="AQ95" s="3"/>
    </row>
    <row r="96" spans="5:43" x14ac:dyDescent="0.25">
      <c r="E96" s="75"/>
      <c r="F96" t="s">
        <v>194</v>
      </c>
      <c r="G96" t="s">
        <v>283</v>
      </c>
      <c r="J96" s="167">
        <f>'Pseudo-load coefficients'!J286</f>
        <v>1.5932798380368827</v>
      </c>
      <c r="K96" s="167">
        <f>'Pseudo-load coefficients'!K286</f>
        <v>1.5932798380368827</v>
      </c>
      <c r="L96" s="167">
        <f>'Pseudo-load coefficients'!L286</f>
        <v>1.6948084644850931</v>
      </c>
      <c r="M96" s="167">
        <f>'Pseudo-load coefficients'!M286</f>
        <v>1.6948084644850931</v>
      </c>
      <c r="N96" s="167">
        <f>'Pseudo-load coefficients'!N286</f>
        <v>1.2888319335971417</v>
      </c>
      <c r="O96" s="167">
        <f>'Pseudo-load coefficients'!O286</f>
        <v>1.2061962101700632</v>
      </c>
      <c r="P96" s="167">
        <f>'Pseudo-load coefficients'!P286</f>
        <v>1.1203196974497995</v>
      </c>
      <c r="Q96" s="167">
        <f>'Pseudo-load coefficients'!Q286</f>
        <v>1.2901704900715163</v>
      </c>
      <c r="R96" s="167">
        <f>'Pseudo-load coefficients'!R286</f>
        <v>1.0155131673192064</v>
      </c>
      <c r="S96" s="167">
        <f>'Pseudo-load coefficients'!S286</f>
        <v>1.0155131673192064</v>
      </c>
      <c r="T96" s="167">
        <f>'Pseudo-load coefficients'!T286</f>
        <v>1.0155131673192064</v>
      </c>
      <c r="U96" s="167">
        <f>'Pseudo-load coefficients'!U286</f>
        <v>1.0155131673192064</v>
      </c>
      <c r="V96" s="167">
        <f>'Pseudo-load coefficients'!V286</f>
        <v>1.0155131673192064</v>
      </c>
      <c r="W96" s="167">
        <f>'Pseudo-load coefficients'!W286</f>
        <v>1.0155131673192064</v>
      </c>
      <c r="X96" s="167">
        <f>'Pseudo-load coefficients'!X286</f>
        <v>1.0155131673192064</v>
      </c>
      <c r="Y96" s="167">
        <f>'Pseudo-load coefficients'!Y286</f>
        <v>1.0155131673192064</v>
      </c>
      <c r="AQ96" s="3"/>
    </row>
    <row r="97" spans="5:43" x14ac:dyDescent="0.25">
      <c r="E97" s="75"/>
      <c r="F97" t="s">
        <v>195</v>
      </c>
      <c r="G97" t="s">
        <v>283</v>
      </c>
      <c r="J97" s="167">
        <f>'Pseudo-load coefficients'!J287</f>
        <v>1.5932798380368827</v>
      </c>
      <c r="K97" s="167">
        <f>'Pseudo-load coefficients'!K287</f>
        <v>1.5932798380368827</v>
      </c>
      <c r="L97" s="167">
        <f>'Pseudo-load coefficients'!L287</f>
        <v>1.6948084644850931</v>
      </c>
      <c r="M97" s="167">
        <f>'Pseudo-load coefficients'!M287</f>
        <v>1.6948084644850931</v>
      </c>
      <c r="N97" s="167">
        <f>'Pseudo-load coefficients'!N287</f>
        <v>1.2888319335971417</v>
      </c>
      <c r="O97" s="167">
        <f>'Pseudo-load coefficients'!O287</f>
        <v>1.2061962101700632</v>
      </c>
      <c r="P97" s="167">
        <f>'Pseudo-load coefficients'!P287</f>
        <v>1.1203196974497995</v>
      </c>
      <c r="Q97" s="167">
        <f>'Pseudo-load coefficients'!Q287</f>
        <v>1.2901704900715163</v>
      </c>
      <c r="R97" s="167">
        <f>'Pseudo-load coefficients'!R287</f>
        <v>1.0155131673192064</v>
      </c>
      <c r="S97" s="167">
        <f>'Pseudo-load coefficients'!S287</f>
        <v>1.0155131673192064</v>
      </c>
      <c r="T97" s="167">
        <f>'Pseudo-load coefficients'!T287</f>
        <v>1.0155131673192064</v>
      </c>
      <c r="U97" s="167">
        <f>'Pseudo-load coefficients'!U287</f>
        <v>1.0155131673192064</v>
      </c>
      <c r="V97" s="167">
        <f>'Pseudo-load coefficients'!V287</f>
        <v>1.0155131673192064</v>
      </c>
      <c r="W97" s="167">
        <f>'Pseudo-load coefficients'!W287</f>
        <v>1.0155131673192064</v>
      </c>
      <c r="X97" s="167">
        <f>'Pseudo-load coefficients'!X287</f>
        <v>1.0155131673192064</v>
      </c>
      <c r="Y97" s="167">
        <f>'Pseudo-load coefficients'!Y287</f>
        <v>1.0155131673192064</v>
      </c>
      <c r="AQ97" s="3"/>
    </row>
    <row r="98" spans="5:43" x14ac:dyDescent="0.25">
      <c r="E98" s="75"/>
      <c r="F98" t="s">
        <v>196</v>
      </c>
      <c r="G98" t="s">
        <v>283</v>
      </c>
      <c r="J98" s="167">
        <f>'Pseudo-load coefficients'!J288</f>
        <v>0.74661286649407543</v>
      </c>
      <c r="K98" s="167">
        <f>'Pseudo-load coefficients'!K288</f>
        <v>0.74661286649407543</v>
      </c>
      <c r="L98" s="167">
        <f>'Pseudo-load coefficients'!L288</f>
        <v>0.79418930411290745</v>
      </c>
      <c r="M98" s="167">
        <f>'Pseudo-load coefficients'!M288</f>
        <v>0.79418930411290745</v>
      </c>
      <c r="N98" s="167">
        <f>'Pseudo-load coefficients'!N288</f>
        <v>0.60394820884552525</v>
      </c>
      <c r="O98" s="167">
        <f>'Pseudo-load coefficients'!O288</f>
        <v>0.56522500852013802</v>
      </c>
      <c r="P98" s="167">
        <f>'Pseudo-load coefficients'!P288</f>
        <v>0.52498317039734443</v>
      </c>
      <c r="Q98" s="167">
        <f>'Pseudo-load coefficients'!Q288</f>
        <v>0.802627941260325</v>
      </c>
      <c r="R98" s="167">
        <f>'Pseudo-load coefficients'!R288</f>
        <v>0.47587070313326774</v>
      </c>
      <c r="S98" s="167">
        <f>'Pseudo-load coefficients'!S288</f>
        <v>0.47587070313326774</v>
      </c>
      <c r="T98" s="167">
        <f>'Pseudo-load coefficients'!T288</f>
        <v>0.47587070313326774</v>
      </c>
      <c r="U98" s="167">
        <f>'Pseudo-load coefficients'!U288</f>
        <v>0.47587070313326774</v>
      </c>
      <c r="V98" s="167">
        <f>'Pseudo-load coefficients'!V288</f>
        <v>0.47587070313326774</v>
      </c>
      <c r="W98" s="167">
        <f>'Pseudo-load coefficients'!W288</f>
        <v>0.47587070313326774</v>
      </c>
      <c r="X98" s="167">
        <f>'Pseudo-load coefficients'!X288</f>
        <v>0.47587070313326774</v>
      </c>
      <c r="Y98" s="167">
        <f>'Pseudo-load coefficients'!Y288</f>
        <v>0.47587070313326774</v>
      </c>
      <c r="AQ98" s="3"/>
    </row>
    <row r="99" spans="5:43" x14ac:dyDescent="0.25">
      <c r="E99" s="75"/>
      <c r="F99" t="s">
        <v>197</v>
      </c>
      <c r="G99" t="s">
        <v>283</v>
      </c>
      <c r="J99" s="167">
        <f>'Pseudo-load coefficients'!J289</f>
        <v>1.5932798380368827</v>
      </c>
      <c r="K99" s="167">
        <f>'Pseudo-load coefficients'!K289</f>
        <v>1.5932798380368827</v>
      </c>
      <c r="L99" s="167">
        <f>'Pseudo-load coefficients'!L289</f>
        <v>1.6948084644850931</v>
      </c>
      <c r="M99" s="167">
        <f>'Pseudo-load coefficients'!M289</f>
        <v>1.6948084644850931</v>
      </c>
      <c r="N99" s="167">
        <f>'Pseudo-load coefficients'!N289</f>
        <v>1.2888319335971417</v>
      </c>
      <c r="O99" s="167">
        <f>'Pseudo-load coefficients'!O289</f>
        <v>1.2061962101700632</v>
      </c>
      <c r="P99" s="167">
        <f>'Pseudo-load coefficients'!P289</f>
        <v>1.1203196974497995</v>
      </c>
      <c r="Q99" s="167">
        <f>'Pseudo-load coefficients'!Q289</f>
        <v>1.2901704900715163</v>
      </c>
      <c r="R99" s="167">
        <f>'Pseudo-load coefficients'!R289</f>
        <v>1.0155131673192064</v>
      </c>
      <c r="S99" s="167">
        <f>'Pseudo-load coefficients'!S289</f>
        <v>1.0155131673192064</v>
      </c>
      <c r="T99" s="167">
        <f>'Pseudo-load coefficients'!T289</f>
        <v>1.0155131673192064</v>
      </c>
      <c r="U99" s="167">
        <f>'Pseudo-load coefficients'!U289</f>
        <v>1.0155131673192064</v>
      </c>
      <c r="V99" s="167">
        <f>'Pseudo-load coefficients'!V289</f>
        <v>1.0155131673192064</v>
      </c>
      <c r="W99" s="167">
        <f>'Pseudo-load coefficients'!W289</f>
        <v>1.0155131673192064</v>
      </c>
      <c r="X99" s="167">
        <f>'Pseudo-load coefficients'!X289</f>
        <v>1.0155131673192064</v>
      </c>
      <c r="Y99" s="167">
        <f>'Pseudo-load coefficients'!Y289</f>
        <v>1.0155131673192064</v>
      </c>
      <c r="AQ99" s="3"/>
    </row>
    <row r="100" spans="5:43" x14ac:dyDescent="0.25">
      <c r="E100" s="75"/>
      <c r="F100" t="s">
        <v>198</v>
      </c>
      <c r="G100" t="s">
        <v>283</v>
      </c>
      <c r="J100" s="167">
        <f>'Pseudo-load coefficients'!J290</f>
        <v>1.5932798380368827</v>
      </c>
      <c r="K100" s="167">
        <f>'Pseudo-load coefficients'!K290</f>
        <v>1.5932798380368827</v>
      </c>
      <c r="L100" s="167">
        <f>'Pseudo-load coefficients'!L290</f>
        <v>1.6948084644850931</v>
      </c>
      <c r="M100" s="167">
        <f>'Pseudo-load coefficients'!M290</f>
        <v>1.6948084644850931</v>
      </c>
      <c r="N100" s="167">
        <f>'Pseudo-load coefficients'!N290</f>
        <v>1.2888319335971417</v>
      </c>
      <c r="O100" s="167">
        <f>'Pseudo-load coefficients'!O290</f>
        <v>1.2061962101700632</v>
      </c>
      <c r="P100" s="167">
        <f>'Pseudo-load coefficients'!P290</f>
        <v>1.1203196974497995</v>
      </c>
      <c r="Q100" s="167">
        <f>'Pseudo-load coefficients'!Q290</f>
        <v>1.2901704900715163</v>
      </c>
      <c r="R100" s="167">
        <f>'Pseudo-load coefficients'!R290</f>
        <v>1.0155131673192064</v>
      </c>
      <c r="S100" s="167">
        <f>'Pseudo-load coefficients'!S290</f>
        <v>1.0155131673192064</v>
      </c>
      <c r="T100" s="167">
        <f>'Pseudo-load coefficients'!T290</f>
        <v>1.0155131673192064</v>
      </c>
      <c r="U100" s="167">
        <f>'Pseudo-load coefficients'!U290</f>
        <v>1.0155131673192064</v>
      </c>
      <c r="V100" s="167">
        <f>'Pseudo-load coefficients'!V290</f>
        <v>1.0155131673192064</v>
      </c>
      <c r="W100" s="167">
        <f>'Pseudo-load coefficients'!W290</f>
        <v>1.0155131673192064</v>
      </c>
      <c r="X100" s="167">
        <f>'Pseudo-load coefficients'!X290</f>
        <v>1.0155131673192064</v>
      </c>
      <c r="Y100" s="167">
        <f>'Pseudo-load coefficients'!Y290</f>
        <v>1.0155131673192064</v>
      </c>
      <c r="AQ100" s="3"/>
    </row>
    <row r="101" spans="5:43" x14ac:dyDescent="0.25">
      <c r="E101" s="75"/>
      <c r="F101" s="96" t="s">
        <v>199</v>
      </c>
      <c r="G101" s="96" t="s">
        <v>283</v>
      </c>
      <c r="H101" s="96"/>
      <c r="I101" s="96"/>
      <c r="J101" s="172">
        <f>'Pseudo-load coefficients'!J291</f>
        <v>1.5932798380368827</v>
      </c>
      <c r="K101" s="172">
        <f>'Pseudo-load coefficients'!K291</f>
        <v>1.5932798380368827</v>
      </c>
      <c r="L101" s="172">
        <f>'Pseudo-load coefficients'!L291</f>
        <v>1.6948084644850931</v>
      </c>
      <c r="M101" s="172">
        <f>'Pseudo-load coefficients'!M291</f>
        <v>1.6948084644850931</v>
      </c>
      <c r="N101" s="172">
        <f>'Pseudo-load coefficients'!N291</f>
        <v>1.2888319335971417</v>
      </c>
      <c r="O101" s="172">
        <f>'Pseudo-load coefficients'!O291</f>
        <v>1.2061962101700632</v>
      </c>
      <c r="P101" s="172">
        <f>'Pseudo-load coefficients'!P291</f>
        <v>1.1203196974497995</v>
      </c>
      <c r="Q101" s="172">
        <f>'Pseudo-load coefficients'!Q291</f>
        <v>1.2901704900715163</v>
      </c>
      <c r="R101" s="172">
        <f>'Pseudo-load coefficients'!R291</f>
        <v>1.0155131673192064</v>
      </c>
      <c r="S101" s="172">
        <f>'Pseudo-load coefficients'!S291</f>
        <v>1.0155131673192064</v>
      </c>
      <c r="T101" s="172">
        <f>'Pseudo-load coefficients'!T291</f>
        <v>1.0155131673192064</v>
      </c>
      <c r="U101" s="172">
        <f>'Pseudo-load coefficients'!U291</f>
        <v>1.0155131673192064</v>
      </c>
      <c r="V101" s="172">
        <f>'Pseudo-load coefficients'!V291</f>
        <v>1.0155131673192064</v>
      </c>
      <c r="W101" s="172">
        <f>'Pseudo-load coefficients'!W291</f>
        <v>1.0155131673192064</v>
      </c>
      <c r="X101" s="172">
        <f>'Pseudo-load coefficients'!X291</f>
        <v>1.0155131673192064</v>
      </c>
      <c r="Y101" s="172">
        <f>'Pseudo-load coefficients'!Y291</f>
        <v>1.0155131673192064</v>
      </c>
      <c r="AQ101" s="3"/>
    </row>
    <row r="102" spans="5:43" x14ac:dyDescent="0.25">
      <c r="E102" s="75"/>
      <c r="J102" s="106"/>
      <c r="K102" s="106"/>
      <c r="L102" s="106"/>
      <c r="M102" s="106"/>
      <c r="N102" s="106"/>
      <c r="O102" s="106"/>
      <c r="P102" s="106"/>
      <c r="Q102" s="106"/>
      <c r="R102" s="106"/>
      <c r="S102" s="106"/>
      <c r="T102" s="106"/>
      <c r="U102" s="106"/>
      <c r="V102" s="106"/>
      <c r="W102" s="106"/>
      <c r="X102" s="106"/>
      <c r="Y102" s="106"/>
      <c r="AQ102" s="3"/>
    </row>
    <row r="103" spans="5:43" x14ac:dyDescent="0.25">
      <c r="E103" s="75" t="s">
        <v>468</v>
      </c>
      <c r="J103" s="106"/>
      <c r="K103" s="106"/>
      <c r="L103" s="106"/>
      <c r="M103" s="106"/>
      <c r="N103" s="106"/>
      <c r="O103" s="106"/>
      <c r="P103" s="106"/>
      <c r="Q103" s="106"/>
      <c r="R103" s="106"/>
      <c r="S103" s="106"/>
      <c r="T103" s="106"/>
      <c r="U103" s="106"/>
      <c r="V103" s="106"/>
      <c r="W103" s="106"/>
      <c r="X103" s="106"/>
      <c r="Y103" s="106"/>
      <c r="AQ103" s="3"/>
    </row>
    <row r="104" spans="5:43" x14ac:dyDescent="0.25">
      <c r="E104" s="86" t="s">
        <v>469</v>
      </c>
      <c r="J104" s="106"/>
      <c r="K104" s="106"/>
      <c r="L104" s="106"/>
      <c r="M104" s="106"/>
      <c r="N104" s="106"/>
      <c r="O104" s="106"/>
      <c r="P104" s="106"/>
      <c r="Q104" s="106"/>
      <c r="R104" s="106"/>
      <c r="S104" s="106"/>
      <c r="T104" s="106"/>
      <c r="U104" s="106"/>
      <c r="V104" s="106"/>
      <c r="W104" s="106"/>
      <c r="X104" s="106"/>
      <c r="Y104" s="106"/>
      <c r="AQ104" s="3"/>
    </row>
    <row r="105" spans="5:43" x14ac:dyDescent="0.25">
      <c r="E105" s="75"/>
      <c r="F105" s="95" t="s">
        <v>191</v>
      </c>
      <c r="G105" s="95" t="s">
        <v>172</v>
      </c>
      <c r="H105" s="95"/>
      <c r="I105" s="95"/>
      <c r="J105" s="223">
        <f t="shared" ref="J105:Y105" si="10">J$57 * J34 * J93 / hours_in_year / $H45</f>
        <v>0</v>
      </c>
      <c r="K105" s="223">
        <f t="shared" si="10"/>
        <v>0</v>
      </c>
      <c r="L105" s="223">
        <f t="shared" si="10"/>
        <v>0</v>
      </c>
      <c r="M105" s="223">
        <f t="shared" si="10"/>
        <v>0</v>
      </c>
      <c r="N105" s="223">
        <f t="shared" si="10"/>
        <v>0</v>
      </c>
      <c r="O105" s="223">
        <f t="shared" si="10"/>
        <v>0</v>
      </c>
      <c r="P105" s="223">
        <f t="shared" si="10"/>
        <v>0</v>
      </c>
      <c r="Q105" s="223">
        <f t="shared" si="10"/>
        <v>0.91891759481949609</v>
      </c>
      <c r="R105" s="223">
        <f t="shared" si="10"/>
        <v>0</v>
      </c>
      <c r="S105" s="223">
        <f t="shared" si="10"/>
        <v>0</v>
      </c>
      <c r="T105" s="223">
        <f t="shared" si="10"/>
        <v>0</v>
      </c>
      <c r="U105" s="223">
        <f t="shared" si="10"/>
        <v>0</v>
      </c>
      <c r="V105" s="223">
        <f t="shared" si="10"/>
        <v>0</v>
      </c>
      <c r="W105" s="223">
        <f t="shared" si="10"/>
        <v>0</v>
      </c>
      <c r="X105" s="223">
        <f t="shared" si="10"/>
        <v>0</v>
      </c>
      <c r="Y105" s="223">
        <f t="shared" si="10"/>
        <v>0</v>
      </c>
      <c r="AQ105" s="3"/>
    </row>
    <row r="106" spans="5:43" x14ac:dyDescent="0.25">
      <c r="E106" s="75"/>
      <c r="F106" t="s">
        <v>192</v>
      </c>
      <c r="G106" t="s">
        <v>172</v>
      </c>
      <c r="J106" s="106">
        <f t="shared" ref="J106:Y106" si="11">J$57 * J35 * J94 / hours_in_year / $H46</f>
        <v>204.90409269051852</v>
      </c>
      <c r="K106" s="106">
        <f t="shared" si="11"/>
        <v>0.28206168739794663</v>
      </c>
      <c r="L106" s="106">
        <f t="shared" si="11"/>
        <v>89.444503421289042</v>
      </c>
      <c r="M106" s="106">
        <f t="shared" si="11"/>
        <v>0.15476775950724733</v>
      </c>
      <c r="N106" s="106">
        <f t="shared" si="11"/>
        <v>46.521929250992422</v>
      </c>
      <c r="O106" s="106">
        <f t="shared" si="11"/>
        <v>20.785062035824144</v>
      </c>
      <c r="P106" s="106">
        <f t="shared" si="11"/>
        <v>55.700944621968993</v>
      </c>
      <c r="Q106" s="106">
        <f t="shared" si="11"/>
        <v>3.1566542476378063</v>
      </c>
      <c r="R106" s="106">
        <f t="shared" si="11"/>
        <v>-4.6491383132648121</v>
      </c>
      <c r="S106" s="106">
        <f t="shared" si="11"/>
        <v>-0.4850354669318272</v>
      </c>
      <c r="T106" s="106">
        <f t="shared" si="11"/>
        <v>-2.1972253938067952</v>
      </c>
      <c r="U106" s="106">
        <f t="shared" si="11"/>
        <v>0</v>
      </c>
      <c r="V106" s="106">
        <f t="shared" si="11"/>
        <v>0</v>
      </c>
      <c r="W106" s="106">
        <f t="shared" si="11"/>
        <v>0</v>
      </c>
      <c r="X106" s="106">
        <f t="shared" si="11"/>
        <v>-16.974900193554181</v>
      </c>
      <c r="Y106" s="106">
        <f t="shared" si="11"/>
        <v>0</v>
      </c>
      <c r="AQ106" s="3"/>
    </row>
    <row r="107" spans="5:43" x14ac:dyDescent="0.25">
      <c r="E107" s="75"/>
      <c r="F107" t="s">
        <v>193</v>
      </c>
      <c r="G107" t="s">
        <v>172</v>
      </c>
      <c r="J107" s="106">
        <f t="shared" ref="J107:Y107" si="12">J$57 * J36 * J95 / hours_in_year / $H47</f>
        <v>204.08855401314332</v>
      </c>
      <c r="K107" s="106">
        <f t="shared" si="12"/>
        <v>0.28093905381626327</v>
      </c>
      <c r="L107" s="106">
        <f t="shared" si="12"/>
        <v>89.088505397721718</v>
      </c>
      <c r="M107" s="106">
        <f t="shared" si="12"/>
        <v>0.15415176842463144</v>
      </c>
      <c r="N107" s="106">
        <f t="shared" si="12"/>
        <v>46.336767343525786</v>
      </c>
      <c r="O107" s="106">
        <f t="shared" si="12"/>
        <v>20.702335420756185</v>
      </c>
      <c r="P107" s="106">
        <f t="shared" si="12"/>
        <v>55.479249319991006</v>
      </c>
      <c r="Q107" s="106">
        <f t="shared" si="12"/>
        <v>3.1440904496372579</v>
      </c>
      <c r="R107" s="106">
        <f t="shared" si="12"/>
        <v>-4.6306342801771914</v>
      </c>
      <c r="S107" s="106">
        <f t="shared" si="12"/>
        <v>-0.48310497751120302</v>
      </c>
      <c r="T107" s="106">
        <f t="shared" si="12"/>
        <v>-2.1884802181100516</v>
      </c>
      <c r="U107" s="106">
        <f t="shared" si="12"/>
        <v>0</v>
      </c>
      <c r="V107" s="106">
        <f t="shared" si="12"/>
        <v>0</v>
      </c>
      <c r="W107" s="106">
        <f t="shared" si="12"/>
        <v>0</v>
      </c>
      <c r="X107" s="106">
        <f t="shared" si="12"/>
        <v>-16.90733840173904</v>
      </c>
      <c r="Y107" s="106">
        <f t="shared" si="12"/>
        <v>0</v>
      </c>
      <c r="AQ107" s="3"/>
    </row>
    <row r="108" spans="5:43" x14ac:dyDescent="0.25">
      <c r="E108" s="75"/>
      <c r="F108" t="s">
        <v>194</v>
      </c>
      <c r="G108" t="s">
        <v>172</v>
      </c>
      <c r="J108" s="106">
        <f t="shared" ref="J108:Y108" si="13">J$57 * J37 * J96 / hours_in_year / $H48</f>
        <v>432.5146162584615</v>
      </c>
      <c r="K108" s="106">
        <f t="shared" si="13"/>
        <v>0.59538001844792876</v>
      </c>
      <c r="L108" s="106">
        <f t="shared" si="13"/>
        <v>188.80079243764951</v>
      </c>
      <c r="M108" s="106">
        <f t="shared" si="13"/>
        <v>0.32668609608282567</v>
      </c>
      <c r="N108" s="106">
        <f t="shared" si="13"/>
        <v>98.199182424272536</v>
      </c>
      <c r="O108" s="106">
        <f t="shared" si="13"/>
        <v>43.873419082510978</v>
      </c>
      <c r="P108" s="106">
        <f t="shared" si="13"/>
        <v>117.57438503091214</v>
      </c>
      <c r="Q108" s="106">
        <f t="shared" si="13"/>
        <v>5.0189562541109574</v>
      </c>
      <c r="R108" s="106">
        <f t="shared" si="13"/>
        <v>-9.8134705221887799</v>
      </c>
      <c r="S108" s="106">
        <f t="shared" si="13"/>
        <v>-1.0238201008928423</v>
      </c>
      <c r="T108" s="106">
        <f t="shared" si="13"/>
        <v>-4.6379361464050808</v>
      </c>
      <c r="U108" s="106">
        <f t="shared" si="13"/>
        <v>0</v>
      </c>
      <c r="V108" s="106">
        <f t="shared" si="13"/>
        <v>0</v>
      </c>
      <c r="W108" s="106">
        <f t="shared" si="13"/>
        <v>0</v>
      </c>
      <c r="X108" s="106">
        <f t="shared" si="13"/>
        <v>-35.830872613802605</v>
      </c>
      <c r="Y108" s="106">
        <f t="shared" si="13"/>
        <v>0</v>
      </c>
      <c r="AQ108" s="3"/>
    </row>
    <row r="109" spans="5:43" x14ac:dyDescent="0.25">
      <c r="E109" s="75"/>
      <c r="F109" t="s">
        <v>195</v>
      </c>
      <c r="G109" t="s">
        <v>172</v>
      </c>
      <c r="J109" s="106">
        <f t="shared" ref="J109:Y109" si="14">J$57 * J38 * J97 / hours_in_year / $H49</f>
        <v>429.96541419799905</v>
      </c>
      <c r="K109" s="106">
        <f t="shared" si="14"/>
        <v>0.59187090242564233</v>
      </c>
      <c r="L109" s="106">
        <f t="shared" si="14"/>
        <v>187.68801762956906</v>
      </c>
      <c r="M109" s="106">
        <f t="shared" si="14"/>
        <v>0.32476063775620784</v>
      </c>
      <c r="N109" s="106">
        <f t="shared" si="14"/>
        <v>97.620405317646174</v>
      </c>
      <c r="O109" s="106">
        <f t="shared" si="14"/>
        <v>43.614833115423487</v>
      </c>
      <c r="P109" s="106">
        <f t="shared" si="14"/>
        <v>116.88141223112287</v>
      </c>
      <c r="Q109" s="106">
        <f t="shared" si="14"/>
        <v>4.9893749795287707</v>
      </c>
      <c r="R109" s="106">
        <f t="shared" si="14"/>
        <v>-9.755630813806528</v>
      </c>
      <c r="S109" s="106">
        <f t="shared" si="14"/>
        <v>-1.0177857977441613</v>
      </c>
      <c r="T109" s="106">
        <f t="shared" si="14"/>
        <v>-4.6106005699036752</v>
      </c>
      <c r="U109" s="106">
        <f t="shared" si="14"/>
        <v>0</v>
      </c>
      <c r="V109" s="106">
        <f t="shared" si="14"/>
        <v>0</v>
      </c>
      <c r="W109" s="106">
        <f t="shared" si="14"/>
        <v>0</v>
      </c>
      <c r="X109" s="106">
        <f t="shared" si="14"/>
        <v>-35.619688688770367</v>
      </c>
      <c r="Y109" s="106">
        <f t="shared" si="14"/>
        <v>0</v>
      </c>
      <c r="AQ109" s="3"/>
    </row>
    <row r="110" spans="5:43" x14ac:dyDescent="0.25">
      <c r="E110" s="75"/>
      <c r="F110" t="s">
        <v>196</v>
      </c>
      <c r="G110" t="s">
        <v>172</v>
      </c>
      <c r="J110" s="106">
        <f t="shared" ref="J110:Y110" si="15">J$57 * J39 * J98 / hours_in_year / $H50</f>
        <v>0</v>
      </c>
      <c r="K110" s="106">
        <f t="shared" si="15"/>
        <v>0</v>
      </c>
      <c r="L110" s="106">
        <f t="shared" si="15"/>
        <v>0</v>
      </c>
      <c r="M110" s="106">
        <f t="shared" si="15"/>
        <v>0</v>
      </c>
      <c r="N110" s="106">
        <f t="shared" si="15"/>
        <v>0</v>
      </c>
      <c r="O110" s="106">
        <f t="shared" si="15"/>
        <v>0</v>
      </c>
      <c r="P110" s="106">
        <f t="shared" si="15"/>
        <v>0</v>
      </c>
      <c r="Q110" s="106">
        <f t="shared" si="15"/>
        <v>0</v>
      </c>
      <c r="R110" s="106">
        <f t="shared" si="15"/>
        <v>0</v>
      </c>
      <c r="S110" s="106">
        <f t="shared" si="15"/>
        <v>0</v>
      </c>
      <c r="T110" s="106">
        <f t="shared" si="15"/>
        <v>0</v>
      </c>
      <c r="U110" s="106">
        <f t="shared" si="15"/>
        <v>0</v>
      </c>
      <c r="V110" s="106">
        <f t="shared" si="15"/>
        <v>0</v>
      </c>
      <c r="W110" s="106">
        <f t="shared" si="15"/>
        <v>0</v>
      </c>
      <c r="X110" s="106">
        <f t="shared" si="15"/>
        <v>0</v>
      </c>
      <c r="Y110" s="106">
        <f t="shared" si="15"/>
        <v>0</v>
      </c>
      <c r="AQ110" s="3"/>
    </row>
    <row r="111" spans="5:43" x14ac:dyDescent="0.25">
      <c r="E111" s="75"/>
      <c r="F111" t="s">
        <v>197</v>
      </c>
      <c r="G111" t="s">
        <v>172</v>
      </c>
      <c r="J111" s="106">
        <f t="shared" ref="J111:Y111" si="16">J$57 * J40 * J99 / hours_in_year / $H51</f>
        <v>423.31217761466445</v>
      </c>
      <c r="K111" s="106">
        <f t="shared" si="16"/>
        <v>0.58271235848095149</v>
      </c>
      <c r="L111" s="106">
        <f t="shared" si="16"/>
        <v>184.78375430067823</v>
      </c>
      <c r="M111" s="106">
        <f t="shared" si="16"/>
        <v>0.31973532808106342</v>
      </c>
      <c r="N111" s="106">
        <f t="shared" si="16"/>
        <v>96.109838117373116</v>
      </c>
      <c r="O111" s="106">
        <f t="shared" si="16"/>
        <v>42.939942080755422</v>
      </c>
      <c r="P111" s="106">
        <f t="shared" si="16"/>
        <v>115.07280237067997</v>
      </c>
      <c r="Q111" s="106">
        <f t="shared" si="16"/>
        <v>4.9121699508320011</v>
      </c>
      <c r="R111" s="106">
        <f t="shared" si="16"/>
        <v>-9.6046732770358272</v>
      </c>
      <c r="S111" s="106">
        <f t="shared" si="16"/>
        <v>-1.0020366944908667</v>
      </c>
      <c r="T111" s="106">
        <f t="shared" si="16"/>
        <v>-4.5392566539283763</v>
      </c>
      <c r="U111" s="106">
        <f t="shared" si="16"/>
        <v>0</v>
      </c>
      <c r="V111" s="106">
        <f t="shared" si="16"/>
        <v>0</v>
      </c>
      <c r="W111" s="106">
        <f t="shared" si="16"/>
        <v>0</v>
      </c>
      <c r="X111" s="106">
        <f t="shared" si="16"/>
        <v>0</v>
      </c>
      <c r="Y111" s="106">
        <f t="shared" si="16"/>
        <v>0</v>
      </c>
      <c r="AQ111" s="3"/>
    </row>
    <row r="112" spans="5:43" x14ac:dyDescent="0.25">
      <c r="E112" s="75"/>
      <c r="F112" t="s">
        <v>198</v>
      </c>
      <c r="G112" t="s">
        <v>172</v>
      </c>
      <c r="J112" s="106">
        <f t="shared" ref="J112:Y112" si="17">J$57 * J41 * J100 / hours_in_year / $H52</f>
        <v>417.65724394423955</v>
      </c>
      <c r="K112" s="106">
        <f t="shared" si="17"/>
        <v>0.57492803308139684</v>
      </c>
      <c r="L112" s="106">
        <f t="shared" si="17"/>
        <v>182.31526903330274</v>
      </c>
      <c r="M112" s="106">
        <f t="shared" si="17"/>
        <v>0.31546405461433163</v>
      </c>
      <c r="N112" s="106">
        <f t="shared" si="17"/>
        <v>94.825928066186833</v>
      </c>
      <c r="O112" s="106">
        <f t="shared" si="17"/>
        <v>42.366316900287316</v>
      </c>
      <c r="P112" s="106">
        <f t="shared" si="17"/>
        <v>0</v>
      </c>
      <c r="Q112" s="106">
        <f t="shared" si="17"/>
        <v>4.8465493598857714</v>
      </c>
      <c r="R112" s="106">
        <f t="shared" si="17"/>
        <v>-9.4763665729532871</v>
      </c>
      <c r="S112" s="106">
        <f t="shared" si="17"/>
        <v>0</v>
      </c>
      <c r="T112" s="106">
        <f t="shared" si="17"/>
        <v>-4.4786177291621581</v>
      </c>
      <c r="U112" s="106">
        <f t="shared" si="17"/>
        <v>0</v>
      </c>
      <c r="V112" s="106">
        <f t="shared" si="17"/>
        <v>0</v>
      </c>
      <c r="W112" s="106">
        <f t="shared" si="17"/>
        <v>0</v>
      </c>
      <c r="X112" s="106">
        <f t="shared" si="17"/>
        <v>0</v>
      </c>
      <c r="Y112" s="106">
        <f t="shared" si="17"/>
        <v>0</v>
      </c>
      <c r="AQ112" s="3"/>
    </row>
    <row r="113" spans="5:43" x14ac:dyDescent="0.25">
      <c r="E113" s="75"/>
      <c r="F113" s="96" t="s">
        <v>199</v>
      </c>
      <c r="G113" s="96" t="s">
        <v>172</v>
      </c>
      <c r="H113" s="96"/>
      <c r="I113" s="96"/>
      <c r="J113" s="196">
        <f t="shared" ref="J113:Y113" si="18">J$57 * J42 * J101 / hours_in_year / $H53</f>
        <v>412.15140457021005</v>
      </c>
      <c r="K113" s="196">
        <f t="shared" si="18"/>
        <v>0.56734894413305448</v>
      </c>
      <c r="L113" s="196">
        <f t="shared" si="18"/>
        <v>179.91186624002003</v>
      </c>
      <c r="M113" s="196">
        <f t="shared" si="18"/>
        <v>0.31130539476065872</v>
      </c>
      <c r="N113" s="196">
        <f t="shared" si="18"/>
        <v>93.57586875081337</v>
      </c>
      <c r="O113" s="196">
        <f t="shared" si="18"/>
        <v>0</v>
      </c>
      <c r="P113" s="196">
        <f t="shared" si="18"/>
        <v>0</v>
      </c>
      <c r="Q113" s="196">
        <f t="shared" si="18"/>
        <v>4.7826588786820041</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25">
      <c r="E114" s="75"/>
      <c r="J114" s="106"/>
      <c r="K114" s="106"/>
      <c r="L114" s="106"/>
      <c r="M114" s="106"/>
      <c r="N114" s="106"/>
      <c r="O114" s="106"/>
      <c r="P114" s="106"/>
      <c r="Q114" s="106"/>
      <c r="R114" s="106"/>
      <c r="S114" s="106"/>
      <c r="T114" s="106"/>
      <c r="U114" s="106"/>
      <c r="V114" s="106"/>
      <c r="W114" s="106"/>
      <c r="X114" s="106"/>
      <c r="Y114" s="106"/>
      <c r="AQ114" s="3"/>
    </row>
    <row r="115" spans="5:43" x14ac:dyDescent="0.25">
      <c r="E115" s="75" t="s">
        <v>470</v>
      </c>
      <c r="J115" s="106"/>
      <c r="K115" s="106"/>
      <c r="L115" s="106"/>
      <c r="M115" s="106"/>
      <c r="N115" s="106"/>
      <c r="O115" s="106"/>
      <c r="P115" s="106"/>
      <c r="Q115" s="106"/>
      <c r="R115" s="106"/>
      <c r="S115" s="106"/>
      <c r="T115" s="106"/>
      <c r="U115" s="106"/>
      <c r="V115" s="106"/>
      <c r="W115" s="106"/>
      <c r="X115" s="106"/>
      <c r="Y115" s="106"/>
      <c r="AQ115" s="3"/>
    </row>
    <row r="116" spans="5:43" x14ac:dyDescent="0.25">
      <c r="E116" s="75"/>
      <c r="F116" s="95" t="s">
        <v>191</v>
      </c>
      <c r="G116" s="95" t="s">
        <v>283</v>
      </c>
      <c r="H116" s="95"/>
      <c r="I116" s="95"/>
      <c r="J116" s="171">
        <f>'Pseudo-load coefficients'!J294</f>
        <v>0</v>
      </c>
      <c r="K116" s="171">
        <f>'Pseudo-load coefficients'!K294</f>
        <v>0</v>
      </c>
      <c r="L116" s="171">
        <f>'Pseudo-load coefficients'!L294</f>
        <v>0</v>
      </c>
      <c r="M116" s="171">
        <f>'Pseudo-load coefficients'!M294</f>
        <v>0</v>
      </c>
      <c r="N116" s="171">
        <f>'Pseudo-load coefficients'!N294</f>
        <v>0</v>
      </c>
      <c r="O116" s="171">
        <f>'Pseudo-load coefficients'!O294</f>
        <v>0</v>
      </c>
      <c r="P116" s="171">
        <f>'Pseudo-load coefficients'!P294</f>
        <v>0</v>
      </c>
      <c r="Q116" s="171">
        <f>'Pseudo-load coefficients'!Q294</f>
        <v>0</v>
      </c>
      <c r="R116" s="171">
        <f>'Pseudo-load coefficients'!R294</f>
        <v>0</v>
      </c>
      <c r="S116" s="171">
        <f>'Pseudo-load coefficients'!S294</f>
        <v>0</v>
      </c>
      <c r="T116" s="171">
        <f>'Pseudo-load coefficients'!T294</f>
        <v>0</v>
      </c>
      <c r="U116" s="171">
        <f>'Pseudo-load coefficients'!U294</f>
        <v>0</v>
      </c>
      <c r="V116" s="171">
        <f>'Pseudo-load coefficients'!V294</f>
        <v>0</v>
      </c>
      <c r="W116" s="171">
        <f>'Pseudo-load coefficients'!W294</f>
        <v>0</v>
      </c>
      <c r="X116" s="171">
        <f>'Pseudo-load coefficients'!X294</f>
        <v>0</v>
      </c>
      <c r="Y116" s="171">
        <f>'Pseudo-load coefficients'!Y294</f>
        <v>0</v>
      </c>
      <c r="AQ116" s="3"/>
    </row>
    <row r="117" spans="5:43" x14ac:dyDescent="0.25">
      <c r="E117" s="75"/>
      <c r="F117" t="s">
        <v>192</v>
      </c>
      <c r="G117" t="s">
        <v>283</v>
      </c>
      <c r="J117" s="167">
        <f>'Pseudo-load coefficients'!J295</f>
        <v>5.5583820060049118E-2</v>
      </c>
      <c r="K117" s="167">
        <f>'Pseudo-load coefficients'!K295</f>
        <v>5.5583820060049118E-2</v>
      </c>
      <c r="L117" s="167">
        <f>'Pseudo-load coefficients'!L295</f>
        <v>5.9125789755965545E-2</v>
      </c>
      <c r="M117" s="167">
        <f>'Pseudo-load coefficients'!M295</f>
        <v>5.9125789755965545E-2</v>
      </c>
      <c r="N117" s="167">
        <f>'Pseudo-load coefficients'!N295</f>
        <v>4.4962724421954529E-2</v>
      </c>
      <c r="O117" s="167">
        <f>'Pseudo-load coefficients'!O295</f>
        <v>4.207986036264269E-2</v>
      </c>
      <c r="P117" s="167">
        <f>'Pseudo-load coefficients'!P295</f>
        <v>3.9083936786336718E-2</v>
      </c>
      <c r="Q117" s="167">
        <f>'Pseudo-load coefficients'!Q295</f>
        <v>4.1515671246696674E-2</v>
      </c>
      <c r="R117" s="167">
        <f>'Pseudo-load coefficients'!R295</f>
        <v>3.5427612785478964E-2</v>
      </c>
      <c r="S117" s="167">
        <f>'Pseudo-load coefficients'!S295</f>
        <v>3.5427612785478964E-2</v>
      </c>
      <c r="T117" s="167">
        <f>'Pseudo-load coefficients'!T295</f>
        <v>3.5427612785478964E-2</v>
      </c>
      <c r="U117" s="167">
        <f>'Pseudo-load coefficients'!U295</f>
        <v>3.5427612785478964E-2</v>
      </c>
      <c r="V117" s="167">
        <f>'Pseudo-load coefficients'!V295</f>
        <v>3.5427612785478964E-2</v>
      </c>
      <c r="W117" s="167">
        <f>'Pseudo-load coefficients'!W295</f>
        <v>3.5427612785478964E-2</v>
      </c>
      <c r="X117" s="167">
        <f>'Pseudo-load coefficients'!X295</f>
        <v>3.5427612785478964E-2</v>
      </c>
      <c r="Y117" s="167">
        <f>'Pseudo-load coefficients'!Y295</f>
        <v>3.5427612785478964E-2</v>
      </c>
      <c r="AQ117" s="3"/>
    </row>
    <row r="118" spans="5:43" x14ac:dyDescent="0.25">
      <c r="E118" s="75"/>
      <c r="F118" t="s">
        <v>193</v>
      </c>
      <c r="G118" t="s">
        <v>283</v>
      </c>
      <c r="J118" s="167">
        <f>'Pseudo-load coefficients'!J296</f>
        <v>5.5583820060049118E-2</v>
      </c>
      <c r="K118" s="167">
        <f>'Pseudo-load coefficients'!K296</f>
        <v>5.5583820060049118E-2</v>
      </c>
      <c r="L118" s="167">
        <f>'Pseudo-load coefficients'!L296</f>
        <v>5.9125789755965545E-2</v>
      </c>
      <c r="M118" s="167">
        <f>'Pseudo-load coefficients'!M296</f>
        <v>5.9125789755965545E-2</v>
      </c>
      <c r="N118" s="167">
        <f>'Pseudo-load coefficients'!N296</f>
        <v>4.4962724421954529E-2</v>
      </c>
      <c r="O118" s="167">
        <f>'Pseudo-load coefficients'!O296</f>
        <v>4.207986036264269E-2</v>
      </c>
      <c r="P118" s="167">
        <f>'Pseudo-load coefficients'!P296</f>
        <v>3.9083936786336718E-2</v>
      </c>
      <c r="Q118" s="167">
        <f>'Pseudo-load coefficients'!Q296</f>
        <v>4.1515671246696674E-2</v>
      </c>
      <c r="R118" s="167">
        <f>'Pseudo-load coefficients'!R296</f>
        <v>3.5427612785478964E-2</v>
      </c>
      <c r="S118" s="167">
        <f>'Pseudo-load coefficients'!S296</f>
        <v>3.5427612785478964E-2</v>
      </c>
      <c r="T118" s="167">
        <f>'Pseudo-load coefficients'!T296</f>
        <v>3.5427612785478964E-2</v>
      </c>
      <c r="U118" s="167">
        <f>'Pseudo-load coefficients'!U296</f>
        <v>3.5427612785478964E-2</v>
      </c>
      <c r="V118" s="167">
        <f>'Pseudo-load coefficients'!V296</f>
        <v>3.5427612785478964E-2</v>
      </c>
      <c r="W118" s="167">
        <f>'Pseudo-load coefficients'!W296</f>
        <v>3.5427612785478964E-2</v>
      </c>
      <c r="X118" s="167">
        <f>'Pseudo-load coefficients'!X296</f>
        <v>3.5427612785478964E-2</v>
      </c>
      <c r="Y118" s="167">
        <f>'Pseudo-load coefficients'!Y296</f>
        <v>3.5427612785478964E-2</v>
      </c>
      <c r="AQ118" s="3"/>
    </row>
    <row r="119" spans="5:43" x14ac:dyDescent="0.25">
      <c r="E119" s="75"/>
      <c r="F119" t="s">
        <v>194</v>
      </c>
      <c r="G119" t="s">
        <v>283</v>
      </c>
      <c r="J119" s="167">
        <f>'Pseudo-load coefficients'!J297</f>
        <v>0.18369513378164037</v>
      </c>
      <c r="K119" s="167">
        <f>'Pseudo-load coefficients'!K297</f>
        <v>0.18369513378164037</v>
      </c>
      <c r="L119" s="167">
        <f>'Pseudo-load coefficients'!L297</f>
        <v>0.19540074517069159</v>
      </c>
      <c r="M119" s="167">
        <f>'Pseudo-load coefficients'!M297</f>
        <v>0.19540074517069159</v>
      </c>
      <c r="N119" s="167">
        <f>'Pseudo-load coefficients'!N297</f>
        <v>0.14859420725230857</v>
      </c>
      <c r="O119" s="167">
        <f>'Pseudo-load coefficients'!O297</f>
        <v>0.13906682862886274</v>
      </c>
      <c r="P119" s="167">
        <f>'Pseudo-load coefficients'!P297</f>
        <v>0.12916580740443903</v>
      </c>
      <c r="Q119" s="167">
        <f>'Pseudo-load coefficients'!Q297</f>
        <v>0.13720227892681125</v>
      </c>
      <c r="R119" s="167">
        <f>'Pseudo-load coefficients'!R297</f>
        <v>0.11708227435901354</v>
      </c>
      <c r="S119" s="167">
        <f>'Pseudo-load coefficients'!S297</f>
        <v>0.11708227435901354</v>
      </c>
      <c r="T119" s="167">
        <f>'Pseudo-load coefficients'!T297</f>
        <v>0.11708227435901354</v>
      </c>
      <c r="U119" s="167">
        <f>'Pseudo-load coefficients'!U297</f>
        <v>0.11708227435901354</v>
      </c>
      <c r="V119" s="167">
        <f>'Pseudo-load coefficients'!V297</f>
        <v>0.11708227435901354</v>
      </c>
      <c r="W119" s="167">
        <f>'Pseudo-load coefficients'!W297</f>
        <v>0.11708227435901354</v>
      </c>
      <c r="X119" s="167">
        <f>'Pseudo-load coefficients'!X297</f>
        <v>0.11708227435901354</v>
      </c>
      <c r="Y119" s="167">
        <f>'Pseudo-load coefficients'!Y297</f>
        <v>0.11708227435901354</v>
      </c>
      <c r="AQ119" s="3"/>
    </row>
    <row r="120" spans="5:43" x14ac:dyDescent="0.25">
      <c r="E120" s="75"/>
      <c r="F120" t="s">
        <v>195</v>
      </c>
      <c r="G120" t="s">
        <v>283</v>
      </c>
      <c r="J120" s="167">
        <f>'Pseudo-load coefficients'!J298</f>
        <v>0.18369513378164037</v>
      </c>
      <c r="K120" s="167">
        <f>'Pseudo-load coefficients'!K298</f>
        <v>0.18369513378164037</v>
      </c>
      <c r="L120" s="167">
        <f>'Pseudo-load coefficients'!L298</f>
        <v>0.19540074517069159</v>
      </c>
      <c r="M120" s="167">
        <f>'Pseudo-load coefficients'!M298</f>
        <v>0.19540074517069159</v>
      </c>
      <c r="N120" s="167">
        <f>'Pseudo-load coefficients'!N298</f>
        <v>0.14859420725230857</v>
      </c>
      <c r="O120" s="167">
        <f>'Pseudo-load coefficients'!O298</f>
        <v>0.13906682862886274</v>
      </c>
      <c r="P120" s="167">
        <f>'Pseudo-load coefficients'!P298</f>
        <v>0.12916580740443903</v>
      </c>
      <c r="Q120" s="167">
        <f>'Pseudo-load coefficients'!Q298</f>
        <v>0.13720227892681125</v>
      </c>
      <c r="R120" s="167">
        <f>'Pseudo-load coefficients'!R298</f>
        <v>0.11708227435901354</v>
      </c>
      <c r="S120" s="167">
        <f>'Pseudo-load coefficients'!S298</f>
        <v>0.11708227435901354</v>
      </c>
      <c r="T120" s="167">
        <f>'Pseudo-load coefficients'!T298</f>
        <v>0.11708227435901354</v>
      </c>
      <c r="U120" s="167">
        <f>'Pseudo-load coefficients'!U298</f>
        <v>0.11708227435901354</v>
      </c>
      <c r="V120" s="167">
        <f>'Pseudo-load coefficients'!V298</f>
        <v>0.11708227435901354</v>
      </c>
      <c r="W120" s="167">
        <f>'Pseudo-load coefficients'!W298</f>
        <v>0.11708227435901354</v>
      </c>
      <c r="X120" s="167">
        <f>'Pseudo-load coefficients'!X298</f>
        <v>0.11708227435901354</v>
      </c>
      <c r="Y120" s="167">
        <f>'Pseudo-load coefficients'!Y298</f>
        <v>0.11708227435901354</v>
      </c>
      <c r="AQ120" s="3"/>
    </row>
    <row r="121" spans="5:43" x14ac:dyDescent="0.25">
      <c r="E121" s="75"/>
      <c r="F121" t="s">
        <v>196</v>
      </c>
      <c r="G121" t="s">
        <v>283</v>
      </c>
      <c r="J121" s="167">
        <f>'Pseudo-load coefficients'!J299</f>
        <v>5.5583820060049118E-2</v>
      </c>
      <c r="K121" s="167">
        <f>'Pseudo-load coefficients'!K299</f>
        <v>5.5583820060049118E-2</v>
      </c>
      <c r="L121" s="167">
        <f>'Pseudo-load coefficients'!L299</f>
        <v>5.9125789755965545E-2</v>
      </c>
      <c r="M121" s="167">
        <f>'Pseudo-load coefficients'!M299</f>
        <v>5.9125789755965545E-2</v>
      </c>
      <c r="N121" s="167">
        <f>'Pseudo-load coefficients'!N299</f>
        <v>4.4962724421954529E-2</v>
      </c>
      <c r="O121" s="167">
        <f>'Pseudo-load coefficients'!O299</f>
        <v>4.207986036264269E-2</v>
      </c>
      <c r="P121" s="167">
        <f>'Pseudo-load coefficients'!P299</f>
        <v>3.9083936786336718E-2</v>
      </c>
      <c r="Q121" s="167">
        <f>'Pseudo-load coefficients'!Q299</f>
        <v>4.1515671246696674E-2</v>
      </c>
      <c r="R121" s="167">
        <f>'Pseudo-load coefficients'!R299</f>
        <v>3.5427612785478964E-2</v>
      </c>
      <c r="S121" s="167">
        <f>'Pseudo-load coefficients'!S299</f>
        <v>3.5427612785478964E-2</v>
      </c>
      <c r="T121" s="167">
        <f>'Pseudo-load coefficients'!T299</f>
        <v>3.5427612785478964E-2</v>
      </c>
      <c r="U121" s="167">
        <f>'Pseudo-load coefficients'!U299</f>
        <v>3.5427612785478964E-2</v>
      </c>
      <c r="V121" s="167">
        <f>'Pseudo-load coefficients'!V299</f>
        <v>3.5427612785478964E-2</v>
      </c>
      <c r="W121" s="167">
        <f>'Pseudo-load coefficients'!W299</f>
        <v>3.5427612785478964E-2</v>
      </c>
      <c r="X121" s="167">
        <f>'Pseudo-load coefficients'!X299</f>
        <v>3.5427612785478964E-2</v>
      </c>
      <c r="Y121" s="167">
        <f>'Pseudo-load coefficients'!Y299</f>
        <v>3.5427612785478964E-2</v>
      </c>
      <c r="AQ121" s="3"/>
    </row>
    <row r="122" spans="5:43" x14ac:dyDescent="0.25">
      <c r="E122" s="75"/>
      <c r="F122" t="s">
        <v>197</v>
      </c>
      <c r="G122" t="s">
        <v>283</v>
      </c>
      <c r="J122" s="167">
        <f>'Pseudo-load coefficients'!J300</f>
        <v>0.18369513378164037</v>
      </c>
      <c r="K122" s="167">
        <f>'Pseudo-load coefficients'!K300</f>
        <v>0.18369513378164037</v>
      </c>
      <c r="L122" s="167">
        <f>'Pseudo-load coefficients'!L300</f>
        <v>0.19540074517069159</v>
      </c>
      <c r="M122" s="167">
        <f>'Pseudo-load coefficients'!M300</f>
        <v>0.19540074517069159</v>
      </c>
      <c r="N122" s="167">
        <f>'Pseudo-load coefficients'!N300</f>
        <v>0.14859420725230857</v>
      </c>
      <c r="O122" s="167">
        <f>'Pseudo-load coefficients'!O300</f>
        <v>0.13906682862886274</v>
      </c>
      <c r="P122" s="167">
        <f>'Pseudo-load coefficients'!P300</f>
        <v>0.12916580740443903</v>
      </c>
      <c r="Q122" s="167">
        <f>'Pseudo-load coefficients'!Q300</f>
        <v>0.13720227892681125</v>
      </c>
      <c r="R122" s="167">
        <f>'Pseudo-load coefficients'!R300</f>
        <v>0.11708227435901354</v>
      </c>
      <c r="S122" s="167">
        <f>'Pseudo-load coefficients'!S300</f>
        <v>0.11708227435901354</v>
      </c>
      <c r="T122" s="167">
        <f>'Pseudo-load coefficients'!T300</f>
        <v>0.11708227435901354</v>
      </c>
      <c r="U122" s="167">
        <f>'Pseudo-load coefficients'!U300</f>
        <v>0.11708227435901354</v>
      </c>
      <c r="V122" s="167">
        <f>'Pseudo-load coefficients'!V300</f>
        <v>0.11708227435901354</v>
      </c>
      <c r="W122" s="167">
        <f>'Pseudo-load coefficients'!W300</f>
        <v>0.11708227435901354</v>
      </c>
      <c r="X122" s="167">
        <f>'Pseudo-load coefficients'!X300</f>
        <v>0.11708227435901354</v>
      </c>
      <c r="Y122" s="167">
        <f>'Pseudo-load coefficients'!Y300</f>
        <v>0.11708227435901354</v>
      </c>
      <c r="AQ122" s="3"/>
    </row>
    <row r="123" spans="5:43" x14ac:dyDescent="0.25">
      <c r="E123" s="75"/>
      <c r="F123" t="s">
        <v>198</v>
      </c>
      <c r="G123" t="s">
        <v>283</v>
      </c>
      <c r="J123" s="167">
        <f>'Pseudo-load coefficients'!J301</f>
        <v>0.18369513378164037</v>
      </c>
      <c r="K123" s="167">
        <f>'Pseudo-load coefficients'!K301</f>
        <v>0.18369513378164037</v>
      </c>
      <c r="L123" s="167">
        <f>'Pseudo-load coefficients'!L301</f>
        <v>0.19540074517069159</v>
      </c>
      <c r="M123" s="167">
        <f>'Pseudo-load coefficients'!M301</f>
        <v>0.19540074517069159</v>
      </c>
      <c r="N123" s="167">
        <f>'Pseudo-load coefficients'!N301</f>
        <v>0.14859420725230857</v>
      </c>
      <c r="O123" s="167">
        <f>'Pseudo-load coefficients'!O301</f>
        <v>0.13906682862886274</v>
      </c>
      <c r="P123" s="167">
        <f>'Pseudo-load coefficients'!P301</f>
        <v>0.12916580740443903</v>
      </c>
      <c r="Q123" s="167">
        <f>'Pseudo-load coefficients'!Q301</f>
        <v>0.13720227892681125</v>
      </c>
      <c r="R123" s="167">
        <f>'Pseudo-load coefficients'!R301</f>
        <v>0.11708227435901354</v>
      </c>
      <c r="S123" s="167">
        <f>'Pseudo-load coefficients'!S301</f>
        <v>0.11708227435901354</v>
      </c>
      <c r="T123" s="167">
        <f>'Pseudo-load coefficients'!T301</f>
        <v>0.11708227435901354</v>
      </c>
      <c r="U123" s="167">
        <f>'Pseudo-load coefficients'!U301</f>
        <v>0.11708227435901354</v>
      </c>
      <c r="V123" s="167">
        <f>'Pseudo-load coefficients'!V301</f>
        <v>0.11708227435901354</v>
      </c>
      <c r="W123" s="167">
        <f>'Pseudo-load coefficients'!W301</f>
        <v>0.11708227435901354</v>
      </c>
      <c r="X123" s="167">
        <f>'Pseudo-load coefficients'!X301</f>
        <v>0.11708227435901354</v>
      </c>
      <c r="Y123" s="167">
        <f>'Pseudo-load coefficients'!Y301</f>
        <v>0.11708227435901354</v>
      </c>
      <c r="AQ123" s="3"/>
    </row>
    <row r="124" spans="5:43" x14ac:dyDescent="0.25">
      <c r="E124" s="75"/>
      <c r="F124" s="96" t="s">
        <v>199</v>
      </c>
      <c r="G124" s="96" t="s">
        <v>283</v>
      </c>
      <c r="H124" s="96"/>
      <c r="I124" s="96"/>
      <c r="J124" s="172">
        <f>'Pseudo-load coefficients'!J302</f>
        <v>0.18369513378164037</v>
      </c>
      <c r="K124" s="172">
        <f>'Pseudo-load coefficients'!K302</f>
        <v>0.18369513378164037</v>
      </c>
      <c r="L124" s="172">
        <f>'Pseudo-load coefficients'!L302</f>
        <v>0.19540074517069159</v>
      </c>
      <c r="M124" s="172">
        <f>'Pseudo-load coefficients'!M302</f>
        <v>0.19540074517069159</v>
      </c>
      <c r="N124" s="172">
        <f>'Pseudo-load coefficients'!N302</f>
        <v>0.14859420725230857</v>
      </c>
      <c r="O124" s="172">
        <f>'Pseudo-load coefficients'!O302</f>
        <v>0.13906682862886274</v>
      </c>
      <c r="P124" s="172">
        <f>'Pseudo-load coefficients'!P302</f>
        <v>0.12916580740443903</v>
      </c>
      <c r="Q124" s="172">
        <f>'Pseudo-load coefficients'!Q302</f>
        <v>0.13720227892681125</v>
      </c>
      <c r="R124" s="172">
        <f>'Pseudo-load coefficients'!R302</f>
        <v>0.11708227435901354</v>
      </c>
      <c r="S124" s="172">
        <f>'Pseudo-load coefficients'!S302</f>
        <v>0.11708227435901354</v>
      </c>
      <c r="T124" s="172">
        <f>'Pseudo-load coefficients'!T302</f>
        <v>0.11708227435901354</v>
      </c>
      <c r="U124" s="172">
        <f>'Pseudo-load coefficients'!U302</f>
        <v>0.11708227435901354</v>
      </c>
      <c r="V124" s="172">
        <f>'Pseudo-load coefficients'!V302</f>
        <v>0.11708227435901354</v>
      </c>
      <c r="W124" s="172">
        <f>'Pseudo-load coefficients'!W302</f>
        <v>0.11708227435901354</v>
      </c>
      <c r="X124" s="172">
        <f>'Pseudo-load coefficients'!X302</f>
        <v>0.11708227435901354</v>
      </c>
      <c r="Y124" s="172">
        <f>'Pseudo-load coefficients'!Y302</f>
        <v>0.11708227435901354</v>
      </c>
      <c r="AQ124" s="3"/>
    </row>
    <row r="125" spans="5:43" x14ac:dyDescent="0.25">
      <c r="E125" s="75"/>
      <c r="J125" s="106"/>
      <c r="K125" s="106"/>
      <c r="L125" s="106"/>
      <c r="M125" s="106"/>
      <c r="N125" s="106"/>
      <c r="O125" s="106"/>
      <c r="P125" s="106"/>
      <c r="Q125" s="106"/>
      <c r="R125" s="106"/>
      <c r="S125" s="106"/>
      <c r="T125" s="106"/>
      <c r="U125" s="106"/>
      <c r="V125" s="106"/>
      <c r="W125" s="106"/>
      <c r="X125" s="106"/>
      <c r="Y125" s="106"/>
      <c r="AQ125" s="3"/>
    </row>
    <row r="126" spans="5:43" x14ac:dyDescent="0.25">
      <c r="E126" s="75" t="s">
        <v>471</v>
      </c>
      <c r="J126" s="106"/>
      <c r="K126" s="106"/>
      <c r="L126" s="106"/>
      <c r="M126" s="106"/>
      <c r="N126" s="106"/>
      <c r="O126" s="106"/>
      <c r="P126" s="106"/>
      <c r="Q126" s="106"/>
      <c r="R126" s="106"/>
      <c r="S126" s="106"/>
      <c r="T126" s="106"/>
      <c r="U126" s="106"/>
      <c r="V126" s="106"/>
      <c r="W126" s="106"/>
      <c r="X126" s="106"/>
      <c r="Y126" s="106"/>
      <c r="AQ126" s="3"/>
    </row>
    <row r="127" spans="5:43" x14ac:dyDescent="0.25">
      <c r="E127" s="86" t="s">
        <v>472</v>
      </c>
      <c r="J127" s="106"/>
      <c r="K127" s="106"/>
      <c r="L127" s="106"/>
      <c r="M127" s="106"/>
      <c r="N127" s="106"/>
      <c r="O127" s="106"/>
      <c r="P127" s="106"/>
      <c r="Q127" s="106"/>
      <c r="R127" s="106"/>
      <c r="S127" s="106"/>
      <c r="T127" s="106"/>
      <c r="U127" s="106"/>
      <c r="V127" s="106"/>
      <c r="W127" s="106"/>
      <c r="X127" s="106"/>
      <c r="Y127" s="106"/>
      <c r="AQ127" s="3"/>
    </row>
    <row r="128" spans="5:43" x14ac:dyDescent="0.25">
      <c r="E128" s="75"/>
      <c r="F128" s="95" t="s">
        <v>191</v>
      </c>
      <c r="G128" s="95" t="s">
        <v>172</v>
      </c>
      <c r="H128" s="95"/>
      <c r="I128" s="95"/>
      <c r="J128" s="223">
        <f t="shared" ref="J128:Y128" si="19">J$58 * J34 * J116 / hours_in_year / $H45</f>
        <v>0</v>
      </c>
      <c r="K128" s="223">
        <f t="shared" si="19"/>
        <v>0</v>
      </c>
      <c r="L128" s="223">
        <f t="shared" si="19"/>
        <v>0</v>
      </c>
      <c r="M128" s="223">
        <f t="shared" si="19"/>
        <v>0</v>
      </c>
      <c r="N128" s="223">
        <f t="shared" si="19"/>
        <v>0</v>
      </c>
      <c r="O128" s="223">
        <f t="shared" si="19"/>
        <v>0</v>
      </c>
      <c r="P128" s="223">
        <f t="shared" si="19"/>
        <v>0</v>
      </c>
      <c r="Q128" s="223">
        <f t="shared" si="19"/>
        <v>0</v>
      </c>
      <c r="R128" s="223">
        <f t="shared" si="19"/>
        <v>0</v>
      </c>
      <c r="S128" s="223">
        <f t="shared" si="19"/>
        <v>0</v>
      </c>
      <c r="T128" s="223">
        <f t="shared" si="19"/>
        <v>0</v>
      </c>
      <c r="U128" s="223">
        <f t="shared" si="19"/>
        <v>0</v>
      </c>
      <c r="V128" s="223">
        <f t="shared" si="19"/>
        <v>0</v>
      </c>
      <c r="W128" s="223">
        <f t="shared" si="19"/>
        <v>0</v>
      </c>
      <c r="X128" s="223">
        <f t="shared" si="19"/>
        <v>0</v>
      </c>
      <c r="Y128" s="223">
        <f t="shared" si="19"/>
        <v>0</v>
      </c>
      <c r="AQ128" s="3"/>
    </row>
    <row r="129" spans="3:43" x14ac:dyDescent="0.25">
      <c r="E129" s="75"/>
      <c r="F129" t="s">
        <v>192</v>
      </c>
      <c r="G129" t="s">
        <v>172</v>
      </c>
      <c r="J129" s="106">
        <f t="shared" ref="J129:Y129" si="20">J$58 * J35 * J117 / hours_in_year / $H46</f>
        <v>17.41926809582246</v>
      </c>
      <c r="K129" s="106">
        <f t="shared" si="20"/>
        <v>0.16211397463059357</v>
      </c>
      <c r="L129" s="106">
        <f t="shared" si="20"/>
        <v>5.5072773226929126</v>
      </c>
      <c r="M129" s="106">
        <f t="shared" si="20"/>
        <v>8.1102641860494332E-2</v>
      </c>
      <c r="N129" s="106">
        <f t="shared" si="20"/>
        <v>3.0872471961587391</v>
      </c>
      <c r="O129" s="106">
        <f t="shared" si="20"/>
        <v>1.5368492247931655</v>
      </c>
      <c r="P129" s="106">
        <f t="shared" si="20"/>
        <v>4.7314956876208578</v>
      </c>
      <c r="Q129" s="106">
        <f t="shared" si="20"/>
        <v>0.36251916318812022</v>
      </c>
      <c r="R129" s="106">
        <f t="shared" si="20"/>
        <v>-0.15026292130787069</v>
      </c>
      <c r="S129" s="106">
        <f t="shared" si="20"/>
        <v>-3.7397723017315559E-2</v>
      </c>
      <c r="T129" s="106">
        <f t="shared" si="20"/>
        <v>-0.19260210989007423</v>
      </c>
      <c r="U129" s="106">
        <f t="shared" si="20"/>
        <v>0</v>
      </c>
      <c r="V129" s="106">
        <f t="shared" si="20"/>
        <v>0</v>
      </c>
      <c r="W129" s="106">
        <f t="shared" si="20"/>
        <v>0</v>
      </c>
      <c r="X129" s="106">
        <f t="shared" si="20"/>
        <v>-1.0858090113444774</v>
      </c>
      <c r="Y129" s="106">
        <f t="shared" si="20"/>
        <v>0</v>
      </c>
      <c r="AQ129" s="3"/>
    </row>
    <row r="130" spans="3:43" x14ac:dyDescent="0.25">
      <c r="E130" s="75"/>
      <c r="F130" t="s">
        <v>193</v>
      </c>
      <c r="G130" t="s">
        <v>172</v>
      </c>
      <c r="J130" s="106">
        <f t="shared" ref="J130:Y130" si="21">J$58 * J36 * J118 / hours_in_year / $H47</f>
        <v>17.349937675540581</v>
      </c>
      <c r="K130" s="106">
        <f t="shared" si="21"/>
        <v>0.16146874488082005</v>
      </c>
      <c r="L130" s="106">
        <f t="shared" si="21"/>
        <v>5.4853578109608021</v>
      </c>
      <c r="M130" s="106">
        <f t="shared" si="21"/>
        <v>8.077984527597494E-2</v>
      </c>
      <c r="N130" s="106">
        <f t="shared" si="21"/>
        <v>3.0749596451292516</v>
      </c>
      <c r="O130" s="106">
        <f t="shared" si="21"/>
        <v>1.5307324119581678</v>
      </c>
      <c r="P130" s="106">
        <f t="shared" si="21"/>
        <v>4.7126638639885359</v>
      </c>
      <c r="Q130" s="106">
        <f t="shared" si="21"/>
        <v>0.36107630084707298</v>
      </c>
      <c r="R130" s="106">
        <f t="shared" si="21"/>
        <v>-0.14966485992953091</v>
      </c>
      <c r="S130" s="106">
        <f t="shared" si="21"/>
        <v>-3.7248876358540177E-2</v>
      </c>
      <c r="T130" s="106">
        <f t="shared" si="21"/>
        <v>-0.1918355343283227</v>
      </c>
      <c r="U130" s="106">
        <f t="shared" si="21"/>
        <v>0</v>
      </c>
      <c r="V130" s="106">
        <f t="shared" si="21"/>
        <v>0</v>
      </c>
      <c r="W130" s="106">
        <f t="shared" si="21"/>
        <v>0</v>
      </c>
      <c r="X130" s="106">
        <f t="shared" si="21"/>
        <v>-1.0814873834386287</v>
      </c>
      <c r="Y130" s="106">
        <f t="shared" si="21"/>
        <v>0</v>
      </c>
      <c r="AQ130" s="3"/>
    </row>
    <row r="131" spans="3:43" x14ac:dyDescent="0.25">
      <c r="E131" s="75"/>
      <c r="F131" t="s">
        <v>194</v>
      </c>
      <c r="G131" t="s">
        <v>172</v>
      </c>
      <c r="J131" s="106">
        <f t="shared" ref="J131:Y131" si="22">J$58 * J37 * J119 / hours_in_year / $H48</f>
        <v>56.942001592545111</v>
      </c>
      <c r="K131" s="106">
        <f t="shared" si="22"/>
        <v>0.52993582455986799</v>
      </c>
      <c r="L131" s="106">
        <f t="shared" si="22"/>
        <v>18.002788197201856</v>
      </c>
      <c r="M131" s="106">
        <f t="shared" si="22"/>
        <v>0.26511715283189319</v>
      </c>
      <c r="N131" s="106">
        <f t="shared" si="22"/>
        <v>10.091930027898863</v>
      </c>
      <c r="O131" s="106">
        <f t="shared" si="22"/>
        <v>5.0238202044012032</v>
      </c>
      <c r="P131" s="106">
        <f t="shared" si="22"/>
        <v>15.466828657642656</v>
      </c>
      <c r="Q131" s="106">
        <f t="shared" si="22"/>
        <v>1.1850421414971288</v>
      </c>
      <c r="R131" s="106">
        <f t="shared" si="22"/>
        <v>-0.49119581014228975</v>
      </c>
      <c r="S131" s="106">
        <f t="shared" si="22"/>
        <v>-0.12224975193534378</v>
      </c>
      <c r="T131" s="106">
        <f t="shared" si="22"/>
        <v>-0.62959876314885643</v>
      </c>
      <c r="U131" s="106">
        <f t="shared" si="22"/>
        <v>0</v>
      </c>
      <c r="V131" s="106">
        <f t="shared" si="22"/>
        <v>0</v>
      </c>
      <c r="W131" s="106">
        <f t="shared" si="22"/>
        <v>0</v>
      </c>
      <c r="X131" s="106">
        <f t="shared" si="22"/>
        <v>-3.5494108083682852</v>
      </c>
      <c r="Y131" s="106">
        <f t="shared" si="22"/>
        <v>0</v>
      </c>
      <c r="AQ131" s="3"/>
    </row>
    <row r="132" spans="3:43" x14ac:dyDescent="0.25">
      <c r="E132" s="75"/>
      <c r="F132" t="s">
        <v>195</v>
      </c>
      <c r="G132" t="s">
        <v>172</v>
      </c>
      <c r="J132" s="106">
        <f t="shared" ref="J132:Y132" si="23">J$58 * J38 * J120 / hours_in_year / $H49</f>
        <v>56.606390581194162</v>
      </c>
      <c r="K132" s="106">
        <f t="shared" si="23"/>
        <v>0.52681243070195127</v>
      </c>
      <c r="L132" s="106">
        <f t="shared" si="23"/>
        <v>17.896681390538582</v>
      </c>
      <c r="M132" s="106">
        <f t="shared" si="23"/>
        <v>0.26355457629260898</v>
      </c>
      <c r="N132" s="106">
        <f t="shared" si="23"/>
        <v>10.032449104355255</v>
      </c>
      <c r="O132" s="106">
        <f t="shared" si="23"/>
        <v>4.9942102621355771</v>
      </c>
      <c r="P132" s="106">
        <f t="shared" si="23"/>
        <v>15.375668567322561</v>
      </c>
      <c r="Q132" s="106">
        <f t="shared" si="23"/>
        <v>1.1780576102112912</v>
      </c>
      <c r="R132" s="106">
        <f t="shared" si="23"/>
        <v>-0.48830074642828802</v>
      </c>
      <c r="S132" s="106">
        <f t="shared" si="23"/>
        <v>-0.12152922294554803</v>
      </c>
      <c r="T132" s="106">
        <f t="shared" si="23"/>
        <v>-0.625887964937763</v>
      </c>
      <c r="U132" s="106">
        <f t="shared" si="23"/>
        <v>0</v>
      </c>
      <c r="V132" s="106">
        <f t="shared" si="23"/>
        <v>0</v>
      </c>
      <c r="W132" s="106">
        <f t="shared" si="23"/>
        <v>0</v>
      </c>
      <c r="X132" s="106">
        <f t="shared" si="23"/>
        <v>-3.5284909018356623</v>
      </c>
      <c r="Y132" s="106">
        <f t="shared" si="23"/>
        <v>0</v>
      </c>
      <c r="AQ132" s="3"/>
    </row>
    <row r="133" spans="3:43" x14ac:dyDescent="0.25">
      <c r="E133" s="75"/>
      <c r="F133" t="s">
        <v>196</v>
      </c>
      <c r="G133" t="s">
        <v>172</v>
      </c>
      <c r="J133" s="106">
        <f t="shared" ref="J133:Y133" si="24">J$58 * J39 * J121 / hours_in_year / $H50</f>
        <v>0</v>
      </c>
      <c r="K133" s="106">
        <f t="shared" si="24"/>
        <v>0</v>
      </c>
      <c r="L133" s="106">
        <f t="shared" si="24"/>
        <v>0</v>
      </c>
      <c r="M133" s="106">
        <f t="shared" si="24"/>
        <v>0</v>
      </c>
      <c r="N133" s="106">
        <f t="shared" si="24"/>
        <v>0</v>
      </c>
      <c r="O133" s="106">
        <f t="shared" si="24"/>
        <v>0</v>
      </c>
      <c r="P133" s="106">
        <f t="shared" si="24"/>
        <v>0</v>
      </c>
      <c r="Q133" s="106">
        <f t="shared" si="24"/>
        <v>0</v>
      </c>
      <c r="R133" s="106">
        <f t="shared" si="24"/>
        <v>0</v>
      </c>
      <c r="S133" s="106">
        <f t="shared" si="24"/>
        <v>0</v>
      </c>
      <c r="T133" s="106">
        <f t="shared" si="24"/>
        <v>0</v>
      </c>
      <c r="U133" s="106">
        <f t="shared" si="24"/>
        <v>0</v>
      </c>
      <c r="V133" s="106">
        <f t="shared" si="24"/>
        <v>0</v>
      </c>
      <c r="W133" s="106">
        <f t="shared" si="24"/>
        <v>0</v>
      </c>
      <c r="X133" s="106">
        <f t="shared" si="24"/>
        <v>0</v>
      </c>
      <c r="Y133" s="106">
        <f t="shared" si="24"/>
        <v>0</v>
      </c>
      <c r="AQ133" s="3"/>
    </row>
    <row r="134" spans="3:43" x14ac:dyDescent="0.25">
      <c r="E134" s="75"/>
      <c r="F134" t="s">
        <v>197</v>
      </c>
      <c r="G134" t="s">
        <v>172</v>
      </c>
      <c r="J134" s="106">
        <f t="shared" ref="J134:Y134" si="25">J$58 * J40 * J122 / hours_in_year / $H51</f>
        <v>55.730469643767556</v>
      </c>
      <c r="K134" s="106">
        <f t="shared" si="25"/>
        <v>0.51866059425008348</v>
      </c>
      <c r="L134" s="106">
        <f t="shared" si="25"/>
        <v>17.61975015045288</v>
      </c>
      <c r="M134" s="106">
        <f t="shared" si="25"/>
        <v>0.25947636234610827</v>
      </c>
      <c r="N134" s="106">
        <f t="shared" si="25"/>
        <v>9.8772081124116529</v>
      </c>
      <c r="O134" s="106">
        <f t="shared" si="25"/>
        <v>4.916930412818199</v>
      </c>
      <c r="P134" s="106">
        <f t="shared" si="25"/>
        <v>15.137747196841747</v>
      </c>
      <c r="Q134" s="106">
        <f t="shared" si="25"/>
        <v>1.1598284789120836</v>
      </c>
      <c r="R134" s="106">
        <f t="shared" si="25"/>
        <v>-0.48074483545841123</v>
      </c>
      <c r="S134" s="106">
        <f t="shared" si="25"/>
        <v>-0.11964869338352796</v>
      </c>
      <c r="T134" s="106">
        <f t="shared" si="25"/>
        <v>-0.61620304478398713</v>
      </c>
      <c r="U134" s="106">
        <f t="shared" si="25"/>
        <v>0</v>
      </c>
      <c r="V134" s="106">
        <f t="shared" si="25"/>
        <v>0</v>
      </c>
      <c r="W134" s="106">
        <f t="shared" si="25"/>
        <v>0</v>
      </c>
      <c r="X134" s="106">
        <f t="shared" si="25"/>
        <v>0</v>
      </c>
      <c r="Y134" s="106">
        <f t="shared" si="25"/>
        <v>0</v>
      </c>
      <c r="AQ134" s="3"/>
    </row>
    <row r="135" spans="3:43" x14ac:dyDescent="0.25">
      <c r="E135" s="75"/>
      <c r="F135" t="s">
        <v>198</v>
      </c>
      <c r="G135" t="s">
        <v>172</v>
      </c>
      <c r="J135" s="106">
        <f t="shared" ref="J135:Y135" si="26">J$58 * J41 * J123 / hours_in_year / $H52</f>
        <v>54.985978637076002</v>
      </c>
      <c r="K135" s="106">
        <f t="shared" si="26"/>
        <v>0.51173192218949082</v>
      </c>
      <c r="L135" s="106">
        <f t="shared" si="26"/>
        <v>17.384371808748355</v>
      </c>
      <c r="M135" s="106">
        <f t="shared" si="26"/>
        <v>0.25601007506285872</v>
      </c>
      <c r="N135" s="106">
        <f t="shared" si="26"/>
        <v>9.7452606757954676</v>
      </c>
      <c r="O135" s="106">
        <f t="shared" si="26"/>
        <v>4.8512462279141388</v>
      </c>
      <c r="P135" s="106">
        <f t="shared" si="26"/>
        <v>0</v>
      </c>
      <c r="Q135" s="106">
        <f t="shared" si="26"/>
        <v>1.1443345870182198</v>
      </c>
      <c r="R135" s="106">
        <f t="shared" si="26"/>
        <v>-0.47432267162595154</v>
      </c>
      <c r="S135" s="106">
        <f t="shared" si="26"/>
        <v>0</v>
      </c>
      <c r="T135" s="106">
        <f t="shared" si="26"/>
        <v>-0.60797132472007898</v>
      </c>
      <c r="U135" s="106">
        <f t="shared" si="26"/>
        <v>0</v>
      </c>
      <c r="V135" s="106">
        <f t="shared" si="26"/>
        <v>0</v>
      </c>
      <c r="W135" s="106">
        <f t="shared" si="26"/>
        <v>0</v>
      </c>
      <c r="X135" s="106">
        <f t="shared" si="26"/>
        <v>0</v>
      </c>
      <c r="Y135" s="106">
        <f t="shared" si="26"/>
        <v>0</v>
      </c>
      <c r="AQ135" s="3"/>
    </row>
    <row r="136" spans="3:43" x14ac:dyDescent="0.25">
      <c r="E136" s="75"/>
      <c r="F136" s="96" t="s">
        <v>199</v>
      </c>
      <c r="G136" s="96" t="s">
        <v>172</v>
      </c>
      <c r="H136" s="96"/>
      <c r="I136" s="96"/>
      <c r="J136" s="196">
        <f t="shared" ref="J136:Y136" si="27">J$58 * J42 * J124 / hours_in_year / $H53</f>
        <v>54.26111639515598</v>
      </c>
      <c r="K136" s="196">
        <f t="shared" si="27"/>
        <v>0.50498592698171973</v>
      </c>
      <c r="L136" s="196">
        <f t="shared" si="27"/>
        <v>17.15519929902851</v>
      </c>
      <c r="M136" s="196">
        <f t="shared" si="27"/>
        <v>0.25263517765148391</v>
      </c>
      <c r="N136" s="196">
        <f t="shared" si="27"/>
        <v>9.6167920793160544</v>
      </c>
      <c r="O136" s="196">
        <f t="shared" si="27"/>
        <v>0</v>
      </c>
      <c r="P136" s="196">
        <f t="shared" si="27"/>
        <v>0</v>
      </c>
      <c r="Q136" s="196">
        <f t="shared" si="27"/>
        <v>1.1292491969821981</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25">
      <c r="D137" s="75"/>
      <c r="J137" s="106"/>
      <c r="K137" s="106"/>
      <c r="L137" s="106"/>
      <c r="M137" s="106"/>
      <c r="N137" s="106"/>
      <c r="O137" s="106"/>
      <c r="P137" s="106"/>
      <c r="Q137" s="106"/>
      <c r="R137" s="106"/>
      <c r="S137" s="106"/>
      <c r="T137" s="106"/>
      <c r="U137" s="106"/>
      <c r="V137" s="106"/>
      <c r="W137" s="106"/>
      <c r="X137" s="106"/>
      <c r="Y137" s="106"/>
      <c r="AQ137" s="3"/>
    </row>
    <row r="138" spans="3:43" x14ac:dyDescent="0.25">
      <c r="C138" s="93" t="str">
        <f ca="1">INDEX('Version control'!$H$41:$H$64,MATCH($A$1,'Version control'!$F$41:$F$64,0),1)&amp;"-C: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25">
      <c r="H139" s="97"/>
      <c r="J139" s="106"/>
      <c r="K139" s="106"/>
      <c r="L139" s="106"/>
      <c r="M139" s="106"/>
      <c r="N139" s="106"/>
      <c r="O139" s="106"/>
      <c r="P139" s="106"/>
      <c r="Q139" s="106"/>
      <c r="R139" s="106"/>
      <c r="S139" s="106"/>
      <c r="T139" s="106"/>
      <c r="U139" s="106"/>
      <c r="V139" s="106"/>
      <c r="W139" s="106"/>
      <c r="X139" s="106"/>
      <c r="Y139" s="106"/>
    </row>
    <row r="140" spans="3:43" x14ac:dyDescent="0.25">
      <c r="E140" s="75" t="s">
        <v>473</v>
      </c>
      <c r="J140" s="106"/>
      <c r="K140" s="106"/>
      <c r="L140" s="106"/>
      <c r="M140" s="106"/>
      <c r="N140" s="106"/>
      <c r="O140" s="106"/>
      <c r="P140" s="106"/>
      <c r="Q140" s="106"/>
      <c r="R140" s="106"/>
      <c r="S140" s="106"/>
      <c r="T140" s="106"/>
      <c r="U140" s="106"/>
      <c r="V140" s="106"/>
      <c r="W140" s="106"/>
      <c r="X140" s="106"/>
      <c r="Y140" s="106"/>
      <c r="AQ140" s="3"/>
    </row>
    <row r="141" spans="3:43" x14ac:dyDescent="0.25">
      <c r="E141" s="86" t="s">
        <v>474</v>
      </c>
      <c r="J141" s="106"/>
      <c r="K141" s="106"/>
      <c r="L141" s="106"/>
      <c r="M141" s="106"/>
      <c r="N141" s="106"/>
      <c r="O141" s="106"/>
      <c r="P141" s="106"/>
      <c r="Q141" s="106"/>
      <c r="R141" s="106"/>
      <c r="S141" s="106"/>
      <c r="T141" s="106"/>
      <c r="U141" s="106"/>
      <c r="V141" s="106"/>
      <c r="W141" s="106"/>
      <c r="X141" s="106"/>
      <c r="Y141" s="106"/>
      <c r="AQ141" s="3"/>
    </row>
    <row r="142" spans="3:43" x14ac:dyDescent="0.25">
      <c r="C142" s="75"/>
      <c r="F142" s="95" t="s">
        <v>191</v>
      </c>
      <c r="G142" s="95" t="s">
        <v>172</v>
      </c>
      <c r="H142" s="95"/>
      <c r="I142" s="95"/>
      <c r="J142" s="223">
        <f t="shared" ref="J142:Y142" si="28">J82 + J105 + J128</f>
        <v>1348.6381343646945</v>
      </c>
      <c r="K142" s="223">
        <f t="shared" si="28"/>
        <v>0.13709474824380175</v>
      </c>
      <c r="L142" s="223">
        <f t="shared" si="28"/>
        <v>375.66083394465807</v>
      </c>
      <c r="M142" s="223">
        <f t="shared" si="28"/>
        <v>8.7485258498346666E-2</v>
      </c>
      <c r="N142" s="223">
        <f t="shared" si="28"/>
        <v>227.88822306724472</v>
      </c>
      <c r="O142" s="223">
        <f t="shared" si="28"/>
        <v>101.78159028623115</v>
      </c>
      <c r="P142" s="223">
        <f t="shared" si="28"/>
        <v>279.45159619409492</v>
      </c>
      <c r="Q142" s="223">
        <f t="shared" si="28"/>
        <v>24.58079949032911</v>
      </c>
      <c r="R142" s="223">
        <f t="shared" si="28"/>
        <v>-17.917043362097736</v>
      </c>
      <c r="S142" s="223">
        <f t="shared" si="28"/>
        <v>-2.0814129662585037</v>
      </c>
      <c r="T142" s="223">
        <f t="shared" si="28"/>
        <v>-9.4089693020080603</v>
      </c>
      <c r="U142" s="223">
        <f t="shared" si="28"/>
        <v>0</v>
      </c>
      <c r="V142" s="223">
        <f t="shared" si="28"/>
        <v>0</v>
      </c>
      <c r="W142" s="223">
        <f t="shared" si="28"/>
        <v>0</v>
      </c>
      <c r="X142" s="223">
        <f t="shared" si="28"/>
        <v>-106.59816344889772</v>
      </c>
      <c r="Y142" s="223">
        <f t="shared" si="28"/>
        <v>0</v>
      </c>
      <c r="AQ142" s="3"/>
    </row>
    <row r="143" spans="3:43" x14ac:dyDescent="0.25">
      <c r="C143" s="75"/>
      <c r="F143" t="s">
        <v>192</v>
      </c>
      <c r="G143" t="s">
        <v>172</v>
      </c>
      <c r="J143" s="106">
        <f t="shared" ref="J143:Y143" si="29">J83 + J106 + J129</f>
        <v>1291.4296086193769</v>
      </c>
      <c r="K143" s="106">
        <f t="shared" si="29"/>
        <v>0.55285481632339484</v>
      </c>
      <c r="L143" s="106">
        <f t="shared" si="29"/>
        <v>392.74948822582991</v>
      </c>
      <c r="M143" s="106">
        <f t="shared" si="29"/>
        <v>0.30522261236534221</v>
      </c>
      <c r="N143" s="106">
        <f t="shared" si="29"/>
        <v>230.2630648999868</v>
      </c>
      <c r="O143" s="106">
        <f t="shared" si="29"/>
        <v>103.00725695614872</v>
      </c>
      <c r="P143" s="106">
        <f t="shared" si="29"/>
        <v>281.96217452458785</v>
      </c>
      <c r="Q143" s="106">
        <f t="shared" si="29"/>
        <v>21.178568832086153</v>
      </c>
      <c r="R143" s="106">
        <f t="shared" si="29"/>
        <v>-19.002783530400762</v>
      </c>
      <c r="S143" s="106">
        <f t="shared" si="29"/>
        <v>-2.1724322147771868</v>
      </c>
      <c r="T143" s="106">
        <f t="shared" si="29"/>
        <v>-9.8486021075936048</v>
      </c>
      <c r="U143" s="106">
        <f t="shared" si="29"/>
        <v>0</v>
      </c>
      <c r="V143" s="106">
        <f t="shared" si="29"/>
        <v>0</v>
      </c>
      <c r="W143" s="106">
        <f t="shared" si="29"/>
        <v>0</v>
      </c>
      <c r="X143" s="106">
        <f t="shared" si="29"/>
        <v>-102.56429815645184</v>
      </c>
      <c r="Y143" s="106">
        <f t="shared" si="29"/>
        <v>0</v>
      </c>
      <c r="AQ143" s="3"/>
    </row>
    <row r="144" spans="3:43" x14ac:dyDescent="0.25">
      <c r="C144" s="75"/>
      <c r="F144" t="s">
        <v>193</v>
      </c>
      <c r="G144" t="s">
        <v>172</v>
      </c>
      <c r="J144" s="106">
        <f t="shared" ref="J144:Y144" si="30">J84 + J107 + J130</f>
        <v>1286.2895902766131</v>
      </c>
      <c r="K144" s="106">
        <f t="shared" si="30"/>
        <v>0.55065439914399827</v>
      </c>
      <c r="L144" s="106">
        <f t="shared" si="30"/>
        <v>391.18630618314006</v>
      </c>
      <c r="M144" s="106">
        <f t="shared" si="30"/>
        <v>0.30400779599771893</v>
      </c>
      <c r="N144" s="106">
        <f t="shared" si="30"/>
        <v>229.3465949899371</v>
      </c>
      <c r="O144" s="106">
        <f t="shared" si="30"/>
        <v>102.59727782398497</v>
      </c>
      <c r="P144" s="106">
        <f t="shared" si="30"/>
        <v>280.83993701404228</v>
      </c>
      <c r="Q144" s="106">
        <f t="shared" si="30"/>
        <v>21.094276020814167</v>
      </c>
      <c r="R144" s="106">
        <f t="shared" si="30"/>
        <v>-18.927150561125533</v>
      </c>
      <c r="S144" s="106">
        <f t="shared" si="30"/>
        <v>-2.1637857183999638</v>
      </c>
      <c r="T144" s="106">
        <f t="shared" si="30"/>
        <v>-9.8094036912449738</v>
      </c>
      <c r="U144" s="106">
        <f t="shared" si="30"/>
        <v>0</v>
      </c>
      <c r="V144" s="106">
        <f t="shared" si="30"/>
        <v>0</v>
      </c>
      <c r="W144" s="106">
        <f t="shared" si="30"/>
        <v>0</v>
      </c>
      <c r="X144" s="106">
        <f t="shared" si="30"/>
        <v>-102.15608204438637</v>
      </c>
      <c r="Y144" s="106">
        <f t="shared" si="30"/>
        <v>0</v>
      </c>
      <c r="AQ144" s="3"/>
    </row>
    <row r="145" spans="3:43" x14ac:dyDescent="0.25">
      <c r="C145" s="75"/>
      <c r="F145" t="s">
        <v>194</v>
      </c>
      <c r="G145" t="s">
        <v>172</v>
      </c>
      <c r="J145" s="106">
        <f t="shared" ref="J145:Y145" si="31">J85 + J108 + J131</f>
        <v>1204.6557123310452</v>
      </c>
      <c r="K145" s="106">
        <f t="shared" si="31"/>
        <v>1.1980188441342809</v>
      </c>
      <c r="L145" s="106">
        <f t="shared" si="31"/>
        <v>406.02105893595217</v>
      </c>
      <c r="M145" s="106">
        <f t="shared" si="31"/>
        <v>0.63819773833633398</v>
      </c>
      <c r="N145" s="106">
        <f t="shared" si="31"/>
        <v>229.14299008140387</v>
      </c>
      <c r="O145" s="106">
        <f t="shared" si="31"/>
        <v>102.87324615827509</v>
      </c>
      <c r="P145" s="106">
        <f t="shared" si="31"/>
        <v>281.23777098312382</v>
      </c>
      <c r="Q145" s="106">
        <f t="shared" si="31"/>
        <v>17.887168356676884</v>
      </c>
      <c r="R145" s="106">
        <f t="shared" si="31"/>
        <v>-19.806290868825673</v>
      </c>
      <c r="S145" s="106">
        <f t="shared" si="31"/>
        <v>-2.2498682927324096</v>
      </c>
      <c r="T145" s="106">
        <f t="shared" si="31"/>
        <v>-10.257224992695937</v>
      </c>
      <c r="U145" s="106">
        <f t="shared" si="31"/>
        <v>0</v>
      </c>
      <c r="V145" s="106">
        <f t="shared" si="31"/>
        <v>0</v>
      </c>
      <c r="W145" s="106">
        <f t="shared" si="31"/>
        <v>0</v>
      </c>
      <c r="X145" s="106">
        <f t="shared" si="31"/>
        <v>-95.910577226891732</v>
      </c>
      <c r="Y145" s="106">
        <f t="shared" si="31"/>
        <v>0</v>
      </c>
      <c r="AQ145" s="3"/>
    </row>
    <row r="146" spans="3:43" x14ac:dyDescent="0.25">
      <c r="C146" s="75"/>
      <c r="F146" t="s">
        <v>195</v>
      </c>
      <c r="G146" t="s">
        <v>172</v>
      </c>
      <c r="J146" s="106">
        <f t="shared" ref="J146:Y146" si="32">J86 + J109 + J132</f>
        <v>1197.5555804312551</v>
      </c>
      <c r="K146" s="106">
        <f t="shared" si="32"/>
        <v>1.1909578293358472</v>
      </c>
      <c r="L146" s="106">
        <f t="shared" si="32"/>
        <v>403.62800750803888</v>
      </c>
      <c r="M146" s="106">
        <f t="shared" si="32"/>
        <v>0.63443625854260322</v>
      </c>
      <c r="N146" s="106">
        <f t="shared" si="32"/>
        <v>227.79244200626792</v>
      </c>
      <c r="O146" s="106">
        <f t="shared" si="32"/>
        <v>102.266920542411</v>
      </c>
      <c r="P146" s="106">
        <f t="shared" si="32"/>
        <v>279.58018097732935</v>
      </c>
      <c r="Q146" s="106">
        <f t="shared" si="32"/>
        <v>17.781743002904722</v>
      </c>
      <c r="R146" s="106">
        <f t="shared" si="32"/>
        <v>-19.689554380404303</v>
      </c>
      <c r="S146" s="106">
        <f t="shared" si="32"/>
        <v>-2.2366077723430244</v>
      </c>
      <c r="T146" s="106">
        <f t="shared" si="32"/>
        <v>-10.196769835568062</v>
      </c>
      <c r="U146" s="106">
        <f t="shared" si="32"/>
        <v>0</v>
      </c>
      <c r="V146" s="106">
        <f t="shared" si="32"/>
        <v>0</v>
      </c>
      <c r="W146" s="106">
        <f t="shared" si="32"/>
        <v>0</v>
      </c>
      <c r="X146" s="106">
        <f t="shared" si="32"/>
        <v>-95.345288952469986</v>
      </c>
      <c r="Y146" s="106">
        <f t="shared" si="32"/>
        <v>0</v>
      </c>
      <c r="AQ146" s="3"/>
    </row>
    <row r="147" spans="3:43" x14ac:dyDescent="0.25">
      <c r="C147" s="75"/>
      <c r="F147" t="s">
        <v>196</v>
      </c>
      <c r="G147" t="s">
        <v>172</v>
      </c>
      <c r="H147" s="97"/>
      <c r="J147" s="106">
        <f t="shared" ref="J147:Y147" si="33">J87 + J110 + J133</f>
        <v>0</v>
      </c>
      <c r="K147" s="106">
        <f t="shared" si="33"/>
        <v>0</v>
      </c>
      <c r="L147" s="106">
        <f t="shared" si="33"/>
        <v>0</v>
      </c>
      <c r="M147" s="106">
        <f t="shared" si="33"/>
        <v>0</v>
      </c>
      <c r="N147" s="106">
        <f t="shared" si="33"/>
        <v>0</v>
      </c>
      <c r="O147" s="106">
        <f t="shared" si="33"/>
        <v>0</v>
      </c>
      <c r="P147" s="106">
        <f t="shared" si="33"/>
        <v>0</v>
      </c>
      <c r="Q147" s="106">
        <f t="shared" si="33"/>
        <v>0</v>
      </c>
      <c r="R147" s="106">
        <f t="shared" si="33"/>
        <v>0</v>
      </c>
      <c r="S147" s="106">
        <f t="shared" si="33"/>
        <v>0</v>
      </c>
      <c r="T147" s="106">
        <f t="shared" si="33"/>
        <v>0</v>
      </c>
      <c r="U147" s="106">
        <f t="shared" si="33"/>
        <v>0</v>
      </c>
      <c r="V147" s="106">
        <f t="shared" si="33"/>
        <v>0</v>
      </c>
      <c r="W147" s="106">
        <f t="shared" si="33"/>
        <v>0</v>
      </c>
      <c r="X147" s="106">
        <f t="shared" si="33"/>
        <v>0</v>
      </c>
      <c r="Y147" s="106">
        <f t="shared" si="33"/>
        <v>0</v>
      </c>
      <c r="AQ147" s="3"/>
    </row>
    <row r="148" spans="3:43" x14ac:dyDescent="0.25">
      <c r="C148" s="75"/>
      <c r="F148" t="s">
        <v>197</v>
      </c>
      <c r="G148" t="s">
        <v>172</v>
      </c>
      <c r="J148" s="106">
        <f t="shared" ref="J148:Y148" si="34">J88 + J111 + J134</f>
        <v>1179.0247397282569</v>
      </c>
      <c r="K148" s="106">
        <f t="shared" si="34"/>
        <v>1.172529081493126</v>
      </c>
      <c r="L148" s="106">
        <f t="shared" si="34"/>
        <v>397.38231300114467</v>
      </c>
      <c r="M148" s="106">
        <f t="shared" si="34"/>
        <v>0.6246190630525823</v>
      </c>
      <c r="N148" s="106">
        <f>N88 + N111 + N134</f>
        <v>224.26760731371445</v>
      </c>
      <c r="O148" s="106">
        <f t="shared" si="34"/>
        <v>100.68445368682242</v>
      </c>
      <c r="P148" s="106">
        <f t="shared" si="34"/>
        <v>275.25398862178071</v>
      </c>
      <c r="Q148" s="106">
        <f t="shared" si="34"/>
        <v>17.506590306534825</v>
      </c>
      <c r="R148" s="106">
        <f t="shared" si="34"/>
        <v>-19.384880424808102</v>
      </c>
      <c r="S148" s="106">
        <f t="shared" si="34"/>
        <v>-2.2019987545891668</v>
      </c>
      <c r="T148" s="106">
        <f t="shared" si="34"/>
        <v>-10.038986163064109</v>
      </c>
      <c r="U148" s="106">
        <f t="shared" si="34"/>
        <v>0</v>
      </c>
      <c r="V148" s="106">
        <f t="shared" si="34"/>
        <v>0</v>
      </c>
      <c r="W148" s="106">
        <f t="shared" si="34"/>
        <v>0</v>
      </c>
      <c r="X148" s="106">
        <f t="shared" si="34"/>
        <v>0</v>
      </c>
      <c r="Y148" s="106">
        <f t="shared" si="34"/>
        <v>0</v>
      </c>
      <c r="AQ148" s="3"/>
    </row>
    <row r="149" spans="3:43" x14ac:dyDescent="0.25">
      <c r="C149" s="75"/>
      <c r="F149" t="s">
        <v>198</v>
      </c>
      <c r="G149" t="s">
        <v>172</v>
      </c>
      <c r="J149" s="106">
        <f t="shared" ref="J149:Y149" si="35">J89 + J112 + J135</f>
        <v>1163.2744092357038</v>
      </c>
      <c r="K149" s="106">
        <f t="shared" si="35"/>
        <v>1.1568655250609658</v>
      </c>
      <c r="L149" s="106">
        <f t="shared" si="35"/>
        <v>392.07377065189269</v>
      </c>
      <c r="M149" s="106">
        <f t="shared" si="35"/>
        <v>0.61627491526371192</v>
      </c>
      <c r="N149" s="106">
        <f t="shared" si="35"/>
        <v>221.27166599463808</v>
      </c>
      <c r="O149" s="106">
        <f t="shared" si="35"/>
        <v>99.339432358945032</v>
      </c>
      <c r="P149" s="106">
        <f t="shared" si="35"/>
        <v>0</v>
      </c>
      <c r="Q149" s="106">
        <f t="shared" si="35"/>
        <v>17.272723642134551</v>
      </c>
      <c r="R149" s="106">
        <f t="shared" si="35"/>
        <v>-19.125922098522498</v>
      </c>
      <c r="S149" s="106">
        <f t="shared" si="35"/>
        <v>0</v>
      </c>
      <c r="T149" s="106">
        <f t="shared" si="35"/>
        <v>-9.9048775692827178</v>
      </c>
      <c r="U149" s="106">
        <f t="shared" si="35"/>
        <v>0</v>
      </c>
      <c r="V149" s="106">
        <f t="shared" si="35"/>
        <v>0</v>
      </c>
      <c r="W149" s="106">
        <f t="shared" si="35"/>
        <v>0</v>
      </c>
      <c r="X149" s="106">
        <f t="shared" si="35"/>
        <v>0</v>
      </c>
      <c r="Y149" s="106">
        <f t="shared" si="35"/>
        <v>0</v>
      </c>
      <c r="AQ149" s="3"/>
    </row>
    <row r="150" spans="3:43" x14ac:dyDescent="0.25">
      <c r="C150" s="75"/>
      <c r="F150" s="96" t="s">
        <v>199</v>
      </c>
      <c r="G150" s="96" t="s">
        <v>172</v>
      </c>
      <c r="H150" s="96"/>
      <c r="I150" s="96"/>
      <c r="J150" s="196">
        <f t="shared" ref="J150:Y150" si="36">J90 + J113 + J136</f>
        <v>1147.9393416939902</v>
      </c>
      <c r="K150" s="196">
        <f t="shared" si="36"/>
        <v>1.141614943751311</v>
      </c>
      <c r="L150" s="196">
        <f t="shared" si="36"/>
        <v>386.90518987117093</v>
      </c>
      <c r="M150" s="196">
        <f t="shared" si="36"/>
        <v>0.60815076383838984</v>
      </c>
      <c r="N150" s="196">
        <f t="shared" si="36"/>
        <v>218.35471371222286</v>
      </c>
      <c r="O150" s="196">
        <f t="shared" si="36"/>
        <v>0</v>
      </c>
      <c r="P150" s="196">
        <f t="shared" si="36"/>
        <v>0</v>
      </c>
      <c r="Q150" s="196">
        <f t="shared" si="36"/>
        <v>17.045022953820158</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25">
      <c r="C151" s="75"/>
      <c r="J151" s="97"/>
      <c r="K151" s="97"/>
      <c r="L151" s="97"/>
      <c r="M151" s="97"/>
      <c r="N151" s="97"/>
      <c r="O151" s="97"/>
      <c r="P151" s="97"/>
      <c r="Q151" s="97"/>
      <c r="R151" s="97"/>
      <c r="S151" s="97"/>
      <c r="T151" s="97"/>
      <c r="U151" s="97"/>
      <c r="V151" s="97"/>
      <c r="W151" s="97"/>
      <c r="X151" s="97"/>
      <c r="Y151" s="97"/>
      <c r="AQ151" s="3"/>
    </row>
    <row r="152" spans="3:43" x14ac:dyDescent="0.25">
      <c r="E152" s="75" t="s">
        <v>475</v>
      </c>
      <c r="J152" s="97"/>
      <c r="K152" s="97"/>
      <c r="L152" s="97"/>
      <c r="M152" s="97"/>
      <c r="N152" s="97"/>
      <c r="O152" s="97"/>
      <c r="P152" s="97"/>
      <c r="Q152" s="97"/>
      <c r="R152" s="97"/>
      <c r="S152" s="97"/>
      <c r="T152" s="97"/>
      <c r="U152" s="97"/>
      <c r="V152" s="97"/>
      <c r="W152" s="97"/>
      <c r="X152" s="97"/>
      <c r="Y152" s="97"/>
      <c r="AQ152" s="3"/>
    </row>
    <row r="153" spans="3:43" x14ac:dyDescent="0.25">
      <c r="E153" s="86" t="s">
        <v>476</v>
      </c>
      <c r="J153" s="97"/>
      <c r="K153" s="97"/>
      <c r="L153" s="97"/>
      <c r="M153" s="97"/>
      <c r="N153" s="97"/>
      <c r="O153" s="97"/>
      <c r="P153" s="97"/>
      <c r="Q153" s="97"/>
      <c r="R153" s="97"/>
      <c r="S153" s="97"/>
      <c r="T153" s="97"/>
      <c r="U153" s="97"/>
      <c r="V153" s="97"/>
      <c r="W153" s="97"/>
      <c r="X153" s="97"/>
      <c r="Y153" s="97"/>
      <c r="AQ153" s="3"/>
    </row>
    <row r="154" spans="3:43" x14ac:dyDescent="0.25">
      <c r="C154" s="75"/>
      <c r="F154" s="95" t="s">
        <v>191</v>
      </c>
      <c r="G154" s="95" t="s">
        <v>477</v>
      </c>
      <c r="H154" s="149">
        <f t="shared" ref="H154:H162" si="37">SUM(J142:Y142) * thousand</f>
        <v>2222220.1682747323</v>
      </c>
      <c r="J154" s="97"/>
      <c r="K154" s="97"/>
      <c r="L154" s="97"/>
      <c r="M154" s="97"/>
      <c r="N154" s="97"/>
      <c r="O154" s="97"/>
      <c r="P154" s="97"/>
      <c r="Q154" s="97"/>
      <c r="R154" s="97"/>
      <c r="S154" s="97"/>
      <c r="T154" s="97"/>
      <c r="U154" s="97"/>
      <c r="V154" s="97"/>
      <c r="W154" s="97"/>
      <c r="X154" s="97"/>
      <c r="Y154" s="97"/>
      <c r="AQ154" s="3"/>
    </row>
    <row r="155" spans="3:43" x14ac:dyDescent="0.25">
      <c r="C155" s="75"/>
      <c r="F155" t="s">
        <v>192</v>
      </c>
      <c r="G155" t="s">
        <v>477</v>
      </c>
      <c r="H155" s="151">
        <f t="shared" si="37"/>
        <v>2187860.1234774813</v>
      </c>
      <c r="J155" s="97"/>
      <c r="K155" s="97"/>
      <c r="L155" s="97"/>
      <c r="M155" s="97"/>
      <c r="N155" s="97"/>
      <c r="O155" s="97"/>
      <c r="P155" s="97"/>
      <c r="Q155" s="97"/>
      <c r="R155" s="97"/>
      <c r="S155" s="97"/>
      <c r="T155" s="97"/>
      <c r="U155" s="97"/>
      <c r="V155" s="97"/>
      <c r="W155" s="97"/>
      <c r="X155" s="97"/>
      <c r="Y155" s="97"/>
      <c r="AQ155" s="3"/>
    </row>
    <row r="156" spans="3:43" x14ac:dyDescent="0.25">
      <c r="C156" s="75"/>
      <c r="F156" t="s">
        <v>193</v>
      </c>
      <c r="G156" t="s">
        <v>477</v>
      </c>
      <c r="H156" s="151">
        <f t="shared" si="37"/>
        <v>2179152.222488516</v>
      </c>
      <c r="J156" s="97"/>
      <c r="K156" s="97"/>
      <c r="L156" s="97"/>
      <c r="M156" s="97"/>
      <c r="N156" s="97"/>
      <c r="O156" s="97"/>
      <c r="P156" s="97"/>
      <c r="Q156" s="97"/>
      <c r="R156" s="97"/>
      <c r="S156" s="97"/>
      <c r="T156" s="97"/>
      <c r="U156" s="97"/>
      <c r="V156" s="97"/>
      <c r="W156" s="97"/>
      <c r="X156" s="97"/>
      <c r="Y156" s="97"/>
      <c r="AQ156" s="3"/>
    </row>
    <row r="157" spans="3:43" x14ac:dyDescent="0.25">
      <c r="C157" s="75"/>
      <c r="F157" t="s">
        <v>194</v>
      </c>
      <c r="G157" t="s">
        <v>477</v>
      </c>
      <c r="H157" s="151">
        <f t="shared" si="37"/>
        <v>2115430.2020478016</v>
      </c>
      <c r="J157" s="97"/>
      <c r="K157" s="97"/>
      <c r="L157" s="97"/>
      <c r="M157" s="97"/>
      <c r="N157" s="97"/>
      <c r="O157" s="97"/>
      <c r="P157" s="97"/>
      <c r="Q157" s="97"/>
      <c r="R157" s="97"/>
      <c r="S157" s="97"/>
      <c r="T157" s="97"/>
      <c r="U157" s="97"/>
      <c r="V157" s="97"/>
      <c r="W157" s="97"/>
      <c r="X157" s="97"/>
      <c r="Y157" s="97"/>
      <c r="AQ157" s="3"/>
    </row>
    <row r="158" spans="3:43" x14ac:dyDescent="0.25">
      <c r="C158" s="75"/>
      <c r="F158" t="s">
        <v>195</v>
      </c>
      <c r="G158" t="s">
        <v>477</v>
      </c>
      <c r="H158" s="151">
        <f t="shared" si="37"/>
        <v>2102962.0476153004</v>
      </c>
      <c r="J158" s="97"/>
      <c r="K158" s="97"/>
      <c r="L158" s="97"/>
      <c r="M158" s="97"/>
      <c r="N158" s="97"/>
      <c r="O158" s="97"/>
      <c r="P158" s="97"/>
      <c r="Q158" s="97"/>
      <c r="R158" s="97"/>
      <c r="S158" s="97"/>
      <c r="T158" s="97"/>
      <c r="U158" s="97"/>
      <c r="V158" s="97"/>
      <c r="W158" s="97"/>
      <c r="X158" s="97"/>
      <c r="Y158" s="97"/>
      <c r="AQ158" s="3"/>
    </row>
    <row r="159" spans="3:43" x14ac:dyDescent="0.25">
      <c r="C159" s="75"/>
      <c r="F159" t="s">
        <v>196</v>
      </c>
      <c r="G159" t="s">
        <v>477</v>
      </c>
      <c r="H159" s="151">
        <f t="shared" si="37"/>
        <v>0</v>
      </c>
      <c r="J159" s="97"/>
      <c r="K159" s="97"/>
      <c r="L159" s="97"/>
      <c r="M159" s="97"/>
      <c r="N159" s="97"/>
      <c r="O159" s="97"/>
      <c r="P159" s="97"/>
      <c r="Q159" s="97"/>
      <c r="R159" s="97"/>
      <c r="S159" s="97"/>
      <c r="T159" s="97"/>
      <c r="U159" s="97"/>
      <c r="V159" s="97"/>
      <c r="W159" s="97"/>
      <c r="X159" s="97"/>
      <c r="Y159" s="97"/>
      <c r="AQ159" s="3"/>
    </row>
    <row r="160" spans="3:43" x14ac:dyDescent="0.25">
      <c r="C160" s="75"/>
      <c r="F160" t="s">
        <v>197</v>
      </c>
      <c r="G160" t="s">
        <v>477</v>
      </c>
      <c r="H160" s="151">
        <f t="shared" si="37"/>
        <v>2164290.9754603379</v>
      </c>
      <c r="J160" s="97"/>
      <c r="K160" s="97"/>
      <c r="L160" s="97"/>
      <c r="M160" s="97"/>
      <c r="N160" s="97"/>
      <c r="O160" s="97"/>
      <c r="P160" s="97"/>
      <c r="Q160" s="97"/>
      <c r="R160" s="97"/>
      <c r="S160" s="97"/>
      <c r="T160" s="97"/>
      <c r="U160" s="97"/>
      <c r="V160" s="97"/>
      <c r="W160" s="97"/>
      <c r="X160" s="97"/>
      <c r="Y160" s="97"/>
      <c r="AQ160" s="3"/>
    </row>
    <row r="161" spans="3:43" x14ac:dyDescent="0.25">
      <c r="C161" s="75"/>
      <c r="F161" t="s">
        <v>198</v>
      </c>
      <c r="G161" t="s">
        <v>477</v>
      </c>
      <c r="H161" s="151">
        <f t="shared" si="37"/>
        <v>1865974.3426558336</v>
      </c>
      <c r="J161" s="97"/>
      <c r="K161" s="97"/>
      <c r="L161" s="97"/>
      <c r="M161" s="97"/>
      <c r="N161" s="97"/>
      <c r="O161" s="97"/>
      <c r="P161" s="97"/>
      <c r="Q161" s="97"/>
      <c r="R161" s="97"/>
      <c r="S161" s="97"/>
      <c r="T161" s="97"/>
      <c r="U161" s="97"/>
      <c r="V161" s="97"/>
      <c r="W161" s="97"/>
      <c r="X161" s="97"/>
      <c r="Y161" s="97"/>
      <c r="AQ161" s="3"/>
    </row>
    <row r="162" spans="3:43" x14ac:dyDescent="0.25">
      <c r="C162" s="75"/>
      <c r="F162" s="96" t="s">
        <v>199</v>
      </c>
      <c r="G162" s="96" t="s">
        <v>477</v>
      </c>
      <c r="H162" s="150">
        <f t="shared" si="37"/>
        <v>1771994.0339387939</v>
      </c>
      <c r="J162" s="97"/>
      <c r="K162" s="97"/>
      <c r="L162" s="97"/>
      <c r="M162" s="97"/>
      <c r="N162" s="97"/>
      <c r="O162" s="97"/>
      <c r="P162" s="97"/>
      <c r="Q162" s="97"/>
      <c r="R162" s="97"/>
      <c r="S162" s="97"/>
      <c r="T162" s="97"/>
      <c r="U162" s="97"/>
      <c r="V162" s="97"/>
      <c r="W162" s="97"/>
      <c r="X162" s="97"/>
      <c r="Y162" s="97"/>
      <c r="AQ162" s="3"/>
    </row>
    <row r="163" spans="3:43" x14ac:dyDescent="0.25">
      <c r="C163" s="75"/>
      <c r="J163" s="97"/>
      <c r="K163" s="97"/>
      <c r="L163" s="97"/>
      <c r="M163" s="97"/>
      <c r="N163" s="97"/>
      <c r="O163" s="97"/>
      <c r="P163" s="97"/>
      <c r="Q163" s="97"/>
      <c r="R163" s="97"/>
      <c r="S163" s="97"/>
      <c r="T163" s="97"/>
      <c r="U163" s="97"/>
      <c r="V163" s="97"/>
      <c r="W163" s="97"/>
      <c r="X163" s="97"/>
      <c r="Y163" s="97"/>
      <c r="AQ163" s="3"/>
    </row>
    <row r="164" spans="3:43" x14ac:dyDescent="0.25">
      <c r="C164" s="93" t="str">
        <f ca="1">INDEX('Version control'!$H$41:$H$64,MATCH($A$1,'Version control'!$F$41:$F$64,0),1)&amp;"-D: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25">
      <c r="H165" s="97"/>
      <c r="J165" s="97"/>
      <c r="K165" s="97"/>
      <c r="L165" s="97"/>
      <c r="M165" s="97"/>
      <c r="N165" s="97"/>
      <c r="O165" s="97"/>
      <c r="P165" s="97"/>
      <c r="Q165" s="97"/>
      <c r="R165" s="97"/>
      <c r="S165" s="97"/>
      <c r="T165" s="97"/>
      <c r="U165" s="97"/>
      <c r="V165" s="97"/>
      <c r="W165" s="97"/>
      <c r="X165" s="97"/>
      <c r="Y165" s="97"/>
    </row>
    <row r="166" spans="3:43" x14ac:dyDescent="0.25">
      <c r="E166" s="75" t="s">
        <v>478</v>
      </c>
      <c r="H166" s="97"/>
      <c r="J166" s="97"/>
      <c r="K166" s="97"/>
      <c r="L166" s="97"/>
      <c r="M166" s="97"/>
      <c r="N166" s="97"/>
      <c r="O166" s="97"/>
      <c r="P166" s="97"/>
      <c r="Q166" s="97"/>
      <c r="R166" s="97"/>
      <c r="S166" s="97"/>
      <c r="T166" s="97"/>
      <c r="U166" s="97"/>
      <c r="V166" s="97"/>
      <c r="W166" s="97"/>
      <c r="X166" s="97"/>
      <c r="Y166" s="97"/>
    </row>
    <row r="167" spans="3:43" x14ac:dyDescent="0.25">
      <c r="E167" s="86" t="s">
        <v>479</v>
      </c>
      <c r="F167" s="86"/>
      <c r="J167" s="97"/>
      <c r="K167" s="97"/>
      <c r="L167" s="97"/>
      <c r="M167" s="97"/>
      <c r="N167" s="97"/>
      <c r="O167" s="97"/>
      <c r="P167" s="97"/>
      <c r="Q167" s="97"/>
      <c r="R167" s="97"/>
      <c r="S167" s="97"/>
      <c r="T167" s="97"/>
      <c r="U167" s="97"/>
      <c r="V167" s="97"/>
      <c r="W167" s="97"/>
      <c r="X167" s="97"/>
      <c r="Y167" s="97"/>
      <c r="AQ167" s="3"/>
    </row>
    <row r="168" spans="3:43" x14ac:dyDescent="0.25">
      <c r="C168" s="75"/>
      <c r="F168" s="95" t="s">
        <v>191</v>
      </c>
      <c r="G168" s="95" t="s">
        <v>172</v>
      </c>
      <c r="H168" s="176"/>
      <c r="I168" s="95"/>
      <c r="J168" s="223">
        <f t="shared" ref="J168:Y168" si="38">J142 * (1 - J23)</f>
        <v>1348.6381343646945</v>
      </c>
      <c r="K168" s="223">
        <f t="shared" si="38"/>
        <v>0.13709474824380175</v>
      </c>
      <c r="L168" s="223">
        <f t="shared" si="38"/>
        <v>375.66083394465807</v>
      </c>
      <c r="M168" s="223">
        <f t="shared" si="38"/>
        <v>8.7485258498346666E-2</v>
      </c>
      <c r="N168" s="223">
        <f t="shared" si="38"/>
        <v>227.88822306724472</v>
      </c>
      <c r="O168" s="223">
        <f t="shared" si="38"/>
        <v>101.78159028623115</v>
      </c>
      <c r="P168" s="223">
        <f t="shared" si="38"/>
        <v>279.45159619409492</v>
      </c>
      <c r="Q168" s="223">
        <f t="shared" si="38"/>
        <v>24.58079949032911</v>
      </c>
      <c r="R168" s="223">
        <f t="shared" si="38"/>
        <v>-17.917043362097736</v>
      </c>
      <c r="S168" s="223">
        <f t="shared" si="38"/>
        <v>-2.0814129662585037</v>
      </c>
      <c r="T168" s="223">
        <f t="shared" si="38"/>
        <v>-9.4089693020080603</v>
      </c>
      <c r="U168" s="223">
        <f t="shared" si="38"/>
        <v>0</v>
      </c>
      <c r="V168" s="223">
        <f t="shared" si="38"/>
        <v>0</v>
      </c>
      <c r="W168" s="223">
        <f t="shared" si="38"/>
        <v>0</v>
      </c>
      <c r="X168" s="223">
        <f t="shared" si="38"/>
        <v>-106.59816344889772</v>
      </c>
      <c r="Y168" s="223">
        <f t="shared" si="38"/>
        <v>0</v>
      </c>
      <c r="AQ168" s="3"/>
    </row>
    <row r="169" spans="3:43" x14ac:dyDescent="0.25">
      <c r="C169" s="75"/>
      <c r="F169" t="s">
        <v>192</v>
      </c>
      <c r="G169" t="s">
        <v>172</v>
      </c>
      <c r="H169" s="97"/>
      <c r="J169" s="106">
        <f t="shared" ref="J169:Y169" si="39">J143 * (1 - J24)</f>
        <v>1291.4296086193769</v>
      </c>
      <c r="K169" s="106">
        <f t="shared" si="39"/>
        <v>0.55285481632339484</v>
      </c>
      <c r="L169" s="106">
        <f t="shared" si="39"/>
        <v>392.74948822582991</v>
      </c>
      <c r="M169" s="106">
        <f t="shared" si="39"/>
        <v>0.30522261236534221</v>
      </c>
      <c r="N169" s="106">
        <f t="shared" si="39"/>
        <v>230.2630648999868</v>
      </c>
      <c r="O169" s="106">
        <f t="shared" si="39"/>
        <v>103.00725695614872</v>
      </c>
      <c r="P169" s="106">
        <f t="shared" si="39"/>
        <v>281.96217452458785</v>
      </c>
      <c r="Q169" s="106">
        <f t="shared" si="39"/>
        <v>21.178568832086153</v>
      </c>
      <c r="R169" s="106">
        <f t="shared" si="39"/>
        <v>-19.002783530400762</v>
      </c>
      <c r="S169" s="106">
        <f t="shared" si="39"/>
        <v>-2.1724322147771868</v>
      </c>
      <c r="T169" s="106">
        <f t="shared" si="39"/>
        <v>-9.8486021075936048</v>
      </c>
      <c r="U169" s="106">
        <f t="shared" si="39"/>
        <v>0</v>
      </c>
      <c r="V169" s="106">
        <f t="shared" si="39"/>
        <v>0</v>
      </c>
      <c r="W169" s="106">
        <f t="shared" si="39"/>
        <v>0</v>
      </c>
      <c r="X169" s="106">
        <f t="shared" si="39"/>
        <v>-102.56429815645184</v>
      </c>
      <c r="Y169" s="106">
        <f t="shared" si="39"/>
        <v>0</v>
      </c>
      <c r="AQ169" s="3"/>
    </row>
    <row r="170" spans="3:43" x14ac:dyDescent="0.25">
      <c r="C170" s="75"/>
      <c r="F170" t="s">
        <v>193</v>
      </c>
      <c r="G170" t="s">
        <v>172</v>
      </c>
      <c r="H170" s="97"/>
      <c r="J170" s="106">
        <f t="shared" ref="J170:Y170" si="40">J144 * (1 - J25)</f>
        <v>1286.2895902766131</v>
      </c>
      <c r="K170" s="106">
        <f t="shared" si="40"/>
        <v>0.55065439914399827</v>
      </c>
      <c r="L170" s="106">
        <f t="shared" si="40"/>
        <v>391.18630618314006</v>
      </c>
      <c r="M170" s="106">
        <f t="shared" si="40"/>
        <v>0.30400779599771893</v>
      </c>
      <c r="N170" s="106">
        <f t="shared" si="40"/>
        <v>229.3465949899371</v>
      </c>
      <c r="O170" s="106">
        <f t="shared" si="40"/>
        <v>102.59727782398497</v>
      </c>
      <c r="P170" s="106">
        <f t="shared" si="40"/>
        <v>280.83993701404228</v>
      </c>
      <c r="Q170" s="106">
        <f t="shared" si="40"/>
        <v>21.094276020814167</v>
      </c>
      <c r="R170" s="106">
        <f t="shared" si="40"/>
        <v>-18.927150561125533</v>
      </c>
      <c r="S170" s="106">
        <f t="shared" si="40"/>
        <v>-2.1637857183999638</v>
      </c>
      <c r="T170" s="106">
        <f t="shared" si="40"/>
        <v>-9.8094036912449738</v>
      </c>
      <c r="U170" s="106">
        <f t="shared" si="40"/>
        <v>0</v>
      </c>
      <c r="V170" s="106">
        <f t="shared" si="40"/>
        <v>0</v>
      </c>
      <c r="W170" s="106">
        <f t="shared" si="40"/>
        <v>0</v>
      </c>
      <c r="X170" s="106">
        <f t="shared" si="40"/>
        <v>-102.15608204438637</v>
      </c>
      <c r="Y170" s="106">
        <f t="shared" si="40"/>
        <v>0</v>
      </c>
      <c r="AQ170" s="3"/>
    </row>
    <row r="171" spans="3:43" x14ac:dyDescent="0.25">
      <c r="C171" s="75"/>
      <c r="F171" t="s">
        <v>194</v>
      </c>
      <c r="G171" t="s">
        <v>172</v>
      </c>
      <c r="H171" s="97"/>
      <c r="J171" s="106">
        <f t="shared" ref="J171:Y171" si="41">J145 * (1 - J26)</f>
        <v>1204.6557123310452</v>
      </c>
      <c r="K171" s="106">
        <f t="shared" si="41"/>
        <v>1.1980188441342809</v>
      </c>
      <c r="L171" s="106">
        <f t="shared" si="41"/>
        <v>406.02105893595217</v>
      </c>
      <c r="M171" s="106">
        <f t="shared" si="41"/>
        <v>0.63819773833633398</v>
      </c>
      <c r="N171" s="106">
        <f t="shared" si="41"/>
        <v>229.14299008140387</v>
      </c>
      <c r="O171" s="106">
        <f t="shared" si="41"/>
        <v>102.87324615827509</v>
      </c>
      <c r="P171" s="106">
        <f t="shared" si="41"/>
        <v>224.99021678649908</v>
      </c>
      <c r="Q171" s="106">
        <f t="shared" si="41"/>
        <v>17.887168356676884</v>
      </c>
      <c r="R171" s="106">
        <f t="shared" si="41"/>
        <v>-19.806290868825673</v>
      </c>
      <c r="S171" s="106">
        <f t="shared" si="41"/>
        <v>-2.2498682927324096</v>
      </c>
      <c r="T171" s="106">
        <f t="shared" si="41"/>
        <v>-10.257224992695937</v>
      </c>
      <c r="U171" s="106">
        <f t="shared" si="41"/>
        <v>0</v>
      </c>
      <c r="V171" s="106">
        <f t="shared" si="41"/>
        <v>0</v>
      </c>
      <c r="W171" s="106">
        <f t="shared" si="41"/>
        <v>0</v>
      </c>
      <c r="X171" s="106">
        <f t="shared" si="41"/>
        <v>-95.910577226891732</v>
      </c>
      <c r="Y171" s="106">
        <f t="shared" si="41"/>
        <v>0</v>
      </c>
      <c r="AQ171" s="3"/>
    </row>
    <row r="172" spans="3:43" x14ac:dyDescent="0.25">
      <c r="C172" s="75"/>
      <c r="F172" t="s">
        <v>195</v>
      </c>
      <c r="G172" t="s">
        <v>172</v>
      </c>
      <c r="H172" s="97"/>
      <c r="J172" s="106">
        <f t="shared" ref="J172:Y172" si="42">J146 * (1 - J27)</f>
        <v>1197.5555804312551</v>
      </c>
      <c r="K172" s="106">
        <f t="shared" si="42"/>
        <v>1.1909578293358472</v>
      </c>
      <c r="L172" s="106">
        <f t="shared" si="42"/>
        <v>403.62800750803888</v>
      </c>
      <c r="M172" s="106">
        <f t="shared" si="42"/>
        <v>0.63443625854260322</v>
      </c>
      <c r="N172" s="106">
        <f t="shared" si="42"/>
        <v>227.79244200626792</v>
      </c>
      <c r="O172" s="106">
        <f t="shared" si="42"/>
        <v>102.266920542411</v>
      </c>
      <c r="P172" s="106">
        <f t="shared" si="42"/>
        <v>0</v>
      </c>
      <c r="Q172" s="106">
        <f t="shared" si="42"/>
        <v>17.781743002904722</v>
      </c>
      <c r="R172" s="106">
        <f t="shared" si="42"/>
        <v>-19.689554380404303</v>
      </c>
      <c r="S172" s="106">
        <f t="shared" si="42"/>
        <v>-2.2366077723430244</v>
      </c>
      <c r="T172" s="106">
        <f t="shared" si="42"/>
        <v>-10.196769835568062</v>
      </c>
      <c r="U172" s="106">
        <f t="shared" si="42"/>
        <v>0</v>
      </c>
      <c r="V172" s="106">
        <f t="shared" si="42"/>
        <v>0</v>
      </c>
      <c r="W172" s="106">
        <f t="shared" si="42"/>
        <v>0</v>
      </c>
      <c r="X172" s="106">
        <f t="shared" si="42"/>
        <v>-95.345288952469986</v>
      </c>
      <c r="Y172" s="106">
        <f t="shared" si="42"/>
        <v>0</v>
      </c>
      <c r="AQ172" s="3"/>
    </row>
    <row r="173" spans="3:43" x14ac:dyDescent="0.25">
      <c r="C173" s="75"/>
      <c r="F173" t="s">
        <v>196</v>
      </c>
      <c r="G173" t="s">
        <v>172</v>
      </c>
      <c r="H173" s="97"/>
      <c r="J173" s="106">
        <f t="shared" ref="J173:Y173" si="43">J147 * (1 - J28)</f>
        <v>0</v>
      </c>
      <c r="K173" s="106">
        <f t="shared" si="43"/>
        <v>0</v>
      </c>
      <c r="L173" s="106">
        <f t="shared" si="43"/>
        <v>0</v>
      </c>
      <c r="M173" s="106">
        <f t="shared" si="43"/>
        <v>0</v>
      </c>
      <c r="N173" s="106">
        <f t="shared" si="43"/>
        <v>0</v>
      </c>
      <c r="O173" s="106">
        <f t="shared" si="43"/>
        <v>0</v>
      </c>
      <c r="P173" s="106">
        <f t="shared" si="43"/>
        <v>0</v>
      </c>
      <c r="Q173" s="106">
        <f t="shared" si="43"/>
        <v>0</v>
      </c>
      <c r="R173" s="106">
        <f t="shared" si="43"/>
        <v>0</v>
      </c>
      <c r="S173" s="106">
        <f t="shared" si="43"/>
        <v>0</v>
      </c>
      <c r="T173" s="106">
        <f t="shared" si="43"/>
        <v>0</v>
      </c>
      <c r="U173" s="106">
        <f t="shared" si="43"/>
        <v>0</v>
      </c>
      <c r="V173" s="106">
        <f t="shared" si="43"/>
        <v>0</v>
      </c>
      <c r="W173" s="106">
        <f t="shared" si="43"/>
        <v>0</v>
      </c>
      <c r="X173" s="106">
        <f t="shared" si="43"/>
        <v>0</v>
      </c>
      <c r="Y173" s="106">
        <f t="shared" si="43"/>
        <v>0</v>
      </c>
      <c r="AQ173" s="3"/>
    </row>
    <row r="174" spans="3:43" x14ac:dyDescent="0.25">
      <c r="C174" s="75"/>
      <c r="F174" t="s">
        <v>197</v>
      </c>
      <c r="G174" t="s">
        <v>172</v>
      </c>
      <c r="H174" s="97"/>
      <c r="J174" s="106">
        <f t="shared" ref="J174:Y174" si="44">J148 * (1 - J29)</f>
        <v>1179.0247397282569</v>
      </c>
      <c r="K174" s="106">
        <f t="shared" si="44"/>
        <v>1.172529081493126</v>
      </c>
      <c r="L174" s="106">
        <f t="shared" si="44"/>
        <v>397.38231300114467</v>
      </c>
      <c r="M174" s="106">
        <f t="shared" si="44"/>
        <v>0.6246190630525823</v>
      </c>
      <c r="N174" s="106">
        <f t="shared" si="44"/>
        <v>179.41408585097156</v>
      </c>
      <c r="O174" s="106">
        <f t="shared" si="44"/>
        <v>0</v>
      </c>
      <c r="P174" s="106">
        <f t="shared" si="44"/>
        <v>0</v>
      </c>
      <c r="Q174" s="106">
        <f t="shared" si="44"/>
        <v>17.506590306534825</v>
      </c>
      <c r="R174" s="106">
        <f t="shared" si="44"/>
        <v>-19.384880424808102</v>
      </c>
      <c r="S174" s="106">
        <f t="shared" si="44"/>
        <v>-2.2019987545891668</v>
      </c>
      <c r="T174" s="106">
        <f t="shared" si="44"/>
        <v>-10.038986163064109</v>
      </c>
      <c r="U174" s="106">
        <f t="shared" si="44"/>
        <v>0</v>
      </c>
      <c r="V174" s="106">
        <f t="shared" si="44"/>
        <v>0</v>
      </c>
      <c r="W174" s="106">
        <f t="shared" si="44"/>
        <v>0</v>
      </c>
      <c r="X174" s="106">
        <f t="shared" si="44"/>
        <v>0</v>
      </c>
      <c r="Y174" s="106">
        <f t="shared" si="44"/>
        <v>0</v>
      </c>
      <c r="AQ174" s="3"/>
    </row>
    <row r="175" spans="3:43" x14ac:dyDescent="0.25">
      <c r="C175" s="75"/>
      <c r="F175" t="s">
        <v>198</v>
      </c>
      <c r="G175" t="s">
        <v>172</v>
      </c>
      <c r="H175" s="97"/>
      <c r="J175" s="106">
        <f t="shared" ref="J175:Y175" si="45">J149 * (1 - J30)</f>
        <v>1163.2744092357038</v>
      </c>
      <c r="K175" s="106">
        <f t="shared" si="45"/>
        <v>1.1568655250609658</v>
      </c>
      <c r="L175" s="106">
        <f t="shared" si="45"/>
        <v>392.07377065189269</v>
      </c>
      <c r="M175" s="106">
        <f t="shared" si="45"/>
        <v>0.61627491526371192</v>
      </c>
      <c r="N175" s="106">
        <f t="shared" si="45"/>
        <v>0</v>
      </c>
      <c r="O175" s="106">
        <f t="shared" si="45"/>
        <v>0</v>
      </c>
      <c r="P175" s="106">
        <f t="shared" si="45"/>
        <v>0</v>
      </c>
      <c r="Q175" s="106">
        <f t="shared" si="45"/>
        <v>17.272723642134551</v>
      </c>
      <c r="R175" s="106">
        <f t="shared" si="45"/>
        <v>-19.125922098522498</v>
      </c>
      <c r="S175" s="106">
        <f t="shared" si="45"/>
        <v>0</v>
      </c>
      <c r="T175" s="106">
        <f t="shared" si="45"/>
        <v>-9.9048775692827178</v>
      </c>
      <c r="U175" s="106">
        <f t="shared" si="45"/>
        <v>0</v>
      </c>
      <c r="V175" s="106">
        <f t="shared" si="45"/>
        <v>0</v>
      </c>
      <c r="W175" s="106">
        <f t="shared" si="45"/>
        <v>0</v>
      </c>
      <c r="X175" s="106">
        <f t="shared" si="45"/>
        <v>0</v>
      </c>
      <c r="Y175" s="106">
        <f t="shared" si="45"/>
        <v>0</v>
      </c>
      <c r="AQ175" s="3"/>
    </row>
    <row r="176" spans="3:43" x14ac:dyDescent="0.25">
      <c r="C176" s="75"/>
      <c r="F176" s="96" t="s">
        <v>199</v>
      </c>
      <c r="G176" s="96" t="s">
        <v>172</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17.045022953820158</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25">
      <c r="C177" s="75"/>
      <c r="F177" s="145" t="s">
        <v>101</v>
      </c>
      <c r="G177" s="145" t="s">
        <v>172</v>
      </c>
      <c r="H177" s="229"/>
      <c r="I177" s="145"/>
      <c r="J177" s="228">
        <f t="shared" ref="J177:Y177" si="47">SUM(J168:J176)</f>
        <v>8670.8677749869457</v>
      </c>
      <c r="K177" s="228">
        <f t="shared" si="47"/>
        <v>5.9589752437354155</v>
      </c>
      <c r="L177" s="228">
        <f t="shared" si="47"/>
        <v>2758.7017784506561</v>
      </c>
      <c r="M177" s="228">
        <f t="shared" si="47"/>
        <v>3.2102436420566391</v>
      </c>
      <c r="N177" s="228">
        <f t="shared" si="47"/>
        <v>1323.8474008958119</v>
      </c>
      <c r="O177" s="228">
        <f t="shared" si="47"/>
        <v>512.52629176705091</v>
      </c>
      <c r="P177" s="228">
        <f t="shared" si="47"/>
        <v>1067.2439245192243</v>
      </c>
      <c r="Q177" s="228">
        <f t="shared" si="47"/>
        <v>154.34689260530055</v>
      </c>
      <c r="R177" s="228">
        <f t="shared" si="47"/>
        <v>-133.85362522618462</v>
      </c>
      <c r="S177" s="228">
        <f t="shared" si="47"/>
        <v>-13.106105719100256</v>
      </c>
      <c r="T177" s="228">
        <f t="shared" si="47"/>
        <v>-69.464833661457476</v>
      </c>
      <c r="U177" s="228">
        <f t="shared" si="47"/>
        <v>0</v>
      </c>
      <c r="V177" s="228">
        <f t="shared" si="47"/>
        <v>0</v>
      </c>
      <c r="W177" s="228">
        <f t="shared" si="47"/>
        <v>0</v>
      </c>
      <c r="X177" s="228">
        <f t="shared" si="47"/>
        <v>-502.5744098290977</v>
      </c>
      <c r="Y177" s="228">
        <f t="shared" si="47"/>
        <v>0</v>
      </c>
      <c r="AQ177" s="3"/>
    </row>
    <row r="178" spans="2:43" x14ac:dyDescent="0.25">
      <c r="H178" s="230"/>
    </row>
    <row r="179" spans="2:43" x14ac:dyDescent="0.25">
      <c r="B179" s="85" t="s">
        <v>480</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25">
      <c r="C180" s="75"/>
      <c r="J180" s="97"/>
      <c r="K180" s="97"/>
      <c r="L180" s="97"/>
      <c r="M180" s="97"/>
      <c r="N180" s="97"/>
      <c r="O180" s="97"/>
      <c r="P180" s="97"/>
      <c r="Q180" s="97"/>
      <c r="R180" s="97"/>
      <c r="S180" s="97"/>
      <c r="T180" s="97"/>
      <c r="U180" s="97"/>
      <c r="V180" s="97"/>
      <c r="W180" s="97"/>
      <c r="X180" s="97"/>
      <c r="Y180" s="97"/>
      <c r="AQ180" s="3"/>
    </row>
    <row r="181" spans="2:43" x14ac:dyDescent="0.25">
      <c r="C181" s="86" t="s">
        <v>481</v>
      </c>
      <c r="J181" s="97"/>
      <c r="K181" s="97"/>
      <c r="L181" s="97"/>
      <c r="M181" s="97"/>
      <c r="N181" s="97"/>
      <c r="O181" s="97"/>
      <c r="P181" s="97"/>
      <c r="Q181" s="97"/>
      <c r="R181" s="97"/>
      <c r="S181" s="97"/>
      <c r="T181" s="97"/>
      <c r="U181" s="97"/>
      <c r="V181" s="97"/>
      <c r="W181" s="97"/>
      <c r="X181" s="97"/>
      <c r="Y181" s="97"/>
      <c r="AQ181" s="3"/>
    </row>
    <row r="182" spans="2:43" x14ac:dyDescent="0.25">
      <c r="C182" s="86" t="s">
        <v>482</v>
      </c>
      <c r="J182" s="97"/>
      <c r="K182" s="97"/>
      <c r="L182" s="97"/>
      <c r="M182" s="97"/>
      <c r="N182" s="97"/>
      <c r="O182" s="97"/>
      <c r="P182" s="97"/>
      <c r="Q182" s="97"/>
      <c r="R182" s="97"/>
      <c r="S182" s="97"/>
      <c r="T182" s="97"/>
      <c r="U182" s="97"/>
      <c r="V182" s="97"/>
      <c r="W182" s="97"/>
      <c r="X182" s="97"/>
      <c r="Y182" s="97"/>
      <c r="AQ182" s="3"/>
    </row>
    <row r="183" spans="2:43" x14ac:dyDescent="0.25">
      <c r="C183" s="75"/>
      <c r="J183" s="97"/>
      <c r="K183" s="97"/>
      <c r="L183" s="97"/>
      <c r="M183" s="97"/>
      <c r="N183" s="97"/>
      <c r="O183" s="97"/>
      <c r="P183" s="97"/>
      <c r="Q183" s="97"/>
      <c r="R183" s="97"/>
      <c r="S183" s="97"/>
      <c r="T183" s="97"/>
      <c r="U183" s="97"/>
      <c r="V183" s="97"/>
      <c r="W183" s="97"/>
      <c r="X183" s="97"/>
      <c r="Y183" s="97"/>
      <c r="AQ183" s="3"/>
    </row>
    <row r="184" spans="2:43" x14ac:dyDescent="0.25">
      <c r="C184" s="93" t="str">
        <f ca="1">INDEX('Version control'!$H$41:$H$64,MATCH($A$1,'Version control'!$F$41:$F$64,0),1)&amp;"-E: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25">
      <c r="C185" s="75"/>
      <c r="J185" s="97"/>
      <c r="K185" s="97"/>
      <c r="L185" s="97"/>
      <c r="M185" s="97"/>
      <c r="N185" s="97"/>
      <c r="O185" s="97"/>
      <c r="P185" s="97"/>
      <c r="Q185" s="97"/>
      <c r="R185" s="97"/>
      <c r="S185" s="97"/>
      <c r="T185" s="97"/>
      <c r="U185" s="97"/>
      <c r="V185" s="97"/>
      <c r="W185" s="97"/>
      <c r="X185" s="97"/>
      <c r="Y185" s="97"/>
      <c r="AQ185" s="3"/>
    </row>
    <row r="186" spans="2:43" x14ac:dyDescent="0.25">
      <c r="D186" s="86" t="s">
        <v>483</v>
      </c>
      <c r="E186" s="86"/>
      <c r="J186" s="97"/>
      <c r="K186" s="97"/>
      <c r="L186" s="97"/>
      <c r="M186" s="97"/>
      <c r="N186" s="97"/>
      <c r="O186" s="97"/>
      <c r="P186" s="97"/>
      <c r="Q186" s="97"/>
      <c r="R186" s="97"/>
      <c r="S186" s="97"/>
      <c r="T186" s="97"/>
      <c r="U186" s="97"/>
      <c r="V186" s="97"/>
      <c r="W186" s="97"/>
      <c r="X186" s="97"/>
      <c r="Y186" s="97"/>
      <c r="AQ186" s="3"/>
    </row>
    <row r="187" spans="2:43" x14ac:dyDescent="0.25">
      <c r="J187" s="97"/>
      <c r="K187" s="97"/>
      <c r="L187" s="97"/>
      <c r="M187" s="97"/>
      <c r="N187" s="97"/>
      <c r="O187" s="97"/>
      <c r="P187" s="97"/>
      <c r="Q187" s="97"/>
      <c r="R187" s="97"/>
      <c r="S187" s="97"/>
      <c r="T187" s="97"/>
      <c r="U187" s="97"/>
      <c r="V187" s="97"/>
      <c r="W187" s="97"/>
      <c r="X187" s="97"/>
      <c r="Y187" s="97"/>
      <c r="AQ187" s="3"/>
    </row>
    <row r="188" spans="2:43" x14ac:dyDescent="0.25">
      <c r="C188" s="75"/>
      <c r="E188" t="s">
        <v>250</v>
      </c>
      <c r="G188" t="s">
        <v>251</v>
      </c>
      <c r="J188" s="167">
        <f>'Volume adjustments'!J286</f>
        <v>0</v>
      </c>
      <c r="K188" s="167">
        <f>'Volume adjustments'!K286</f>
        <v>0</v>
      </c>
      <c r="L188" s="167">
        <f>'Volume adjustments'!L286</f>
        <v>0</v>
      </c>
      <c r="M188" s="167">
        <f>'Volume adjustments'!M286</f>
        <v>0</v>
      </c>
      <c r="N188" s="167">
        <f>'Volume adjustments'!N286</f>
        <v>901458.40414011036</v>
      </c>
      <c r="O188" s="167">
        <f>'Volume adjustments'!O286</f>
        <v>392304.3221397305</v>
      </c>
      <c r="P188" s="167">
        <f>'Volume adjustments'!P286</f>
        <v>978806.84633207624</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25">
      <c r="C189" s="75"/>
      <c r="E189" t="s">
        <v>252</v>
      </c>
      <c r="G189" t="s">
        <v>251</v>
      </c>
      <c r="J189" s="167">
        <f>'Volume adjustments'!J297</f>
        <v>0</v>
      </c>
      <c r="K189" s="167">
        <f>'Volume adjustments'!K297</f>
        <v>0</v>
      </c>
      <c r="L189" s="167">
        <f>'Volume adjustments'!L297</f>
        <v>0</v>
      </c>
      <c r="M189" s="167">
        <f>'Volume adjustments'!M297</f>
        <v>0</v>
      </c>
      <c r="N189" s="167">
        <f>'Volume adjustments'!N297</f>
        <v>24735.148031599343</v>
      </c>
      <c r="O189" s="167">
        <f>'Volume adjustments'!O297</f>
        <v>4606.4986301369854</v>
      </c>
      <c r="P189" s="167">
        <f>'Volume adjustments'!P297</f>
        <v>12022.446575342467</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25">
      <c r="C190" s="75"/>
      <c r="J190" s="167"/>
      <c r="K190" s="167"/>
      <c r="L190" s="167"/>
      <c r="M190" s="167"/>
      <c r="N190" s="167"/>
      <c r="O190" s="167"/>
      <c r="P190" s="167"/>
      <c r="Q190" s="167"/>
      <c r="R190" s="167"/>
      <c r="S190" s="167"/>
      <c r="T190" s="167"/>
      <c r="U190" s="167"/>
      <c r="V190" s="167"/>
      <c r="W190" s="167"/>
      <c r="X190" s="167"/>
      <c r="Y190" s="167"/>
      <c r="AQ190" s="3"/>
    </row>
    <row r="191" spans="2:43" x14ac:dyDescent="0.25">
      <c r="C191" s="75"/>
      <c r="E191" t="s">
        <v>484</v>
      </c>
      <c r="G191" t="s">
        <v>251</v>
      </c>
      <c r="J191" s="106">
        <f t="shared" ref="J191:Y191" si="48">SUM(J188:J189)</f>
        <v>0</v>
      </c>
      <c r="K191" s="106">
        <f t="shared" si="48"/>
        <v>0</v>
      </c>
      <c r="L191" s="106">
        <f t="shared" si="48"/>
        <v>0</v>
      </c>
      <c r="M191" s="106">
        <f t="shared" si="48"/>
        <v>0</v>
      </c>
      <c r="N191" s="106">
        <f t="shared" si="48"/>
        <v>926193.55217170971</v>
      </c>
      <c r="O191" s="106">
        <f t="shared" si="48"/>
        <v>396910.82076986751</v>
      </c>
      <c r="P191" s="106">
        <f t="shared" si="48"/>
        <v>990829.29290741868</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25">
      <c r="C192" s="75"/>
      <c r="E192" t="s">
        <v>485</v>
      </c>
      <c r="G192" t="s">
        <v>172</v>
      </c>
      <c r="J192" s="106">
        <f t="shared" ref="J192:Y192" si="49">J191 * PowerFactor / thousand</f>
        <v>0</v>
      </c>
      <c r="K192" s="106">
        <f t="shared" si="49"/>
        <v>0</v>
      </c>
      <c r="L192" s="106">
        <f t="shared" si="49"/>
        <v>0</v>
      </c>
      <c r="M192" s="106">
        <f t="shared" si="49"/>
        <v>0</v>
      </c>
      <c r="N192" s="106">
        <f t="shared" si="49"/>
        <v>879.8838745631241</v>
      </c>
      <c r="O192" s="106">
        <f t="shared" si="49"/>
        <v>377.06527973137412</v>
      </c>
      <c r="P192" s="106">
        <f t="shared" si="49"/>
        <v>941.2878282620477</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25">
      <c r="C193" s="75"/>
      <c r="J193" s="97"/>
      <c r="K193" s="97"/>
      <c r="L193" s="97"/>
      <c r="M193" s="97"/>
      <c r="N193" s="97"/>
      <c r="O193" s="97"/>
      <c r="P193" s="97"/>
      <c r="Q193" s="97"/>
      <c r="R193" s="97"/>
      <c r="S193" s="97"/>
      <c r="T193" s="97"/>
      <c r="U193" s="97"/>
      <c r="V193" s="97"/>
      <c r="W193" s="97"/>
      <c r="X193" s="97"/>
      <c r="Y193" s="97"/>
      <c r="AQ193" s="3"/>
    </row>
    <row r="194" spans="3:43" x14ac:dyDescent="0.25">
      <c r="C194" s="93" t="str">
        <f ca="1">INDEX('Version control'!$H$41:$H$64,MATCH($A$1,'Version control'!$F$41:$F$64,0),1)&amp;"-F: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25">
      <c r="C195" s="75"/>
      <c r="J195" s="97"/>
      <c r="K195" s="97"/>
      <c r="L195" s="97"/>
      <c r="M195" s="97"/>
      <c r="N195" s="97"/>
      <c r="O195" s="97"/>
      <c r="P195" s="97"/>
      <c r="Q195" s="97"/>
      <c r="R195" s="97"/>
      <c r="S195" s="97"/>
      <c r="T195" s="97"/>
      <c r="U195" s="97"/>
      <c r="V195" s="97"/>
      <c r="W195" s="97"/>
      <c r="X195" s="97"/>
      <c r="Y195" s="97"/>
      <c r="AQ195" s="3"/>
    </row>
    <row r="196" spans="3:43" x14ac:dyDescent="0.25">
      <c r="C196" s="75"/>
      <c r="D196" s="86" t="s">
        <v>486</v>
      </c>
      <c r="J196" s="97"/>
      <c r="K196" s="97"/>
      <c r="L196" s="97"/>
      <c r="M196" s="97"/>
      <c r="N196" s="97"/>
      <c r="O196" s="97"/>
      <c r="P196" s="97"/>
      <c r="Q196" s="97"/>
      <c r="R196" s="97"/>
      <c r="S196" s="97"/>
      <c r="T196" s="97"/>
      <c r="U196" s="97"/>
      <c r="V196" s="97"/>
      <c r="W196" s="97"/>
      <c r="X196" s="97"/>
      <c r="Y196" s="97"/>
      <c r="AQ196" s="3"/>
    </row>
    <row r="197" spans="3:43" x14ac:dyDescent="0.25">
      <c r="D197" s="75"/>
      <c r="J197" s="97"/>
      <c r="K197" s="97"/>
      <c r="L197" s="97"/>
      <c r="M197" s="97"/>
      <c r="N197" s="97"/>
      <c r="O197" s="97"/>
      <c r="P197" s="97"/>
      <c r="Q197" s="97"/>
      <c r="R197" s="97"/>
      <c r="S197" s="97"/>
      <c r="T197" s="97"/>
      <c r="U197" s="97"/>
      <c r="V197" s="97"/>
      <c r="W197" s="97"/>
      <c r="X197" s="97"/>
      <c r="Y197" s="97"/>
      <c r="AQ197" s="3"/>
    </row>
    <row r="198" spans="3:43" x14ac:dyDescent="0.25">
      <c r="E198" t="s">
        <v>221</v>
      </c>
      <c r="G198" t="s">
        <v>209</v>
      </c>
      <c r="H198" s="230"/>
      <c r="I198" t="s">
        <v>154</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487</v>
      </c>
    </row>
    <row r="199" spans="3:43" x14ac:dyDescent="0.25">
      <c r="D199" s="75"/>
      <c r="H199" s="232"/>
      <c r="J199" s="97"/>
      <c r="L199" s="97"/>
      <c r="AQ199" s="3"/>
    </row>
    <row r="200" spans="3:43" x14ac:dyDescent="0.25">
      <c r="C200" s="75"/>
      <c r="E200" t="s">
        <v>488</v>
      </c>
      <c r="G200" t="s">
        <v>172</v>
      </c>
      <c r="H200" s="97"/>
      <c r="I200" t="s">
        <v>154</v>
      </c>
      <c r="J200" s="151">
        <f t="shared" ref="J200:Q200" si="50">IF(J61 = 0, 0, J59 / (hours_in_year * J61))</f>
        <v>1396.8491733090075</v>
      </c>
      <c r="K200" s="151">
        <f t="shared" si="50"/>
        <v>22.469215119639088</v>
      </c>
      <c r="L200" s="151">
        <f t="shared" si="50"/>
        <v>460.78602394813072</v>
      </c>
      <c r="M200" s="151">
        <f t="shared" si="50"/>
        <v>8.9672647610951586</v>
      </c>
      <c r="N200" s="151">
        <f t="shared" si="50"/>
        <v>265.36394131308924</v>
      </c>
      <c r="O200" s="151">
        <f t="shared" si="50"/>
        <v>123.0814124542609</v>
      </c>
      <c r="P200" s="151">
        <f t="shared" si="50"/>
        <v>318.07388895427567</v>
      </c>
      <c r="Q200" s="151">
        <f t="shared" si="50"/>
        <v>24.592695836521987</v>
      </c>
      <c r="R200" s="140"/>
      <c r="S200" s="140"/>
      <c r="T200" s="140"/>
      <c r="U200" s="140"/>
      <c r="V200" s="140"/>
      <c r="W200" s="140"/>
      <c r="X200" s="140"/>
      <c r="Y200" s="140"/>
      <c r="AA200" t="s">
        <v>487</v>
      </c>
      <c r="AQ200" s="3"/>
    </row>
    <row r="201" spans="3:43" x14ac:dyDescent="0.25">
      <c r="C201" s="75"/>
      <c r="H201" s="97"/>
      <c r="J201" s="106"/>
      <c r="K201" s="106"/>
      <c r="L201" s="106"/>
      <c r="M201" s="106"/>
      <c r="N201" s="106"/>
      <c r="O201" s="106"/>
      <c r="P201" s="106"/>
      <c r="Q201" s="106"/>
      <c r="R201" s="97"/>
      <c r="S201" s="97"/>
      <c r="T201" s="97"/>
      <c r="U201" s="97"/>
      <c r="V201" s="97"/>
      <c r="W201" s="97"/>
      <c r="X201" s="97"/>
      <c r="Y201" s="97"/>
      <c r="AQ201" s="3"/>
    </row>
    <row r="202" spans="3:43" x14ac:dyDescent="0.25">
      <c r="E202" t="s">
        <v>489</v>
      </c>
      <c r="G202" t="s">
        <v>172</v>
      </c>
      <c r="H202" s="97"/>
      <c r="I202" t="s">
        <v>154</v>
      </c>
      <c r="J202" s="106">
        <f t="shared" ref="J202:Y202" si="51">J192 * J42 / $H53</f>
        <v>0</v>
      </c>
      <c r="K202" s="106">
        <f t="shared" si="51"/>
        <v>0</v>
      </c>
      <c r="L202" s="106">
        <f t="shared" si="51"/>
        <v>0</v>
      </c>
      <c r="M202" s="106">
        <f t="shared" si="51"/>
        <v>0</v>
      </c>
      <c r="N202" s="106">
        <f t="shared" si="51"/>
        <v>879.8838745631241</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487</v>
      </c>
    </row>
    <row r="203" spans="3:43" x14ac:dyDescent="0.25">
      <c r="H203" s="97"/>
      <c r="J203" s="106"/>
      <c r="K203" s="106"/>
      <c r="L203" s="106"/>
      <c r="M203" s="106"/>
      <c r="N203" s="106"/>
      <c r="O203" s="106"/>
      <c r="P203" s="106"/>
      <c r="Q203" s="106"/>
      <c r="R203" s="106"/>
      <c r="S203" s="106"/>
      <c r="T203" s="106"/>
      <c r="U203" s="106"/>
      <c r="V203" s="106"/>
      <c r="W203" s="106"/>
      <c r="X203" s="106"/>
      <c r="Y203" s="106"/>
    </row>
    <row r="204" spans="3:43" x14ac:dyDescent="0.25">
      <c r="E204" t="s">
        <v>490</v>
      </c>
      <c r="G204" t="s">
        <v>172</v>
      </c>
      <c r="H204" s="97"/>
      <c r="J204" s="106">
        <f t="shared" ref="J204:Y204" si="52">IF(J198, J$200 * J42 / $H53, 0)</f>
        <v>1396.8491733090075</v>
      </c>
      <c r="K204" s="106">
        <f t="shared" si="52"/>
        <v>0</v>
      </c>
      <c r="L204" s="106">
        <f t="shared" si="52"/>
        <v>460.78602394813072</v>
      </c>
      <c r="M204" s="106">
        <f t="shared" si="52"/>
        <v>0</v>
      </c>
      <c r="N204" s="106">
        <f t="shared" si="52"/>
        <v>265.36394131308924</v>
      </c>
      <c r="O204" s="106">
        <f t="shared" si="52"/>
        <v>0</v>
      </c>
      <c r="P204" s="106">
        <f t="shared" si="52"/>
        <v>0</v>
      </c>
      <c r="Q204" s="106">
        <f t="shared" si="52"/>
        <v>24.592695836521987</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25">
      <c r="H205" s="97"/>
      <c r="J205" s="106"/>
      <c r="K205" s="106"/>
      <c r="L205" s="106"/>
      <c r="M205" s="106"/>
      <c r="N205" s="106"/>
      <c r="O205" s="106"/>
      <c r="P205" s="106"/>
      <c r="Q205" s="106"/>
      <c r="R205" s="106"/>
      <c r="S205" s="106"/>
      <c r="T205" s="106"/>
      <c r="U205" s="106"/>
      <c r="V205" s="106"/>
      <c r="W205" s="106"/>
      <c r="X205" s="106"/>
      <c r="Y205" s="106"/>
    </row>
    <row r="206" spans="3:43" x14ac:dyDescent="0.25">
      <c r="E206" t="s">
        <v>491</v>
      </c>
      <c r="G206" t="s">
        <v>172</v>
      </c>
      <c r="H206" s="97"/>
      <c r="J206" s="106">
        <f t="shared" ref="J206:Y206" si="53">IF(J202 = 0, J204, J202)</f>
        <v>1396.8491733090075</v>
      </c>
      <c r="K206" s="106">
        <f t="shared" si="53"/>
        <v>0</v>
      </c>
      <c r="L206" s="106">
        <f t="shared" si="53"/>
        <v>460.78602394813072</v>
      </c>
      <c r="M206" s="106">
        <f t="shared" si="53"/>
        <v>0</v>
      </c>
      <c r="N206" s="106">
        <f t="shared" si="53"/>
        <v>879.8838745631241</v>
      </c>
      <c r="O206" s="106">
        <f t="shared" si="53"/>
        <v>0</v>
      </c>
      <c r="P206" s="106">
        <f t="shared" si="53"/>
        <v>0</v>
      </c>
      <c r="Q206" s="106">
        <f t="shared" si="53"/>
        <v>24.592695836521987</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25">
      <c r="H207" s="97"/>
      <c r="J207" s="106"/>
      <c r="K207" s="106"/>
      <c r="L207" s="106"/>
      <c r="M207" s="106"/>
      <c r="N207" s="106"/>
      <c r="O207" s="106"/>
      <c r="P207" s="106"/>
      <c r="Q207" s="106"/>
      <c r="R207" s="106"/>
      <c r="S207" s="106"/>
      <c r="T207" s="106"/>
      <c r="U207" s="106"/>
      <c r="V207" s="106"/>
      <c r="W207" s="106"/>
      <c r="X207" s="106"/>
      <c r="Y207" s="106"/>
    </row>
    <row r="208" spans="3:43" x14ac:dyDescent="0.25">
      <c r="E208" t="s">
        <v>492</v>
      </c>
      <c r="G208" t="s">
        <v>172</v>
      </c>
      <c r="H208" s="97"/>
      <c r="I208" t="s">
        <v>154</v>
      </c>
      <c r="J208" s="106">
        <f t="shared" ref="J208:Y208" si="54">J150</f>
        <v>1147.9393416939902</v>
      </c>
      <c r="K208" s="106">
        <f t="shared" si="54"/>
        <v>1.141614943751311</v>
      </c>
      <c r="L208" s="106">
        <f t="shared" si="54"/>
        <v>386.90518987117093</v>
      </c>
      <c r="M208" s="106">
        <f t="shared" si="54"/>
        <v>0.60815076383838984</v>
      </c>
      <c r="N208" s="106">
        <f t="shared" si="54"/>
        <v>218.35471371222286</v>
      </c>
      <c r="O208" s="106">
        <f t="shared" si="54"/>
        <v>0</v>
      </c>
      <c r="P208" s="106">
        <f t="shared" si="54"/>
        <v>0</v>
      </c>
      <c r="Q208" s="106">
        <f t="shared" si="54"/>
        <v>17.045022953820158</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487</v>
      </c>
    </row>
    <row r="209" spans="5:43" x14ac:dyDescent="0.25">
      <c r="H209" s="97"/>
      <c r="J209" s="97"/>
      <c r="K209" s="97"/>
      <c r="L209" s="97"/>
      <c r="M209" s="97"/>
      <c r="N209" s="97"/>
      <c r="O209" s="97"/>
      <c r="P209" s="97"/>
      <c r="Q209" s="97"/>
      <c r="R209" s="97"/>
      <c r="S209" s="97"/>
      <c r="T209" s="97"/>
      <c r="U209" s="97"/>
      <c r="V209" s="97"/>
      <c r="W209" s="97"/>
      <c r="X209" s="97"/>
      <c r="Y209" s="97"/>
    </row>
    <row r="210" spans="5:43" x14ac:dyDescent="0.25">
      <c r="E210" t="s">
        <v>493</v>
      </c>
      <c r="G210" t="s">
        <v>167</v>
      </c>
      <c r="H210" s="233">
        <f>SUM(J206:Y206) / SUM(J208:Y208) - 1</f>
        <v>0.55875906733001446</v>
      </c>
      <c r="J210" s="97"/>
      <c r="K210" s="97"/>
      <c r="L210" s="97"/>
      <c r="M210" s="97"/>
      <c r="N210" s="97"/>
      <c r="O210" s="97"/>
      <c r="P210" s="97"/>
      <c r="Q210" s="97"/>
      <c r="R210" s="97"/>
      <c r="S210" s="97"/>
      <c r="T210" s="97"/>
      <c r="U210" s="97"/>
      <c r="V210" s="97"/>
      <c r="W210" s="97"/>
      <c r="X210" s="97"/>
      <c r="Y210" s="97"/>
    </row>
    <row r="211" spans="5:43" x14ac:dyDescent="0.25">
      <c r="H211" s="230"/>
    </row>
    <row r="212" spans="5:43" x14ac:dyDescent="0.25">
      <c r="E212" s="75" t="s">
        <v>348</v>
      </c>
      <c r="J212" s="97"/>
      <c r="L212" s="97"/>
      <c r="AA212" t="s">
        <v>487</v>
      </c>
      <c r="AQ212" s="3"/>
    </row>
    <row r="213" spans="5:43" x14ac:dyDescent="0.25">
      <c r="E213" s="86" t="s">
        <v>494</v>
      </c>
      <c r="F213" s="86"/>
      <c r="J213" s="97"/>
      <c r="L213" s="97"/>
      <c r="AQ213" s="3"/>
    </row>
    <row r="214" spans="5:43" x14ac:dyDescent="0.25">
      <c r="E214" s="75"/>
      <c r="F214" s="95" t="s">
        <v>191</v>
      </c>
      <c r="G214" s="95" t="s">
        <v>167</v>
      </c>
      <c r="H214" s="154">
        <f t="array" ref="H214:H222">TRANSPOSE('Load &amp; loss characteristics'!K23:S23)</f>
        <v>2.200000000000002E-2</v>
      </c>
      <c r="J214" s="97"/>
      <c r="K214" s="234"/>
      <c r="L214" s="97"/>
      <c r="M214" s="234"/>
      <c r="AQ214" s="3"/>
    </row>
    <row r="215" spans="5:43" x14ac:dyDescent="0.25">
      <c r="E215" s="75"/>
      <c r="F215" t="s">
        <v>192</v>
      </c>
      <c r="G215" t="s">
        <v>167</v>
      </c>
      <c r="H215" s="155">
        <v>5.3682000000000007E-2</v>
      </c>
      <c r="J215" s="97"/>
      <c r="L215" s="97"/>
      <c r="AQ215" s="3"/>
    </row>
    <row r="216" spans="5:43" x14ac:dyDescent="0.25">
      <c r="E216" s="75"/>
      <c r="F216" t="s">
        <v>193</v>
      </c>
      <c r="G216" t="s">
        <v>167</v>
      </c>
      <c r="H216" s="155">
        <v>5.3682000000000007E-2</v>
      </c>
      <c r="J216" s="97"/>
      <c r="L216" s="97"/>
      <c r="AQ216" s="3"/>
    </row>
    <row r="217" spans="5:43" x14ac:dyDescent="0.25">
      <c r="E217" s="75"/>
      <c r="F217" t="s">
        <v>194</v>
      </c>
      <c r="G217" t="s">
        <v>167</v>
      </c>
      <c r="H217" s="155">
        <v>0.13270815000000002</v>
      </c>
      <c r="J217" s="97"/>
      <c r="L217" s="97"/>
      <c r="AQ217" s="3"/>
    </row>
    <row r="218" spans="5:43" x14ac:dyDescent="0.25">
      <c r="E218" s="75"/>
      <c r="F218" t="s">
        <v>195</v>
      </c>
      <c r="G218" t="s">
        <v>167</v>
      </c>
      <c r="H218" s="155">
        <v>0.13270815000000002</v>
      </c>
      <c r="J218" s="97"/>
      <c r="L218" s="97"/>
      <c r="AQ218" s="3"/>
    </row>
    <row r="219" spans="5:43" x14ac:dyDescent="0.25">
      <c r="E219" s="75"/>
      <c r="F219" t="s">
        <v>196</v>
      </c>
      <c r="G219" t="s">
        <v>167</v>
      </c>
      <c r="H219" s="155">
        <v>5.3682000000000007E-2</v>
      </c>
      <c r="J219" s="97"/>
      <c r="L219" s="97"/>
      <c r="AQ219" s="3"/>
    </row>
    <row r="220" spans="5:43" x14ac:dyDescent="0.25">
      <c r="E220" s="75"/>
      <c r="F220" t="s">
        <v>197</v>
      </c>
      <c r="G220" t="s">
        <v>167</v>
      </c>
      <c r="H220" s="155">
        <v>0.55181016550000006</v>
      </c>
      <c r="J220" s="97"/>
      <c r="L220" s="97"/>
      <c r="AQ220" s="3"/>
    </row>
    <row r="221" spans="5:43" x14ac:dyDescent="0.25">
      <c r="E221" s="75"/>
      <c r="F221" t="s">
        <v>198</v>
      </c>
      <c r="G221" t="s">
        <v>167</v>
      </c>
      <c r="H221" s="155">
        <v>0.55181016550000006</v>
      </c>
      <c r="J221" s="97"/>
      <c r="L221" s="97"/>
      <c r="AQ221" s="3"/>
    </row>
    <row r="222" spans="5:43" x14ac:dyDescent="0.25">
      <c r="E222" s="75"/>
      <c r="F222" s="96" t="s">
        <v>199</v>
      </c>
      <c r="G222" s="96" t="s">
        <v>167</v>
      </c>
      <c r="H222" s="187">
        <v>0.55181016550000006</v>
      </c>
      <c r="J222" s="97"/>
      <c r="L222" s="97"/>
      <c r="AQ222" s="3"/>
    </row>
    <row r="223" spans="5:43" x14ac:dyDescent="0.25">
      <c r="H223" s="230"/>
    </row>
    <row r="224" spans="5:43" x14ac:dyDescent="0.25">
      <c r="E224" s="75" t="s">
        <v>495</v>
      </c>
      <c r="J224" s="97"/>
      <c r="L224" s="97"/>
      <c r="AA224" t="s">
        <v>487</v>
      </c>
      <c r="AQ224" s="3"/>
    </row>
    <row r="225" spans="3:43" x14ac:dyDescent="0.25">
      <c r="E225" s="86" t="s">
        <v>496</v>
      </c>
      <c r="F225" s="86"/>
      <c r="J225" s="97"/>
      <c r="L225" s="97"/>
      <c r="AQ225" s="3"/>
    </row>
    <row r="226" spans="3:43" x14ac:dyDescent="0.25">
      <c r="C226" s="75"/>
      <c r="F226" s="95" t="s">
        <v>191</v>
      </c>
      <c r="G226" s="95" t="s">
        <v>167</v>
      </c>
      <c r="H226" s="235">
        <f t="shared" ref="H226:H233" si="55">IF(F226 = $F$234, $H$210, H214)</f>
        <v>2.200000000000002E-2</v>
      </c>
      <c r="J226" s="97"/>
      <c r="L226" s="97"/>
      <c r="AQ226" s="3"/>
    </row>
    <row r="227" spans="3:43" x14ac:dyDescent="0.25">
      <c r="C227" s="75"/>
      <c r="F227" t="s">
        <v>192</v>
      </c>
      <c r="G227" t="s">
        <v>167</v>
      </c>
      <c r="H227" s="158">
        <f t="shared" si="55"/>
        <v>5.3682000000000007E-2</v>
      </c>
      <c r="J227" s="97"/>
      <c r="L227" s="97"/>
      <c r="AQ227" s="3"/>
    </row>
    <row r="228" spans="3:43" x14ac:dyDescent="0.25">
      <c r="C228" s="75"/>
      <c r="F228" t="s">
        <v>193</v>
      </c>
      <c r="G228" t="s">
        <v>167</v>
      </c>
      <c r="H228" s="158">
        <f t="shared" si="55"/>
        <v>5.3682000000000007E-2</v>
      </c>
      <c r="J228" s="97"/>
      <c r="L228" s="97"/>
      <c r="AQ228" s="3"/>
    </row>
    <row r="229" spans="3:43" x14ac:dyDescent="0.25">
      <c r="C229" s="75"/>
      <c r="F229" t="s">
        <v>194</v>
      </c>
      <c r="G229" t="s">
        <v>167</v>
      </c>
      <c r="H229" s="158">
        <f t="shared" si="55"/>
        <v>0.13270815000000002</v>
      </c>
      <c r="J229" s="97"/>
      <c r="L229" s="97"/>
      <c r="AQ229" s="3"/>
    </row>
    <row r="230" spans="3:43" x14ac:dyDescent="0.25">
      <c r="C230" s="75"/>
      <c r="F230" t="s">
        <v>195</v>
      </c>
      <c r="G230" t="s">
        <v>167</v>
      </c>
      <c r="H230" s="158">
        <f t="shared" si="55"/>
        <v>0.13270815000000002</v>
      </c>
      <c r="J230" s="97"/>
      <c r="L230" s="97"/>
      <c r="AQ230" s="3"/>
    </row>
    <row r="231" spans="3:43" x14ac:dyDescent="0.25">
      <c r="C231" s="75"/>
      <c r="F231" t="s">
        <v>196</v>
      </c>
      <c r="G231" t="s">
        <v>167</v>
      </c>
      <c r="H231" s="158">
        <f t="shared" si="55"/>
        <v>5.3682000000000007E-2</v>
      </c>
      <c r="J231" s="97"/>
      <c r="L231" s="97"/>
      <c r="AQ231" s="3"/>
    </row>
    <row r="232" spans="3:43" x14ac:dyDescent="0.25">
      <c r="C232" s="75"/>
      <c r="F232" t="s">
        <v>197</v>
      </c>
      <c r="G232" t="s">
        <v>167</v>
      </c>
      <c r="H232" s="158">
        <f t="shared" si="55"/>
        <v>0.55181016550000006</v>
      </c>
      <c r="J232" s="97"/>
      <c r="L232" s="97"/>
      <c r="AQ232" s="3"/>
    </row>
    <row r="233" spans="3:43" x14ac:dyDescent="0.25">
      <c r="C233" s="75"/>
      <c r="F233" t="s">
        <v>198</v>
      </c>
      <c r="G233" t="s">
        <v>167</v>
      </c>
      <c r="H233" s="158">
        <f t="shared" si="55"/>
        <v>0.55181016550000006</v>
      </c>
      <c r="J233" s="97"/>
      <c r="L233" s="97"/>
      <c r="AQ233" s="3"/>
    </row>
    <row r="234" spans="3:43" x14ac:dyDescent="0.25">
      <c r="C234" s="75"/>
      <c r="F234" s="96" t="s">
        <v>199</v>
      </c>
      <c r="G234" s="96" t="s">
        <v>167</v>
      </c>
      <c r="H234" s="189">
        <f>IF(F234 = $F$234, $H$210, H222)</f>
        <v>0.55875906733001446</v>
      </c>
      <c r="J234" s="97"/>
      <c r="L234" s="97"/>
      <c r="AQ234" s="3"/>
    </row>
    <row r="235" spans="3:43" x14ac:dyDescent="0.25">
      <c r="H235" s="230"/>
    </row>
    <row r="236" spans="3:43" x14ac:dyDescent="0.25">
      <c r="C236" s="93" t="str">
        <f ca="1">INDEX('Version control'!$H$41:$H$64,MATCH($A$1,'Version control'!$F$41:$F$64,0),1)&amp;"-G: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25">
      <c r="H237" s="230"/>
    </row>
    <row r="238" spans="3:43" x14ac:dyDescent="0.25">
      <c r="E238" s="75" t="s">
        <v>497</v>
      </c>
      <c r="F238" s="86"/>
      <c r="H238" s="236"/>
    </row>
    <row r="239" spans="3:43" x14ac:dyDescent="0.25">
      <c r="C239" s="75"/>
      <c r="F239" s="95" t="s">
        <v>191</v>
      </c>
      <c r="G239" s="95" t="s">
        <v>172</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25">
      <c r="C240" s="75"/>
      <c r="F240" t="s">
        <v>192</v>
      </c>
      <c r="G240" t="s">
        <v>172</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0</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25">
      <c r="C241" s="75"/>
      <c r="F241" t="s">
        <v>193</v>
      </c>
      <c r="G241" t="s">
        <v>172</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25">
      <c r="C242" s="75"/>
      <c r="F242" t="s">
        <v>194</v>
      </c>
      <c r="G242" t="s">
        <v>172</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169.81437047792224</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25">
      <c r="C243" s="75"/>
      <c r="F243" t="s">
        <v>195</v>
      </c>
      <c r="G243" t="s">
        <v>172</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844.06749962503591</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25">
      <c r="C244" s="75"/>
      <c r="F244" t="s">
        <v>196</v>
      </c>
      <c r="G244" t="s">
        <v>172</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0</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25">
      <c r="C245" s="75"/>
      <c r="F245" t="s">
        <v>197</v>
      </c>
      <c r="G245" t="s">
        <v>172</v>
      </c>
      <c r="H245" s="97"/>
      <c r="J245" s="106">
        <f t="shared" ref="J245:Y245" si="62">J$192 * J29 * J40 / (1 + $H232) / $H51</f>
        <v>0</v>
      </c>
      <c r="K245" s="106">
        <f t="shared" si="62"/>
        <v>0</v>
      </c>
      <c r="L245" s="106">
        <f t="shared" si="62"/>
        <v>0</v>
      </c>
      <c r="M245" s="106">
        <f t="shared" si="62"/>
        <v>0</v>
      </c>
      <c r="N245" s="106">
        <f t="shared" si="62"/>
        <v>116.47178724467469</v>
      </c>
      <c r="O245" s="106">
        <f t="shared" si="62"/>
        <v>246.27407451981637</v>
      </c>
      <c r="P245" s="106">
        <f t="shared" si="62"/>
        <v>606.57408308622632</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25">
      <c r="C246" s="75"/>
      <c r="F246" t="s">
        <v>198</v>
      </c>
      <c r="G246" t="s">
        <v>172</v>
      </c>
      <c r="H246" s="97"/>
      <c r="J246" s="106">
        <f t="shared" ref="J246:Y246" si="63">J$192 * J30 * J41 / (1 + $H233) / $H52</f>
        <v>0</v>
      </c>
      <c r="K246" s="106">
        <f t="shared" si="63"/>
        <v>0</v>
      </c>
      <c r="L246" s="106">
        <f t="shared" si="63"/>
        <v>0</v>
      </c>
      <c r="M246" s="106">
        <f t="shared" si="63"/>
        <v>0</v>
      </c>
      <c r="N246" s="106">
        <f t="shared" si="63"/>
        <v>574.57933211351917</v>
      </c>
      <c r="O246" s="106">
        <f t="shared" si="63"/>
        <v>242.9841536769944</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25">
      <c r="C247" s="75"/>
      <c r="F247" s="96" t="s">
        <v>199</v>
      </c>
      <c r="G247" s="96" t="s">
        <v>172</v>
      </c>
      <c r="H247" s="177"/>
      <c r="I247" s="96"/>
      <c r="J247" s="196">
        <f t="shared" ref="J247:Y247" si="64">J$192 * J31 * J42 / (1 + $H234) / $H53</f>
        <v>0</v>
      </c>
      <c r="K247" s="196">
        <f t="shared" si="64"/>
        <v>0</v>
      </c>
      <c r="L247" s="196">
        <f t="shared" si="64"/>
        <v>0</v>
      </c>
      <c r="M247" s="196">
        <f t="shared" si="64"/>
        <v>0</v>
      </c>
      <c r="N247" s="196">
        <f t="shared" si="64"/>
        <v>564.47714916601569</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25">
      <c r="H248" s="230"/>
      <c r="J248" s="106"/>
      <c r="K248" s="106"/>
      <c r="L248" s="106"/>
      <c r="M248" s="106"/>
      <c r="N248" s="106"/>
      <c r="O248" s="106"/>
      <c r="P248" s="106"/>
      <c r="Q248" s="106"/>
      <c r="R248" s="106"/>
      <c r="S248" s="106"/>
      <c r="T248" s="106"/>
      <c r="U248" s="106"/>
      <c r="V248" s="106"/>
      <c r="W248" s="106"/>
      <c r="X248" s="106"/>
      <c r="Y248" s="106"/>
    </row>
    <row r="249" spans="3:43" x14ac:dyDescent="0.25">
      <c r="C249" s="93" t="str">
        <f ca="1">INDEX('Version control'!$H$41:$H$64,MATCH($A$1,'Version control'!$F$41:$F$64,0),1)&amp;"-H: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25">
      <c r="H250" s="230"/>
      <c r="J250" s="106"/>
      <c r="K250" s="106"/>
      <c r="L250" s="106"/>
      <c r="M250" s="106"/>
      <c r="N250" s="106"/>
      <c r="O250" s="106"/>
      <c r="P250" s="106"/>
      <c r="Q250" s="106"/>
      <c r="R250" s="106"/>
      <c r="S250" s="106"/>
      <c r="T250" s="106"/>
      <c r="U250" s="106"/>
      <c r="V250" s="106"/>
      <c r="W250" s="106"/>
      <c r="X250" s="106"/>
      <c r="Y250" s="106"/>
    </row>
    <row r="251" spans="3:43" x14ac:dyDescent="0.25">
      <c r="E251" s="75" t="s">
        <v>498</v>
      </c>
      <c r="F251" s="86"/>
      <c r="H251" s="230"/>
      <c r="J251" s="106"/>
      <c r="K251" s="106"/>
      <c r="L251" s="106"/>
      <c r="M251" s="106"/>
      <c r="N251" s="106"/>
      <c r="O251" s="106"/>
      <c r="P251" s="106"/>
      <c r="Q251" s="106"/>
      <c r="R251" s="106"/>
      <c r="S251" s="106"/>
      <c r="T251" s="106"/>
      <c r="U251" s="106"/>
      <c r="V251" s="106"/>
      <c r="W251" s="106"/>
      <c r="X251" s="106"/>
      <c r="Y251" s="106"/>
    </row>
    <row r="252" spans="3:43" x14ac:dyDescent="0.25">
      <c r="C252" s="75"/>
      <c r="F252" s="95" t="s">
        <v>191</v>
      </c>
      <c r="G252" s="176" t="s">
        <v>172</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25">
      <c r="C253" s="75"/>
      <c r="F253" t="s">
        <v>192</v>
      </c>
      <c r="G253" s="97" t="s">
        <v>172</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25">
      <c r="C254" s="75"/>
      <c r="F254" t="s">
        <v>193</v>
      </c>
      <c r="G254" s="97" t="s">
        <v>172</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25">
      <c r="C255" s="75"/>
      <c r="F255" t="s">
        <v>194</v>
      </c>
      <c r="G255" s="97" t="s">
        <v>172</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25">
      <c r="C256" s="75"/>
      <c r="F256" t="s">
        <v>195</v>
      </c>
      <c r="G256" s="97" t="s">
        <v>172</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25">
      <c r="C257" s="75"/>
      <c r="F257" t="s">
        <v>196</v>
      </c>
      <c r="G257" s="97" t="s">
        <v>172</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25">
      <c r="C258" s="75"/>
      <c r="F258" t="s">
        <v>197</v>
      </c>
      <c r="G258" s="97" t="s">
        <v>172</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25">
      <c r="C259" s="75"/>
      <c r="F259" t="s">
        <v>198</v>
      </c>
      <c r="G259" s="97" t="s">
        <v>172</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25">
      <c r="C260" s="75"/>
      <c r="F260" s="96" t="s">
        <v>199</v>
      </c>
      <c r="G260" s="177" t="s">
        <v>172</v>
      </c>
      <c r="H260" s="177"/>
      <c r="I260" s="96"/>
      <c r="J260" s="196">
        <f t="shared" ref="J260:Y260" si="73">IF(AND(J$192 = 0, J$198), J$200 * J31 * J42 / (1 + $H234) / $H53, 0)</f>
        <v>896.12898015192229</v>
      </c>
      <c r="K260" s="196">
        <f t="shared" si="73"/>
        <v>0</v>
      </c>
      <c r="L260" s="196">
        <f t="shared" si="73"/>
        <v>295.61080580426534</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25">
      <c r="H261" s="230"/>
    </row>
    <row r="262" spans="2:43" x14ac:dyDescent="0.25">
      <c r="B262" s="85" t="s">
        <v>499</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25">
      <c r="H263" s="230"/>
      <c r="J263" s="97"/>
      <c r="K263" s="97"/>
      <c r="L263" s="97"/>
      <c r="M263" s="97"/>
      <c r="N263" s="97"/>
      <c r="O263" s="97"/>
      <c r="P263" s="97"/>
      <c r="Q263" s="97"/>
      <c r="R263" s="97"/>
      <c r="S263" s="97"/>
      <c r="T263" s="97"/>
      <c r="U263" s="97"/>
      <c r="V263" s="97"/>
      <c r="W263" s="97"/>
      <c r="X263" s="97"/>
      <c r="Y263" s="97"/>
    </row>
    <row r="264" spans="2:43" x14ac:dyDescent="0.25">
      <c r="C264" s="86" t="s">
        <v>500</v>
      </c>
      <c r="H264" s="230"/>
      <c r="J264" s="97"/>
      <c r="K264" s="97"/>
      <c r="L264" s="97"/>
      <c r="M264" s="97"/>
      <c r="N264" s="97"/>
      <c r="O264" s="97"/>
      <c r="P264" s="97"/>
      <c r="Q264" s="97"/>
      <c r="R264" s="97"/>
      <c r="S264" s="97"/>
      <c r="T264" s="97"/>
      <c r="U264" s="97"/>
      <c r="V264" s="97"/>
      <c r="W264" s="97"/>
      <c r="X264" s="97"/>
      <c r="Y264" s="97"/>
    </row>
    <row r="265" spans="2:43" x14ac:dyDescent="0.25">
      <c r="H265" s="230"/>
      <c r="J265" s="97"/>
      <c r="K265" s="97"/>
      <c r="L265" s="97"/>
      <c r="M265" s="97"/>
      <c r="N265" s="97"/>
      <c r="O265" s="97"/>
      <c r="P265" s="97"/>
      <c r="Q265" s="97"/>
      <c r="R265" s="97"/>
      <c r="S265" s="97"/>
      <c r="T265" s="97"/>
      <c r="U265" s="97"/>
      <c r="V265" s="97"/>
      <c r="W265" s="97"/>
      <c r="X265" s="97"/>
      <c r="Y265" s="97"/>
    </row>
    <row r="266" spans="2:43" x14ac:dyDescent="0.25">
      <c r="C266" s="93" t="str">
        <f ca="1">INDEX('Version control'!$H$41:$H$64,MATCH($A$1,'Version control'!$F$41:$F$64,0),1)&amp;"-I: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25">
      <c r="H267" s="230"/>
    </row>
    <row r="268" spans="2:43" x14ac:dyDescent="0.25">
      <c r="E268" s="75" t="s">
        <v>501</v>
      </c>
      <c r="F268" s="86"/>
      <c r="H268" s="236" t="s">
        <v>502</v>
      </c>
      <c r="J268" s="97"/>
      <c r="K268" s="97"/>
      <c r="L268" s="97"/>
      <c r="M268" s="97"/>
      <c r="N268" s="97"/>
      <c r="O268" s="97"/>
      <c r="P268" s="97"/>
      <c r="Q268" s="97"/>
      <c r="R268" s="97"/>
      <c r="S268" s="97"/>
      <c r="T268" s="97"/>
      <c r="U268" s="97"/>
      <c r="V268" s="97"/>
      <c r="W268" s="97"/>
      <c r="X268" s="97"/>
      <c r="Y268" s="97"/>
    </row>
    <row r="269" spans="2:43" x14ac:dyDescent="0.25">
      <c r="C269" s="75"/>
      <c r="F269" s="95" t="s">
        <v>191</v>
      </c>
      <c r="G269" s="95" t="s">
        <v>172</v>
      </c>
      <c r="H269" s="149">
        <f t="shared" ref="H269:H277" si="74">SUM(J269:Y269)</f>
        <v>2222.2201682747323</v>
      </c>
      <c r="I269" s="223"/>
      <c r="J269" s="223">
        <f t="shared" ref="J269:Y269" si="75">J239 + J252 + J168</f>
        <v>1348.6381343646945</v>
      </c>
      <c r="K269" s="223">
        <f t="shared" si="75"/>
        <v>0.13709474824380175</v>
      </c>
      <c r="L269" s="223">
        <f t="shared" si="75"/>
        <v>375.66083394465807</v>
      </c>
      <c r="M269" s="223">
        <f t="shared" si="75"/>
        <v>8.7485258498346666E-2</v>
      </c>
      <c r="N269" s="223">
        <f t="shared" si="75"/>
        <v>227.88822306724472</v>
      </c>
      <c r="O269" s="223">
        <f t="shared" si="75"/>
        <v>101.78159028623115</v>
      </c>
      <c r="P269" s="223">
        <f t="shared" si="75"/>
        <v>279.45159619409492</v>
      </c>
      <c r="Q269" s="223">
        <f t="shared" si="75"/>
        <v>24.58079949032911</v>
      </c>
      <c r="R269" s="223">
        <f t="shared" si="75"/>
        <v>-17.917043362097736</v>
      </c>
      <c r="S269" s="223">
        <f t="shared" si="75"/>
        <v>-2.0814129662585037</v>
      </c>
      <c r="T269" s="223">
        <f t="shared" si="75"/>
        <v>-9.4089693020080603</v>
      </c>
      <c r="U269" s="223">
        <f t="shared" si="75"/>
        <v>0</v>
      </c>
      <c r="V269" s="223">
        <f t="shared" si="75"/>
        <v>0</v>
      </c>
      <c r="W269" s="223">
        <f t="shared" si="75"/>
        <v>0</v>
      </c>
      <c r="X269" s="223">
        <f t="shared" si="75"/>
        <v>-106.59816344889772</v>
      </c>
      <c r="Y269" s="223">
        <f t="shared" si="75"/>
        <v>0</v>
      </c>
      <c r="AQ269" s="3"/>
    </row>
    <row r="270" spans="2:43" x14ac:dyDescent="0.25">
      <c r="C270" s="75"/>
      <c r="F270" t="s">
        <v>192</v>
      </c>
      <c r="G270" t="s">
        <v>172</v>
      </c>
      <c r="H270" s="151">
        <f t="shared" si="74"/>
        <v>2187.8601234774815</v>
      </c>
      <c r="I270" s="106"/>
      <c r="J270" s="106">
        <f t="shared" ref="J270:Y270" si="76">J240 + J253 + J169</f>
        <v>1291.4296086193769</v>
      </c>
      <c r="K270" s="106">
        <f t="shared" si="76"/>
        <v>0.55285481632339484</v>
      </c>
      <c r="L270" s="106">
        <f t="shared" si="76"/>
        <v>392.74948822582991</v>
      </c>
      <c r="M270" s="106">
        <f t="shared" si="76"/>
        <v>0.30522261236534221</v>
      </c>
      <c r="N270" s="106">
        <f t="shared" si="76"/>
        <v>230.2630648999868</v>
      </c>
      <c r="O270" s="106">
        <f t="shared" si="76"/>
        <v>103.00725695614872</v>
      </c>
      <c r="P270" s="106">
        <f t="shared" si="76"/>
        <v>281.96217452458785</v>
      </c>
      <c r="Q270" s="106">
        <f t="shared" si="76"/>
        <v>21.178568832086153</v>
      </c>
      <c r="R270" s="106">
        <f t="shared" si="76"/>
        <v>-19.002783530400762</v>
      </c>
      <c r="S270" s="106">
        <f t="shared" si="76"/>
        <v>-2.1724322147771868</v>
      </c>
      <c r="T270" s="106">
        <f t="shared" si="76"/>
        <v>-9.8486021075936048</v>
      </c>
      <c r="U270" s="106">
        <f t="shared" si="76"/>
        <v>0</v>
      </c>
      <c r="V270" s="106">
        <f t="shared" si="76"/>
        <v>0</v>
      </c>
      <c r="W270" s="106">
        <f t="shared" si="76"/>
        <v>0</v>
      </c>
      <c r="X270" s="106">
        <f t="shared" si="76"/>
        <v>-102.56429815645184</v>
      </c>
      <c r="Y270" s="106">
        <f t="shared" si="76"/>
        <v>0</v>
      </c>
      <c r="AQ270" s="3"/>
    </row>
    <row r="271" spans="2:43" x14ac:dyDescent="0.25">
      <c r="C271" s="75"/>
      <c r="F271" t="s">
        <v>193</v>
      </c>
      <c r="G271" t="s">
        <v>172</v>
      </c>
      <c r="H271" s="151">
        <f t="shared" si="74"/>
        <v>2179.1522224885161</v>
      </c>
      <c r="I271" s="106"/>
      <c r="J271" s="106">
        <f t="shared" ref="J271:Y271" si="77">J241 + J254 + J170</f>
        <v>1286.2895902766131</v>
      </c>
      <c r="K271" s="106">
        <f t="shared" si="77"/>
        <v>0.55065439914399827</v>
      </c>
      <c r="L271" s="106">
        <f t="shared" si="77"/>
        <v>391.18630618314006</v>
      </c>
      <c r="M271" s="106">
        <f t="shared" si="77"/>
        <v>0.30400779599771893</v>
      </c>
      <c r="N271" s="106">
        <f t="shared" si="77"/>
        <v>229.3465949899371</v>
      </c>
      <c r="O271" s="106">
        <f t="shared" si="77"/>
        <v>102.59727782398497</v>
      </c>
      <c r="P271" s="106">
        <f t="shared" si="77"/>
        <v>280.83993701404228</v>
      </c>
      <c r="Q271" s="106">
        <f t="shared" si="77"/>
        <v>21.094276020814167</v>
      </c>
      <c r="R271" s="106">
        <f t="shared" si="77"/>
        <v>-18.927150561125533</v>
      </c>
      <c r="S271" s="106">
        <f t="shared" si="77"/>
        <v>-2.1637857183999638</v>
      </c>
      <c r="T271" s="106">
        <f t="shared" si="77"/>
        <v>-9.8094036912449738</v>
      </c>
      <c r="U271" s="106">
        <f t="shared" si="77"/>
        <v>0</v>
      </c>
      <c r="V271" s="106">
        <f t="shared" si="77"/>
        <v>0</v>
      </c>
      <c r="W271" s="106">
        <f t="shared" si="77"/>
        <v>0</v>
      </c>
      <c r="X271" s="106">
        <f t="shared" si="77"/>
        <v>-102.15608204438637</v>
      </c>
      <c r="Y271" s="106">
        <f t="shared" si="77"/>
        <v>0</v>
      </c>
      <c r="AQ271" s="3"/>
    </row>
    <row r="272" spans="2:43" x14ac:dyDescent="0.25">
      <c r="C272" s="75"/>
      <c r="F272" t="s">
        <v>194</v>
      </c>
      <c r="G272" t="s">
        <v>172</v>
      </c>
      <c r="H272" s="151">
        <f t="shared" si="74"/>
        <v>2228.9970183290989</v>
      </c>
      <c r="I272" s="106"/>
      <c r="J272" s="106">
        <f t="shared" ref="J272:Y272" si="78">J242 + J255 + J171</f>
        <v>1204.6557123310452</v>
      </c>
      <c r="K272" s="106">
        <f t="shared" si="78"/>
        <v>1.1980188441342809</v>
      </c>
      <c r="L272" s="106">
        <f t="shared" si="78"/>
        <v>406.02105893595217</v>
      </c>
      <c r="M272" s="106">
        <f t="shared" si="78"/>
        <v>0.63819773833633398</v>
      </c>
      <c r="N272" s="106">
        <f t="shared" si="78"/>
        <v>229.14299008140387</v>
      </c>
      <c r="O272" s="106">
        <f t="shared" si="78"/>
        <v>102.87324615827509</v>
      </c>
      <c r="P272" s="106">
        <f t="shared" si="78"/>
        <v>394.80458726442134</v>
      </c>
      <c r="Q272" s="106">
        <f t="shared" si="78"/>
        <v>17.887168356676884</v>
      </c>
      <c r="R272" s="106">
        <f t="shared" si="78"/>
        <v>-19.806290868825673</v>
      </c>
      <c r="S272" s="106">
        <f t="shared" si="78"/>
        <v>-2.2498682927324096</v>
      </c>
      <c r="T272" s="106">
        <f t="shared" si="78"/>
        <v>-10.257224992695937</v>
      </c>
      <c r="U272" s="106">
        <f t="shared" si="78"/>
        <v>0</v>
      </c>
      <c r="V272" s="106">
        <f t="shared" si="78"/>
        <v>0</v>
      </c>
      <c r="W272" s="106">
        <f t="shared" si="78"/>
        <v>0</v>
      </c>
      <c r="X272" s="106">
        <f t="shared" si="78"/>
        <v>-95.910577226891732</v>
      </c>
      <c r="Y272" s="106">
        <f t="shared" si="78"/>
        <v>0</v>
      </c>
      <c r="AQ272" s="3"/>
    </row>
    <row r="273" spans="2:43" x14ac:dyDescent="0.25">
      <c r="C273" s="75"/>
      <c r="F273" t="s">
        <v>195</v>
      </c>
      <c r="G273" t="s">
        <v>172</v>
      </c>
      <c r="H273" s="151">
        <f t="shared" si="74"/>
        <v>2667.4493662630071</v>
      </c>
      <c r="I273" s="106"/>
      <c r="J273" s="106">
        <f t="shared" ref="J273:Y273" si="79">J243 + J256 + J172</f>
        <v>1197.5555804312551</v>
      </c>
      <c r="K273" s="106">
        <f t="shared" si="79"/>
        <v>1.1909578293358472</v>
      </c>
      <c r="L273" s="106">
        <f t="shared" si="79"/>
        <v>403.62800750803888</v>
      </c>
      <c r="M273" s="106">
        <f t="shared" si="79"/>
        <v>0.63443625854260322</v>
      </c>
      <c r="N273" s="106">
        <f t="shared" si="79"/>
        <v>227.79244200626792</v>
      </c>
      <c r="O273" s="106">
        <f t="shared" si="79"/>
        <v>102.266920542411</v>
      </c>
      <c r="P273" s="106">
        <f t="shared" si="79"/>
        <v>844.06749962503591</v>
      </c>
      <c r="Q273" s="106">
        <f t="shared" si="79"/>
        <v>17.781743002904722</v>
      </c>
      <c r="R273" s="106">
        <f t="shared" si="79"/>
        <v>-19.689554380404303</v>
      </c>
      <c r="S273" s="106">
        <f t="shared" si="79"/>
        <v>-2.2366077723430244</v>
      </c>
      <c r="T273" s="106">
        <f t="shared" si="79"/>
        <v>-10.196769835568062</v>
      </c>
      <c r="U273" s="106">
        <f t="shared" si="79"/>
        <v>0</v>
      </c>
      <c r="V273" s="106">
        <f t="shared" si="79"/>
        <v>0</v>
      </c>
      <c r="W273" s="106">
        <f t="shared" si="79"/>
        <v>0</v>
      </c>
      <c r="X273" s="106">
        <f t="shared" si="79"/>
        <v>-95.345288952469986</v>
      </c>
      <c r="Y273" s="106">
        <f t="shared" si="79"/>
        <v>0</v>
      </c>
      <c r="AQ273" s="3"/>
    </row>
    <row r="274" spans="2:43" x14ac:dyDescent="0.25">
      <c r="C274" s="75"/>
      <c r="F274" t="s">
        <v>196</v>
      </c>
      <c r="G274" t="s">
        <v>172</v>
      </c>
      <c r="H274" s="151">
        <f t="shared" si="74"/>
        <v>0</v>
      </c>
      <c r="I274" s="106"/>
      <c r="J274" s="106">
        <f t="shared" ref="J274:Y274" si="80">J244 + J257 + J173</f>
        <v>0</v>
      </c>
      <c r="K274" s="106">
        <f t="shared" si="80"/>
        <v>0</v>
      </c>
      <c r="L274" s="106">
        <f t="shared" si="80"/>
        <v>0</v>
      </c>
      <c r="M274" s="106">
        <f t="shared" si="80"/>
        <v>0</v>
      </c>
      <c r="N274" s="106">
        <f t="shared" si="80"/>
        <v>0</v>
      </c>
      <c r="O274" s="106">
        <f t="shared" si="80"/>
        <v>0</v>
      </c>
      <c r="P274" s="106">
        <f t="shared" si="80"/>
        <v>0</v>
      </c>
      <c r="Q274" s="106">
        <f t="shared" si="80"/>
        <v>0</v>
      </c>
      <c r="R274" s="106">
        <f t="shared" si="80"/>
        <v>0</v>
      </c>
      <c r="S274" s="106">
        <f t="shared" si="80"/>
        <v>0</v>
      </c>
      <c r="T274" s="106">
        <f t="shared" si="80"/>
        <v>0</v>
      </c>
      <c r="U274" s="106">
        <f t="shared" si="80"/>
        <v>0</v>
      </c>
      <c r="V274" s="106">
        <f t="shared" si="80"/>
        <v>0</v>
      </c>
      <c r="W274" s="106">
        <f t="shared" si="80"/>
        <v>0</v>
      </c>
      <c r="X274" s="106">
        <f t="shared" si="80"/>
        <v>0</v>
      </c>
      <c r="Y274" s="106">
        <f t="shared" si="80"/>
        <v>0</v>
      </c>
      <c r="AQ274" s="3"/>
    </row>
    <row r="275" spans="2:43" x14ac:dyDescent="0.25">
      <c r="C275" s="75"/>
      <c r="F275" t="s">
        <v>197</v>
      </c>
      <c r="G275" t="s">
        <v>172</v>
      </c>
      <c r="H275" s="151">
        <f t="shared" si="74"/>
        <v>2712.8189565397092</v>
      </c>
      <c r="I275" s="106"/>
      <c r="J275" s="106">
        <f t="shared" ref="J275:Y275" si="81">J245 + J258 + J174</f>
        <v>1179.0247397282569</v>
      </c>
      <c r="K275" s="106">
        <f t="shared" si="81"/>
        <v>1.172529081493126</v>
      </c>
      <c r="L275" s="106">
        <f t="shared" si="81"/>
        <v>397.38231300114467</v>
      </c>
      <c r="M275" s="106">
        <f t="shared" si="81"/>
        <v>0.6246190630525823</v>
      </c>
      <c r="N275" s="106">
        <f t="shared" si="81"/>
        <v>295.88587309564628</v>
      </c>
      <c r="O275" s="106">
        <f t="shared" si="81"/>
        <v>246.27407451981637</v>
      </c>
      <c r="P275" s="106">
        <f t="shared" si="81"/>
        <v>606.57408308622632</v>
      </c>
      <c r="Q275" s="106">
        <f t="shared" si="81"/>
        <v>17.506590306534825</v>
      </c>
      <c r="R275" s="106">
        <f t="shared" si="81"/>
        <v>-19.384880424808102</v>
      </c>
      <c r="S275" s="106">
        <f t="shared" si="81"/>
        <v>-2.2019987545891668</v>
      </c>
      <c r="T275" s="106">
        <f t="shared" si="81"/>
        <v>-10.038986163064109</v>
      </c>
      <c r="U275" s="106">
        <f t="shared" si="81"/>
        <v>0</v>
      </c>
      <c r="V275" s="106">
        <f t="shared" si="81"/>
        <v>0</v>
      </c>
      <c r="W275" s="106">
        <f t="shared" si="81"/>
        <v>0</v>
      </c>
      <c r="X275" s="106">
        <f t="shared" si="81"/>
        <v>0</v>
      </c>
      <c r="Y275" s="106">
        <f t="shared" si="81"/>
        <v>0</v>
      </c>
      <c r="AQ275" s="3"/>
    </row>
    <row r="276" spans="2:43" x14ac:dyDescent="0.25">
      <c r="C276" s="75"/>
      <c r="F276" t="s">
        <v>198</v>
      </c>
      <c r="G276" t="s">
        <v>172</v>
      </c>
      <c r="H276" s="151">
        <f t="shared" si="74"/>
        <v>2362.9267300927645</v>
      </c>
      <c r="I276" s="106"/>
      <c r="J276" s="106">
        <f t="shared" ref="J276:Y276" si="82">J246 + J259 + J175</f>
        <v>1163.2744092357038</v>
      </c>
      <c r="K276" s="106">
        <f t="shared" si="82"/>
        <v>1.1568655250609658</v>
      </c>
      <c r="L276" s="106">
        <f t="shared" si="82"/>
        <v>392.07377065189269</v>
      </c>
      <c r="M276" s="106">
        <f t="shared" si="82"/>
        <v>0.61627491526371192</v>
      </c>
      <c r="N276" s="106">
        <f t="shared" si="82"/>
        <v>574.57933211351917</v>
      </c>
      <c r="O276" s="106">
        <f t="shared" si="82"/>
        <v>242.9841536769944</v>
      </c>
      <c r="P276" s="106">
        <f t="shared" si="82"/>
        <v>0</v>
      </c>
      <c r="Q276" s="106">
        <f t="shared" si="82"/>
        <v>17.272723642134551</v>
      </c>
      <c r="R276" s="106">
        <f t="shared" si="82"/>
        <v>-19.125922098522498</v>
      </c>
      <c r="S276" s="106">
        <f t="shared" si="82"/>
        <v>0</v>
      </c>
      <c r="T276" s="106">
        <f t="shared" si="82"/>
        <v>-9.9048775692827178</v>
      </c>
      <c r="U276" s="106">
        <f t="shared" si="82"/>
        <v>0</v>
      </c>
      <c r="V276" s="106">
        <f t="shared" si="82"/>
        <v>0</v>
      </c>
      <c r="W276" s="106">
        <f t="shared" si="82"/>
        <v>0</v>
      </c>
      <c r="X276" s="106">
        <f t="shared" si="82"/>
        <v>0</v>
      </c>
      <c r="Y276" s="106">
        <f t="shared" si="82"/>
        <v>0</v>
      </c>
      <c r="AQ276" s="3"/>
    </row>
    <row r="277" spans="2:43" x14ac:dyDescent="0.25">
      <c r="C277" s="75"/>
      <c r="F277" s="96" t="s">
        <v>199</v>
      </c>
      <c r="G277" s="96" t="s">
        <v>172</v>
      </c>
      <c r="H277" s="150">
        <f t="shared" si="74"/>
        <v>1773.2619580760233</v>
      </c>
      <c r="I277" s="196"/>
      <c r="J277" s="196">
        <f t="shared" ref="J277:Y277" si="83">J247 + J260 + J176</f>
        <v>896.12898015192229</v>
      </c>
      <c r="K277" s="196">
        <f t="shared" si="83"/>
        <v>0</v>
      </c>
      <c r="L277" s="196">
        <f t="shared" si="83"/>
        <v>295.61080580426534</v>
      </c>
      <c r="M277" s="196">
        <f t="shared" si="83"/>
        <v>0</v>
      </c>
      <c r="N277" s="196">
        <f t="shared" si="83"/>
        <v>564.47714916601569</v>
      </c>
      <c r="O277" s="196">
        <f t="shared" si="83"/>
        <v>0</v>
      </c>
      <c r="P277" s="196">
        <f t="shared" si="83"/>
        <v>0</v>
      </c>
      <c r="Q277" s="196">
        <f t="shared" si="83"/>
        <v>17.045022953820158</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25">
      <c r="H278" s="230"/>
    </row>
    <row r="279" spans="2:43" x14ac:dyDescent="0.25">
      <c r="B279" s="85" t="s">
        <v>231</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25">
      <c r="E281" t="s">
        <v>232</v>
      </c>
      <c r="G281" s="6" t="s">
        <v>56</v>
      </c>
      <c r="H281" s="113">
        <f t="array" ref="H281">SUM(IF(ISERROR(H23:Y277), 1))</f>
        <v>0</v>
      </c>
    </row>
    <row r="283" spans="2:43" x14ac:dyDescent="0.25">
      <c r="B283" s="85" t="s">
        <v>107</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H38 &amp; IF(H38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503</v>
      </c>
    </row>
    <row r="10" spans="1:43" x14ac:dyDescent="0.25">
      <c r="C10" s="86" t="s">
        <v>504</v>
      </c>
    </row>
    <row r="11" spans="1:43" x14ac:dyDescent="0.25">
      <c r="D11" s="75"/>
      <c r="AQ11" s="3"/>
    </row>
    <row r="12" spans="1:43" x14ac:dyDescent="0.25">
      <c r="B12" s="85" t="s">
        <v>505</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25">
      <c r="G13" s="61"/>
    </row>
    <row r="14" spans="1:43" x14ac:dyDescent="0.25">
      <c r="C14" s="93" t="str">
        <f ca="1">INDEX('Version control'!$H$41:$H$64,MATCH($A$1,'Version control'!$F$41:$F$64,0),1)&amp;"-A: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25">
      <c r="E16" s="94" t="s">
        <v>506</v>
      </c>
      <c r="G16" s="94" t="s">
        <v>212</v>
      </c>
      <c r="J16" s="167">
        <f>'Volume adjustments'!J275</f>
        <v>1555970.1026352285</v>
      </c>
      <c r="K16" s="167">
        <f>'Volume adjustments'!K275</f>
        <v>0</v>
      </c>
      <c r="L16" s="167">
        <f>'Volume adjustments'!L275</f>
        <v>142887.74752632907</v>
      </c>
      <c r="M16" s="167">
        <f>'Volume adjustments'!M275</f>
        <v>0</v>
      </c>
      <c r="N16" s="167">
        <f>'Volume adjustments'!N275</f>
        <v>8553.6761507862702</v>
      </c>
      <c r="O16" s="167">
        <f>'Volume adjustments'!O275</f>
        <v>1727.8306187910828</v>
      </c>
      <c r="P16" s="167">
        <f>'Volume adjustments'!P275</f>
        <v>1128.3423922071754</v>
      </c>
      <c r="Q16" s="167">
        <f>'Volume adjustments'!Q275</f>
        <v>2437</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304.24933518428963</v>
      </c>
      <c r="Y16" s="167">
        <f>'Volume adjustments'!Y275</f>
        <v>0</v>
      </c>
    </row>
    <row r="17" spans="5:27" x14ac:dyDescent="0.25">
      <c r="E17" s="94" t="s">
        <v>507</v>
      </c>
      <c r="G17" s="94" t="s">
        <v>207</v>
      </c>
      <c r="J17" s="171">
        <f>'Volume adjustments'!J264</f>
        <v>5276142.8530266834</v>
      </c>
      <c r="K17" s="171">
        <f>'Volume adjustments'!K264</f>
        <v>27243.908419666943</v>
      </c>
      <c r="L17" s="171">
        <f>'Volume adjustments'!L264</f>
        <v>1809637.5133134488</v>
      </c>
      <c r="M17" s="171">
        <f>'Volume adjustments'!M264</f>
        <v>12960.691787985414</v>
      </c>
      <c r="N17" s="171">
        <f>'Volume adjustments'!N264</f>
        <v>1291213.8937094663</v>
      </c>
      <c r="O17" s="171">
        <f>'Volume adjustments'!O264</f>
        <v>655953.79941684054</v>
      </c>
      <c r="P17" s="171">
        <f>'Volume adjustments'!P264</f>
        <v>2054295.2156487543</v>
      </c>
      <c r="Q17" s="171">
        <f>'Volume adjustments'!Q264</f>
        <v>107695.80237537423</v>
      </c>
      <c r="R17" s="171">
        <f>'Volume adjustments'!R264</f>
        <v>124494.51811005016</v>
      </c>
      <c r="S17" s="171">
        <f>'Volume adjustments'!S264</f>
        <v>18397.443249944565</v>
      </c>
      <c r="T17" s="171">
        <f>'Volume adjustments'!T264</f>
        <v>87637.086830448781</v>
      </c>
      <c r="U17" s="171">
        <f>'Volume adjustments'!U264</f>
        <v>0</v>
      </c>
      <c r="V17" s="171">
        <f>'Volume adjustments'!V264</f>
        <v>0</v>
      </c>
      <c r="W17" s="171">
        <f>'Volume adjustments'!W264</f>
        <v>0</v>
      </c>
      <c r="X17" s="171">
        <f>'Volume adjustments'!X264</f>
        <v>616235.5944769216</v>
      </c>
      <c r="Y17" s="171">
        <f>'Volume adjustments'!Y264</f>
        <v>0</v>
      </c>
    </row>
    <row r="18" spans="5:27" x14ac:dyDescent="0.25">
      <c r="J18" s="106"/>
      <c r="K18" s="106"/>
      <c r="L18" s="106"/>
      <c r="M18" s="106"/>
      <c r="N18" s="106"/>
      <c r="O18" s="106"/>
      <c r="P18" s="106"/>
      <c r="Q18" s="106"/>
      <c r="R18" s="106"/>
      <c r="S18" s="106"/>
      <c r="T18" s="106"/>
      <c r="U18" s="106"/>
      <c r="V18" s="106"/>
      <c r="W18" s="106"/>
      <c r="X18" s="106"/>
      <c r="Y18" s="106"/>
    </row>
    <row r="19" spans="5:27" x14ac:dyDescent="0.25">
      <c r="E19" s="105" t="s">
        <v>508</v>
      </c>
      <c r="J19" s="106"/>
      <c r="K19" s="106"/>
      <c r="L19" s="106"/>
      <c r="M19" s="106"/>
      <c r="N19" s="106"/>
      <c r="O19" s="106"/>
      <c r="P19" s="106"/>
      <c r="Q19" s="106"/>
      <c r="R19" s="106"/>
      <c r="S19" s="106"/>
      <c r="T19" s="106"/>
      <c r="U19" s="106"/>
      <c r="V19" s="106"/>
      <c r="W19" s="106"/>
      <c r="X19" s="106"/>
      <c r="Y19" s="106"/>
    </row>
    <row r="20" spans="5:27" x14ac:dyDescent="0.25">
      <c r="E20" s="86" t="s">
        <v>509</v>
      </c>
      <c r="J20" s="106"/>
      <c r="K20" s="106"/>
      <c r="L20" s="106"/>
      <c r="M20" s="106"/>
      <c r="N20" s="106"/>
      <c r="O20" s="106"/>
      <c r="P20" s="106"/>
      <c r="Q20" s="106"/>
      <c r="R20" s="106"/>
      <c r="S20" s="106"/>
      <c r="T20" s="106"/>
      <c r="U20" s="106"/>
      <c r="V20" s="106"/>
      <c r="W20" s="106"/>
      <c r="X20" s="106"/>
      <c r="Y20" s="106"/>
    </row>
    <row r="21" spans="5:27" x14ac:dyDescent="0.25">
      <c r="E21" s="105"/>
      <c r="F21" s="95" t="s">
        <v>334</v>
      </c>
      <c r="G21" s="95" t="s">
        <v>261</v>
      </c>
      <c r="H21" s="237"/>
      <c r="I21" s="95"/>
      <c r="J21" s="171">
        <f>'Inputs by customer type'!J187</f>
        <v>264.02537366356052</v>
      </c>
      <c r="K21" s="171">
        <f>'Inputs by customer type'!K187</f>
        <v>0</v>
      </c>
      <c r="L21" s="171">
        <f>'Inputs by customer type'!L187</f>
        <v>774.15837677371223</v>
      </c>
      <c r="M21" s="171">
        <f>'Inputs by customer type'!M187</f>
        <v>0</v>
      </c>
      <c r="N21" s="171">
        <f>'Inputs by customer type'!N187</f>
        <v>1544.5525401205996</v>
      </c>
      <c r="O21" s="171">
        <f>'Inputs by customer type'!O187</f>
        <v>1205.6892409926963</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25">
      <c r="E22" s="105"/>
      <c r="F22" t="s">
        <v>335</v>
      </c>
      <c r="G22" t="s">
        <v>261</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11130.724915787147</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6966.0827492580638</v>
      </c>
      <c r="Y22" s="167">
        <f>'Inputs by customer type'!Y188</f>
        <v>6966.0827492580638</v>
      </c>
    </row>
    <row r="23" spans="5:27" x14ac:dyDescent="0.25">
      <c r="E23" s="105"/>
      <c r="F23" s="96" t="s">
        <v>510</v>
      </c>
      <c r="G23" s="96" t="s">
        <v>264</v>
      </c>
      <c r="H23" s="96"/>
      <c r="I23" s="96"/>
      <c r="J23" s="238"/>
      <c r="K23" s="238"/>
      <c r="L23" s="238"/>
      <c r="M23" s="238"/>
      <c r="N23" s="238"/>
      <c r="O23" s="238"/>
      <c r="P23" s="238"/>
      <c r="Q23" s="239">
        <f>'Inputs by customer type'!Q190</f>
        <v>298.46392869796432</v>
      </c>
      <c r="R23" s="238"/>
      <c r="S23" s="238"/>
      <c r="T23" s="238"/>
      <c r="U23" s="238"/>
      <c r="V23" s="238"/>
      <c r="W23" s="238"/>
      <c r="X23" s="238"/>
      <c r="Y23" s="238"/>
    </row>
    <row r="24" spans="5:27" x14ac:dyDescent="0.25">
      <c r="J24" s="106"/>
      <c r="K24" s="106"/>
      <c r="L24" s="106"/>
      <c r="M24" s="106"/>
      <c r="N24" s="106"/>
      <c r="O24" s="106"/>
      <c r="P24" s="106"/>
      <c r="Q24" s="106"/>
      <c r="R24" s="106"/>
      <c r="S24" s="106"/>
      <c r="T24" s="106"/>
      <c r="U24" s="106"/>
      <c r="V24" s="106"/>
      <c r="W24" s="106"/>
      <c r="X24" s="106"/>
      <c r="Y24" s="106"/>
    </row>
    <row r="25" spans="5:27" x14ac:dyDescent="0.25">
      <c r="E25" s="105" t="s">
        <v>511</v>
      </c>
      <c r="J25" s="106"/>
      <c r="K25" s="106"/>
      <c r="L25" s="106"/>
      <c r="M25" s="106"/>
      <c r="N25" s="106"/>
      <c r="O25" s="106"/>
      <c r="P25" s="106"/>
      <c r="Q25" s="106"/>
      <c r="R25" s="106"/>
      <c r="S25" s="106"/>
      <c r="T25" s="106"/>
      <c r="U25" s="106"/>
      <c r="V25" s="106"/>
      <c r="W25" s="106"/>
      <c r="X25" s="106"/>
      <c r="Y25" s="106"/>
    </row>
    <row r="26" spans="5:27" x14ac:dyDescent="0.25">
      <c r="E26" s="86" t="s">
        <v>512</v>
      </c>
      <c r="I26" t="s">
        <v>154</v>
      </c>
      <c r="J26" s="106"/>
      <c r="K26" s="106"/>
      <c r="L26" s="106"/>
      <c r="M26" s="106"/>
      <c r="N26" s="106"/>
      <c r="O26" s="106"/>
      <c r="P26" s="106"/>
      <c r="Q26" s="106"/>
      <c r="R26" s="106"/>
      <c r="S26" s="106"/>
      <c r="T26" s="106"/>
      <c r="U26" s="106"/>
      <c r="V26" s="106"/>
      <c r="W26" s="106"/>
      <c r="X26" s="106"/>
      <c r="Y26" s="106"/>
      <c r="AA26" t="s">
        <v>853</v>
      </c>
    </row>
    <row r="27" spans="5:27" x14ac:dyDescent="0.25">
      <c r="F27" s="95" t="s">
        <v>334</v>
      </c>
      <c r="G27" s="95" t="s">
        <v>277</v>
      </c>
      <c r="H27" s="176"/>
      <c r="I27" s="95"/>
      <c r="J27" s="147">
        <f t="shared" ref="J27:Y27" si="0">J21 * J$16</f>
        <v>410815587.75759482</v>
      </c>
      <c r="K27" s="147">
        <f t="shared" si="0"/>
        <v>0</v>
      </c>
      <c r="L27" s="147">
        <f t="shared" si="0"/>
        <v>110617746.68583493</v>
      </c>
      <c r="M27" s="147">
        <f t="shared" si="0"/>
        <v>0</v>
      </c>
      <c r="N27" s="147">
        <f t="shared" si="0"/>
        <v>13211602.226065926</v>
      </c>
      <c r="O27" s="147">
        <f t="shared" si="0"/>
        <v>2083226.7873341613</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25">
      <c r="F28" t="s">
        <v>335</v>
      </c>
      <c r="G28" t="s">
        <v>277</v>
      </c>
      <c r="H28" s="97"/>
      <c r="J28" s="168">
        <f t="shared" ref="J28:Y28" si="1">J22 * J$16</f>
        <v>0</v>
      </c>
      <c r="K28" s="168">
        <f t="shared" si="1"/>
        <v>0</v>
      </c>
      <c r="L28" s="168">
        <f t="shared" si="1"/>
        <v>0</v>
      </c>
      <c r="M28" s="168">
        <f t="shared" si="1"/>
        <v>0</v>
      </c>
      <c r="N28" s="168">
        <f t="shared" si="1"/>
        <v>0</v>
      </c>
      <c r="O28" s="168">
        <f t="shared" si="1"/>
        <v>0</v>
      </c>
      <c r="P28" s="168">
        <f t="shared" si="1"/>
        <v>12559268.77847928</v>
      </c>
      <c r="Q28" s="168">
        <f t="shared" si="1"/>
        <v>0</v>
      </c>
      <c r="R28" s="168">
        <f t="shared" si="1"/>
        <v>0</v>
      </c>
      <c r="S28" s="168">
        <f t="shared" si="1"/>
        <v>0</v>
      </c>
      <c r="T28" s="168">
        <f t="shared" si="1"/>
        <v>0</v>
      </c>
      <c r="U28" s="168">
        <f t="shared" si="1"/>
        <v>0</v>
      </c>
      <c r="V28" s="168">
        <f t="shared" si="1"/>
        <v>0</v>
      </c>
      <c r="W28" s="168">
        <f t="shared" si="1"/>
        <v>0</v>
      </c>
      <c r="X28" s="168">
        <f t="shared" si="1"/>
        <v>2119426.0453005144</v>
      </c>
      <c r="Y28" s="168">
        <f t="shared" si="1"/>
        <v>0</v>
      </c>
    </row>
    <row r="29" spans="5:27" x14ac:dyDescent="0.25">
      <c r="F29" s="96" t="s">
        <v>510</v>
      </c>
      <c r="G29" s="96" t="s">
        <v>277</v>
      </c>
      <c r="H29" s="177"/>
      <c r="I29" s="96"/>
      <c r="J29" s="238"/>
      <c r="K29" s="238"/>
      <c r="L29" s="238"/>
      <c r="M29" s="238"/>
      <c r="N29" s="238"/>
      <c r="O29" s="238"/>
      <c r="P29" s="238"/>
      <c r="Q29" s="146">
        <f t="shared" ref="Q29" si="2">Q23 * Q$17</f>
        <v>32143312.28123375</v>
      </c>
      <c r="R29" s="238"/>
      <c r="S29" s="238"/>
      <c r="T29" s="238"/>
      <c r="U29" s="238"/>
      <c r="V29" s="238"/>
      <c r="W29" s="238"/>
      <c r="X29" s="238"/>
      <c r="Y29" s="238"/>
    </row>
    <row r="30" spans="5:27" x14ac:dyDescent="0.25">
      <c r="J30" s="106"/>
      <c r="K30" s="106"/>
      <c r="L30" s="106"/>
      <c r="M30" s="106"/>
      <c r="N30" s="106"/>
      <c r="O30" s="106"/>
      <c r="P30" s="106"/>
      <c r="Q30" s="106"/>
      <c r="R30" s="106"/>
      <c r="S30" s="106"/>
      <c r="T30" s="106"/>
      <c r="U30" s="106"/>
      <c r="V30" s="106"/>
      <c r="W30" s="106"/>
      <c r="X30" s="106"/>
      <c r="Y30" s="106"/>
    </row>
    <row r="31" spans="5:27" x14ac:dyDescent="0.25">
      <c r="E31" s="105" t="s">
        <v>513</v>
      </c>
      <c r="J31" s="106"/>
      <c r="K31" s="106"/>
      <c r="L31" s="106"/>
      <c r="M31" s="106"/>
      <c r="N31" s="106"/>
      <c r="O31" s="106"/>
      <c r="P31" s="106"/>
      <c r="Q31" s="106"/>
      <c r="R31" s="106"/>
      <c r="S31" s="106"/>
      <c r="T31" s="106"/>
      <c r="U31" s="106"/>
      <c r="V31" s="106"/>
      <c r="W31" s="106"/>
      <c r="X31" s="106"/>
      <c r="Y31" s="106"/>
    </row>
    <row r="32" spans="5:27" x14ac:dyDescent="0.25">
      <c r="E32" s="86" t="s">
        <v>514</v>
      </c>
      <c r="H32" s="175" t="s">
        <v>502</v>
      </c>
      <c r="J32" s="106"/>
      <c r="K32" s="106"/>
      <c r="L32" s="106"/>
      <c r="M32" s="106"/>
      <c r="N32" s="106"/>
      <c r="O32" s="106"/>
      <c r="P32" s="106"/>
      <c r="Q32" s="106"/>
      <c r="R32" s="106"/>
      <c r="S32" s="106"/>
      <c r="T32" s="106"/>
      <c r="U32" s="106"/>
      <c r="V32" s="106"/>
      <c r="W32" s="106"/>
      <c r="X32" s="106"/>
      <c r="Y32" s="106"/>
    </row>
    <row r="33" spans="2:43" x14ac:dyDescent="0.25">
      <c r="F33" s="95" t="s">
        <v>515</v>
      </c>
      <c r="G33" s="95" t="s">
        <v>277</v>
      </c>
      <c r="H33" s="149">
        <f>SUM(J33:Y33)</f>
        <v>568871475.73806357</v>
      </c>
      <c r="I33" s="95"/>
      <c r="J33" s="223">
        <f t="shared" ref="J33:Y33" si="3">J27 +J29</f>
        <v>410815587.75759482</v>
      </c>
      <c r="K33" s="223">
        <f t="shared" si="3"/>
        <v>0</v>
      </c>
      <c r="L33" s="223">
        <f t="shared" si="3"/>
        <v>110617746.68583493</v>
      </c>
      <c r="M33" s="223">
        <f t="shared" si="3"/>
        <v>0</v>
      </c>
      <c r="N33" s="223">
        <f t="shared" si="3"/>
        <v>13211602.226065926</v>
      </c>
      <c r="O33" s="223">
        <f t="shared" si="3"/>
        <v>2083226.7873341613</v>
      </c>
      <c r="P33" s="223">
        <f t="shared" si="3"/>
        <v>0</v>
      </c>
      <c r="Q33" s="223">
        <f t="shared" si="3"/>
        <v>32143312.28123375</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25">
      <c r="F34" s="96" t="s">
        <v>516</v>
      </c>
      <c r="G34" s="96" t="s">
        <v>277</v>
      </c>
      <c r="H34" s="150">
        <f>SUM(J34:Y34)</f>
        <v>14678694.823779795</v>
      </c>
      <c r="I34" s="96"/>
      <c r="J34" s="228">
        <f t="shared" ref="J34:Y34" si="4">J28</f>
        <v>0</v>
      </c>
      <c r="K34" s="228">
        <f t="shared" si="4"/>
        <v>0</v>
      </c>
      <c r="L34" s="228">
        <f t="shared" si="4"/>
        <v>0</v>
      </c>
      <c r="M34" s="228">
        <f t="shared" si="4"/>
        <v>0</v>
      </c>
      <c r="N34" s="228">
        <f t="shared" si="4"/>
        <v>0</v>
      </c>
      <c r="O34" s="228">
        <f t="shared" si="4"/>
        <v>0</v>
      </c>
      <c r="P34" s="228">
        <f t="shared" si="4"/>
        <v>12559268.77847928</v>
      </c>
      <c r="Q34" s="228">
        <f t="shared" si="4"/>
        <v>0</v>
      </c>
      <c r="R34" s="228">
        <f t="shared" si="4"/>
        <v>0</v>
      </c>
      <c r="S34" s="228">
        <f t="shared" si="4"/>
        <v>0</v>
      </c>
      <c r="T34" s="228">
        <f t="shared" si="4"/>
        <v>0</v>
      </c>
      <c r="U34" s="228">
        <f t="shared" si="4"/>
        <v>0</v>
      </c>
      <c r="V34" s="228">
        <f t="shared" si="4"/>
        <v>0</v>
      </c>
      <c r="W34" s="228">
        <f t="shared" si="4"/>
        <v>0</v>
      </c>
      <c r="X34" s="228">
        <f t="shared" si="4"/>
        <v>2119426.0453005144</v>
      </c>
      <c r="Y34" s="228">
        <f t="shared" si="4"/>
        <v>0</v>
      </c>
    </row>
    <row r="36" spans="2:43" x14ac:dyDescent="0.25">
      <c r="B36" s="85" t="s">
        <v>231</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25">
      <c r="E38" t="s">
        <v>232</v>
      </c>
      <c r="G38" s="6" t="s">
        <v>56</v>
      </c>
      <c r="H38" s="113">
        <f t="array" ref="H38">SUM(IF(ISERROR(H16:Y35), 1))</f>
        <v>0</v>
      </c>
    </row>
    <row r="40" spans="2:43" x14ac:dyDescent="0.25">
      <c r="B40" s="85" t="s">
        <v>107</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NGED South West - [enter data version name]</v>
      </c>
    </row>
    <row r="3" spans="1:23" s="5" customFormat="1" x14ac:dyDescent="0.25">
      <c r="A3" s="5" t="str">
        <f>Cover!D2&amp;" - "&amp;Cover!D8&amp;" v"&amp;Cover!D10&amp;" - "&amp;Cover!D19</f>
        <v>CDCM charging model - Release for charge setting v11 - 2026/27</v>
      </c>
    </row>
    <row r="4" spans="1:23" x14ac:dyDescent="0.25">
      <c r="A4" s="60" t="str">
        <f>H131 &amp; IF(H131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38"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3"/>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517</v>
      </c>
      <c r="D9" s="86"/>
    </row>
    <row r="10" spans="1:23" x14ac:dyDescent="0.25">
      <c r="C10" s="86" t="s">
        <v>518</v>
      </c>
      <c r="D10" s="86"/>
    </row>
    <row r="11" spans="1:23" x14ac:dyDescent="0.25">
      <c r="C11" s="86"/>
      <c r="D11" s="86" t="s">
        <v>519</v>
      </c>
    </row>
    <row r="12" spans="1:23" x14ac:dyDescent="0.25">
      <c r="C12" s="86"/>
      <c r="D12" s="86" t="s">
        <v>520</v>
      </c>
    </row>
    <row r="13" spans="1:23" x14ac:dyDescent="0.25">
      <c r="C13" s="86" t="s">
        <v>521</v>
      </c>
      <c r="D13" s="86"/>
    </row>
    <row r="15" spans="1:23" x14ac:dyDescent="0.25">
      <c r="B15" s="85" t="s">
        <v>522</v>
      </c>
      <c r="C15" s="85"/>
      <c r="D15" s="85"/>
      <c r="E15" s="85"/>
      <c r="F15" s="85"/>
      <c r="G15" s="85"/>
      <c r="H15" s="85"/>
      <c r="I15" s="85"/>
      <c r="J15" s="85"/>
      <c r="K15" s="85"/>
      <c r="L15" s="85"/>
      <c r="M15" s="85"/>
      <c r="N15" s="85"/>
      <c r="O15" s="85"/>
      <c r="P15" s="85"/>
      <c r="Q15" s="85"/>
      <c r="R15" s="85"/>
      <c r="S15" s="85"/>
      <c r="T15" s="85"/>
      <c r="U15" s="85"/>
      <c r="V15" s="85"/>
      <c r="W15" s="85"/>
    </row>
    <row r="16" spans="1:23" x14ac:dyDescent="0.25">
      <c r="H16" s="3"/>
      <c r="I16" s="3"/>
      <c r="J16" s="3"/>
      <c r="K16" s="3"/>
      <c r="L16" s="3"/>
      <c r="M16" s="3"/>
      <c r="N16" s="3"/>
      <c r="O16" s="3"/>
      <c r="P16" s="3"/>
      <c r="Q16" s="3"/>
      <c r="R16" s="3"/>
      <c r="S16" s="3"/>
      <c r="T16" s="3"/>
      <c r="U16" s="3"/>
      <c r="W16" s="3"/>
    </row>
    <row r="17" spans="3:25" x14ac:dyDescent="0.25">
      <c r="C17" s="86" t="s">
        <v>523</v>
      </c>
    </row>
    <row r="18" spans="3:25" x14ac:dyDescent="0.25">
      <c r="H18" s="3"/>
      <c r="I18" s="3"/>
      <c r="J18" s="3"/>
      <c r="K18" s="3"/>
      <c r="L18" s="3"/>
      <c r="M18" s="3"/>
      <c r="N18" s="3"/>
      <c r="O18" s="3"/>
      <c r="P18" s="3"/>
      <c r="Q18" s="3"/>
      <c r="R18" s="3"/>
      <c r="S18" s="3"/>
      <c r="T18" s="3"/>
      <c r="U18" s="3"/>
      <c r="W18" s="3"/>
    </row>
    <row r="19" spans="3:25" x14ac:dyDescent="0.25">
      <c r="C19" s="93" t="str">
        <f ca="1">INDEX('Version control'!$H$41:$H$64,MATCH($A$1,'Version control'!$F$41:$F$64,0),1)&amp;"-A: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25">
      <c r="H20" s="3"/>
    </row>
    <row r="21" spans="3:25" x14ac:dyDescent="0.25">
      <c r="D21" s="86" t="s">
        <v>524</v>
      </c>
      <c r="I21" s="3" t="s">
        <v>154</v>
      </c>
      <c r="J21" s="3"/>
      <c r="K21" s="3"/>
      <c r="L21" s="3"/>
      <c r="M21" s="3"/>
      <c r="N21" s="3"/>
      <c r="O21" s="3"/>
      <c r="P21" s="3"/>
      <c r="Q21" s="3"/>
      <c r="R21" s="3"/>
      <c r="S21" s="3"/>
      <c r="T21" s="3"/>
      <c r="U21" s="3"/>
      <c r="W21" s="3" t="s">
        <v>165</v>
      </c>
    </row>
    <row r="22" spans="3:25" x14ac:dyDescent="0.25">
      <c r="D22" s="86"/>
    </row>
    <row r="23" spans="3:25" x14ac:dyDescent="0.25">
      <c r="D23" s="105"/>
      <c r="E23" s="94" t="s">
        <v>311</v>
      </c>
      <c r="G23" s="94" t="s">
        <v>167</v>
      </c>
      <c r="H23" s="163">
        <f>'General inputs'!H96</f>
        <v>4.8399999999999999E-2</v>
      </c>
      <c r="I23" s="3"/>
      <c r="J23" s="3"/>
      <c r="K23" s="3"/>
      <c r="L23" s="3"/>
      <c r="M23" s="3"/>
      <c r="N23" s="3"/>
      <c r="O23" s="3"/>
      <c r="P23" s="3"/>
      <c r="Q23" s="3"/>
      <c r="R23" s="3"/>
      <c r="S23" s="3"/>
      <c r="T23" s="3"/>
      <c r="U23" s="3"/>
    </row>
    <row r="24" spans="3:25" x14ac:dyDescent="0.25">
      <c r="D24" s="105"/>
      <c r="E24" s="94" t="s">
        <v>163</v>
      </c>
      <c r="G24" s="94" t="s">
        <v>164</v>
      </c>
      <c r="H24" s="79">
        <f>'Fixed inputs'!H36</f>
        <v>40</v>
      </c>
      <c r="I24" s="3"/>
      <c r="J24" s="3"/>
      <c r="K24" s="3"/>
      <c r="L24" s="3"/>
      <c r="M24" s="3"/>
      <c r="N24" s="3"/>
      <c r="O24" s="3"/>
      <c r="P24" s="3"/>
      <c r="Q24" s="3"/>
      <c r="R24" s="3"/>
      <c r="S24" s="3"/>
      <c r="T24" s="3"/>
      <c r="U24" s="3"/>
      <c r="W24" s="3"/>
    </row>
    <row r="25" spans="3:25" x14ac:dyDescent="0.25">
      <c r="E25" s="94" t="s">
        <v>525</v>
      </c>
      <c r="G25" s="94" t="s">
        <v>167</v>
      </c>
      <c r="H25" s="240">
        <f>H23 / (1 - (1 + H23) ^ -H24)</f>
        <v>5.7006904129041573E-2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93" t="str">
        <f ca="1">INDEX('Version control'!$H$41:$H$64,MATCH($A$1,'Version control'!$F$41:$F$64,0),1)&amp;"-B: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25">
      <c r="E28" s="75"/>
      <c r="F28" s="162"/>
      <c r="H28" s="3"/>
      <c r="I28" s="3"/>
      <c r="J28" s="3"/>
      <c r="K28" s="3"/>
      <c r="L28" s="3"/>
      <c r="M28" s="3"/>
      <c r="N28" s="3"/>
      <c r="O28" s="3"/>
      <c r="P28" s="3"/>
      <c r="Q28" s="3"/>
      <c r="R28" s="3"/>
      <c r="S28" s="3"/>
      <c r="T28" s="3"/>
      <c r="U28" s="3"/>
    </row>
    <row r="29" spans="3:25" x14ac:dyDescent="0.25">
      <c r="D29" s="86" t="s">
        <v>526</v>
      </c>
      <c r="F29" s="162"/>
      <c r="H29" s="3"/>
      <c r="I29" s="3"/>
      <c r="J29" s="3"/>
      <c r="K29" s="3"/>
      <c r="L29" s="3"/>
      <c r="M29" s="3"/>
      <c r="N29" s="3"/>
      <c r="O29" s="3"/>
      <c r="P29" s="3"/>
      <c r="Q29" s="3"/>
      <c r="R29" s="3"/>
      <c r="S29" s="3"/>
      <c r="T29" s="3"/>
      <c r="U29" s="3"/>
    </row>
    <row r="30" spans="3:25" x14ac:dyDescent="0.25">
      <c r="D30" s="86"/>
      <c r="F30" s="162"/>
      <c r="H30" s="3"/>
      <c r="I30" s="3"/>
      <c r="J30" s="3"/>
      <c r="K30" s="3"/>
      <c r="L30" s="3"/>
      <c r="M30" s="3"/>
      <c r="N30" s="3"/>
      <c r="O30" s="3"/>
      <c r="P30" s="3"/>
      <c r="Q30" s="3"/>
      <c r="R30" s="3"/>
      <c r="S30" s="3"/>
      <c r="T30" s="3"/>
      <c r="U30" s="3"/>
    </row>
    <row r="31" spans="3:25" x14ac:dyDescent="0.25">
      <c r="E31" t="s">
        <v>527</v>
      </c>
      <c r="F31" s="166"/>
      <c r="G31" s="94" t="s">
        <v>528</v>
      </c>
      <c r="H31" s="3"/>
      <c r="I31" s="3"/>
      <c r="J31" s="119"/>
      <c r="K31" s="167">
        <f>'Load &amp; loss characteristics'!K29</f>
        <v>1</v>
      </c>
      <c r="L31" s="167">
        <f>'Load &amp; loss characteristics'!L29</f>
        <v>1.0009999999999999</v>
      </c>
      <c r="M31" s="167">
        <f>'Load &amp; loss characteristics'!M29</f>
        <v>1.0049999999999999</v>
      </c>
      <c r="N31" s="167">
        <f>'Load &amp; loss characteristics'!N29</f>
        <v>1.012</v>
      </c>
      <c r="O31" s="167">
        <f>'Load &amp; loss characteristics'!O29</f>
        <v>1.018</v>
      </c>
      <c r="P31" s="167">
        <f>'Load &amp; loss characteristics'!P29</f>
        <v>1.018</v>
      </c>
      <c r="Q31" s="167">
        <f>'Load &amp; loss characteristics'!Q29</f>
        <v>1.034</v>
      </c>
      <c r="R31" s="167">
        <f>'Load &amp; loss characteristics'!R29</f>
        <v>1.048</v>
      </c>
      <c r="S31" s="167">
        <f>'Load &amp; loss characteristics'!S29</f>
        <v>1.0620000000000001</v>
      </c>
      <c r="T31" s="119"/>
      <c r="U31" s="119"/>
    </row>
    <row r="32" spans="3:25" x14ac:dyDescent="0.25">
      <c r="E32" t="s">
        <v>529</v>
      </c>
      <c r="F32" s="241"/>
      <c r="G32" s="94" t="s">
        <v>167</v>
      </c>
      <c r="H32" s="3"/>
      <c r="I32" s="3"/>
      <c r="J32" s="242"/>
      <c r="K32" s="243">
        <f>'Load &amp; loss characteristics'!$K$23</f>
        <v>2.200000000000002E-2</v>
      </c>
      <c r="L32" s="244"/>
      <c r="M32" s="244"/>
      <c r="N32" s="244"/>
      <c r="O32" s="244"/>
      <c r="P32" s="242"/>
      <c r="Q32" s="244"/>
      <c r="R32" s="244"/>
      <c r="S32" s="244"/>
      <c r="T32" s="242"/>
      <c r="U32" s="242"/>
      <c r="Y32" s="245"/>
    </row>
    <row r="33" spans="3:23" x14ac:dyDescent="0.25">
      <c r="E33" t="s">
        <v>530</v>
      </c>
      <c r="F33" s="166"/>
      <c r="G33" s="94" t="s">
        <v>167</v>
      </c>
      <c r="H33" s="3"/>
      <c r="I33" s="3"/>
      <c r="J33" s="103"/>
      <c r="K33" s="240">
        <f xml:space="preserve"> 1 / (1 + K32)</f>
        <v>0.97847358121330719</v>
      </c>
      <c r="L33" s="244"/>
      <c r="M33" s="244"/>
      <c r="N33" s="244"/>
      <c r="O33" s="244"/>
      <c r="P33" s="244"/>
      <c r="Q33" s="244"/>
      <c r="R33" s="244"/>
      <c r="S33" s="244"/>
      <c r="T33" s="242"/>
      <c r="U33" s="242"/>
      <c r="W33" s="3"/>
    </row>
    <row r="34" spans="3:23" x14ac:dyDescent="0.25">
      <c r="F34" s="166"/>
      <c r="G34" s="94"/>
      <c r="H34" s="3"/>
      <c r="I34" s="3"/>
      <c r="J34" s="3"/>
      <c r="K34" s="3"/>
      <c r="L34" s="3"/>
      <c r="M34" s="3"/>
      <c r="N34" s="3"/>
      <c r="O34" s="3"/>
      <c r="P34" s="3"/>
      <c r="Q34" s="3"/>
      <c r="R34" s="3"/>
      <c r="S34" s="3"/>
      <c r="T34" s="3"/>
      <c r="U34" s="3"/>
      <c r="V34" s="3"/>
      <c r="W34" s="3"/>
    </row>
    <row r="35" spans="3:23" x14ac:dyDescent="0.25">
      <c r="C35" s="93" t="str">
        <f ca="1">INDEX('Version control'!$H$41:$H$64,MATCH($A$1,'Version control'!$F$41:$F$64,0),1)&amp;"-C: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25">
      <c r="E36" s="75"/>
      <c r="F36" s="162"/>
      <c r="H36" s="3"/>
      <c r="J36" s="3"/>
      <c r="K36" s="3"/>
      <c r="L36" s="3"/>
      <c r="M36" s="3"/>
      <c r="N36" s="3"/>
      <c r="O36" s="3"/>
      <c r="P36" s="3"/>
      <c r="Q36" s="3"/>
      <c r="R36" s="3"/>
      <c r="S36" s="3"/>
      <c r="T36" s="3"/>
      <c r="U36" s="3"/>
    </row>
    <row r="37" spans="3:23" x14ac:dyDescent="0.25">
      <c r="D37" s="86" t="s">
        <v>531</v>
      </c>
      <c r="F37" s="162"/>
      <c r="H37" s="3"/>
      <c r="I37" s="3"/>
      <c r="J37" s="3"/>
      <c r="K37" s="3"/>
      <c r="L37" s="3"/>
      <c r="M37" s="3"/>
      <c r="N37" s="3"/>
      <c r="O37" s="3"/>
      <c r="P37" s="3"/>
      <c r="Q37" s="3"/>
      <c r="R37" s="3"/>
      <c r="S37" s="3"/>
      <c r="T37" s="3"/>
      <c r="U37" s="3"/>
      <c r="W37" s="3"/>
    </row>
    <row r="38" spans="3:23" x14ac:dyDescent="0.25">
      <c r="D38" s="86"/>
      <c r="F38" s="162"/>
      <c r="H38" s="3"/>
      <c r="I38" s="3"/>
      <c r="J38" s="3"/>
      <c r="K38" s="3"/>
      <c r="L38" s="3"/>
      <c r="M38" s="3"/>
      <c r="N38" s="3"/>
      <c r="O38" s="3"/>
      <c r="P38" s="3"/>
      <c r="Q38" s="3"/>
      <c r="R38" s="3"/>
      <c r="S38" s="3"/>
      <c r="T38" s="3"/>
      <c r="U38" s="3"/>
      <c r="W38" s="3"/>
    </row>
    <row r="39" spans="3:23" x14ac:dyDescent="0.25">
      <c r="D39" s="105"/>
      <c r="E39" t="s">
        <v>171</v>
      </c>
      <c r="F39" s="166"/>
      <c r="G39" s="94" t="s">
        <v>172</v>
      </c>
      <c r="H39" s="167">
        <f>'Fixed inputs'!H42</f>
        <v>500</v>
      </c>
      <c r="I39" s="3"/>
      <c r="J39" s="119"/>
      <c r="K39" s="119"/>
      <c r="L39" s="119"/>
      <c r="M39" s="119"/>
      <c r="N39" s="119"/>
      <c r="O39" s="119"/>
      <c r="P39" s="119"/>
      <c r="Q39" s="119"/>
      <c r="R39" s="119"/>
      <c r="S39" s="119"/>
      <c r="T39" s="119"/>
      <c r="U39" s="119"/>
      <c r="W39" s="3"/>
    </row>
    <row r="40" spans="3:23" x14ac:dyDescent="0.25">
      <c r="E40" t="s">
        <v>532</v>
      </c>
      <c r="F40" s="166"/>
      <c r="G40" s="94" t="s">
        <v>172</v>
      </c>
      <c r="H40" s="3"/>
      <c r="I40" s="3" t="s">
        <v>154</v>
      </c>
      <c r="J40" s="119"/>
      <c r="K40" s="246">
        <f t="shared" ref="K40:S40" si="0">$H$39 * $K$33 / K31</f>
        <v>489.23679060665359</v>
      </c>
      <c r="L40" s="246">
        <f t="shared" si="0"/>
        <v>488.74804256408953</v>
      </c>
      <c r="M40" s="246">
        <f t="shared" si="0"/>
        <v>486.80277672303845</v>
      </c>
      <c r="N40" s="246">
        <f t="shared" si="0"/>
        <v>483.43556384056677</v>
      </c>
      <c r="O40" s="246">
        <f t="shared" si="0"/>
        <v>480.58623831694848</v>
      </c>
      <c r="P40" s="246">
        <f t="shared" si="0"/>
        <v>480.58623831694848</v>
      </c>
      <c r="Q40" s="246">
        <f t="shared" si="0"/>
        <v>473.14970078012919</v>
      </c>
      <c r="R40" s="246">
        <f t="shared" si="0"/>
        <v>466.82899867047098</v>
      </c>
      <c r="S40" s="246">
        <f t="shared" si="0"/>
        <v>460.67494407406173</v>
      </c>
      <c r="T40" s="119"/>
      <c r="U40" s="119"/>
      <c r="W40" s="3" t="s">
        <v>533</v>
      </c>
    </row>
    <row r="41" spans="3:23" x14ac:dyDescent="0.25">
      <c r="F41" s="166"/>
      <c r="G41" s="94"/>
      <c r="H41" s="3"/>
      <c r="I41" s="3"/>
      <c r="J41" s="3"/>
      <c r="K41" s="3"/>
      <c r="L41" s="3"/>
      <c r="M41" s="3"/>
      <c r="N41" s="3"/>
      <c r="O41" s="3"/>
      <c r="P41" s="3"/>
      <c r="Q41" s="3"/>
      <c r="R41" s="3"/>
      <c r="S41" s="3"/>
      <c r="T41" s="3"/>
      <c r="U41" s="3"/>
      <c r="V41" s="3"/>
      <c r="W41" s="3"/>
    </row>
    <row r="42" spans="3:23" x14ac:dyDescent="0.25">
      <c r="C42" s="93" t="str">
        <f ca="1">INDEX('Version control'!$H$41:$H$64,MATCH($A$1,'Version control'!$F$41:$F$64,0),1)&amp;"-D: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25">
      <c r="E43" s="75"/>
      <c r="F43" s="162"/>
      <c r="H43" s="3"/>
      <c r="I43" s="3"/>
      <c r="J43" s="3"/>
      <c r="K43" s="3"/>
      <c r="L43" s="3"/>
      <c r="M43" s="3"/>
      <c r="N43" s="3"/>
      <c r="O43" s="3"/>
      <c r="P43" s="3"/>
      <c r="Q43" s="3"/>
      <c r="R43" s="3"/>
      <c r="S43" s="3"/>
      <c r="T43" s="3"/>
      <c r="U43" s="3"/>
      <c r="W43" s="3"/>
    </row>
    <row r="44" spans="3:23" x14ac:dyDescent="0.25">
      <c r="D44" s="86" t="s">
        <v>534</v>
      </c>
      <c r="F44" s="162"/>
      <c r="H44" s="3"/>
      <c r="I44" s="3"/>
      <c r="J44" s="3"/>
      <c r="K44" s="3"/>
      <c r="L44" s="3"/>
      <c r="M44" s="3"/>
      <c r="N44" s="3"/>
      <c r="O44" s="3"/>
      <c r="P44" s="3"/>
      <c r="Q44" s="3"/>
      <c r="R44" s="3"/>
      <c r="S44" s="3"/>
      <c r="T44" s="3"/>
      <c r="U44" s="3"/>
      <c r="W44" s="3"/>
    </row>
    <row r="45" spans="3:23" x14ac:dyDescent="0.25">
      <c r="D45" s="86"/>
      <c r="F45" s="162"/>
      <c r="H45" s="3"/>
      <c r="I45" s="3"/>
      <c r="J45" s="3"/>
      <c r="K45" s="3"/>
      <c r="L45" s="3"/>
      <c r="M45" s="3"/>
      <c r="N45" s="3"/>
      <c r="O45" s="3"/>
      <c r="P45" s="3"/>
      <c r="Q45" s="3"/>
      <c r="R45" s="3"/>
      <c r="S45" s="3"/>
      <c r="T45" s="3"/>
      <c r="U45" s="3"/>
      <c r="W45" s="3"/>
    </row>
    <row r="46" spans="3:23" x14ac:dyDescent="0.25">
      <c r="D46" s="105"/>
      <c r="E46" s="94" t="s">
        <v>281</v>
      </c>
      <c r="G46" s="94" t="s">
        <v>167</v>
      </c>
      <c r="H46" s="3"/>
      <c r="I46" s="3"/>
      <c r="J46" s="244"/>
      <c r="K46" s="244"/>
      <c r="L46" s="244"/>
      <c r="M46" s="244"/>
      <c r="N46" s="244"/>
      <c r="O46" s="244"/>
      <c r="P46" s="243">
        <f>'Inputs by network level'!P17</f>
        <v>0</v>
      </c>
      <c r="Q46" s="244"/>
      <c r="R46" s="244"/>
      <c r="S46" s="244"/>
      <c r="T46" s="244"/>
      <c r="U46" s="244"/>
      <c r="W46" s="3"/>
    </row>
    <row r="47" spans="3:23" x14ac:dyDescent="0.25">
      <c r="E47" s="94" t="s">
        <v>535</v>
      </c>
      <c r="G47" s="94" t="s">
        <v>167</v>
      </c>
      <c r="H47" s="3"/>
      <c r="I47" s="3"/>
      <c r="J47" s="244"/>
      <c r="K47" s="244"/>
      <c r="L47" s="244"/>
      <c r="M47" s="240">
        <f>IF(M46 = "", 1 - $P$46, M46)</f>
        <v>1</v>
      </c>
      <c r="N47" s="240">
        <f>IF(N46 = "", 1 - $P$46, N46)</f>
        <v>1</v>
      </c>
      <c r="O47" s="240">
        <f>IF(O46 = "", 1 - $P$46, O46)</f>
        <v>1</v>
      </c>
      <c r="P47" s="240">
        <f>IF(P46 = "", 1 - $P$46, P46)</f>
        <v>0</v>
      </c>
      <c r="Q47" s="244"/>
      <c r="R47" s="244"/>
      <c r="S47" s="244"/>
      <c r="T47" s="244"/>
      <c r="U47" s="244"/>
      <c r="W47" s="3"/>
    </row>
    <row r="48" spans="3:23" x14ac:dyDescent="0.25">
      <c r="E48" s="94" t="s">
        <v>536</v>
      </c>
      <c r="G48" s="94" t="s">
        <v>172</v>
      </c>
      <c r="H48" s="3"/>
      <c r="I48" s="3"/>
      <c r="J48" s="119"/>
      <c r="K48" s="168">
        <f t="shared" ref="K48:S48" si="1">IF(K47 = "", K40, K47 * K40)</f>
        <v>489.23679060665359</v>
      </c>
      <c r="L48" s="168">
        <f t="shared" si="1"/>
        <v>488.74804256408953</v>
      </c>
      <c r="M48" s="168">
        <f t="shared" si="1"/>
        <v>486.80277672303845</v>
      </c>
      <c r="N48" s="168">
        <f t="shared" si="1"/>
        <v>483.43556384056677</v>
      </c>
      <c r="O48" s="168">
        <f t="shared" si="1"/>
        <v>480.58623831694848</v>
      </c>
      <c r="P48" s="168">
        <f t="shared" si="1"/>
        <v>0</v>
      </c>
      <c r="Q48" s="168">
        <f t="shared" si="1"/>
        <v>473.14970078012919</v>
      </c>
      <c r="R48" s="168">
        <f t="shared" si="1"/>
        <v>466.82899867047098</v>
      </c>
      <c r="S48" s="168">
        <f t="shared" si="1"/>
        <v>460.67494407406173</v>
      </c>
      <c r="T48" s="119"/>
      <c r="U48" s="119"/>
      <c r="W48" s="3"/>
    </row>
    <row r="49" spans="2:23" x14ac:dyDescent="0.25">
      <c r="E49" s="94"/>
      <c r="G49" s="94"/>
      <c r="H49" s="3"/>
      <c r="I49" s="3"/>
      <c r="J49" s="3"/>
      <c r="K49" s="3"/>
      <c r="L49" s="3"/>
      <c r="M49" s="3"/>
      <c r="N49" s="3"/>
      <c r="O49" s="3"/>
      <c r="P49" s="3"/>
      <c r="Q49" s="3"/>
      <c r="R49" s="3"/>
      <c r="S49" s="3"/>
      <c r="T49" s="3"/>
      <c r="U49" s="3"/>
      <c r="V49" s="3"/>
      <c r="W49" s="3"/>
    </row>
    <row r="50" spans="2:23" x14ac:dyDescent="0.25">
      <c r="C50" s="93" t="str">
        <f ca="1">INDEX('Version control'!$H$41:$H$64,MATCH($A$1,'Version control'!$F$41:$F$64,0),1)&amp;"-E: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25">
      <c r="E51" s="75"/>
      <c r="F51" s="162"/>
      <c r="H51" s="3"/>
      <c r="J51" s="3"/>
      <c r="K51" s="3"/>
      <c r="L51" s="161"/>
      <c r="M51" s="161"/>
      <c r="N51" s="161"/>
      <c r="O51" s="161"/>
      <c r="P51" s="161"/>
      <c r="Q51" s="161"/>
      <c r="R51" s="161"/>
      <c r="S51" s="161"/>
      <c r="T51" s="161"/>
      <c r="U51" s="247"/>
    </row>
    <row r="52" spans="2:23" x14ac:dyDescent="0.25">
      <c r="D52" s="86" t="s">
        <v>537</v>
      </c>
      <c r="F52" s="162"/>
      <c r="H52" s="3"/>
      <c r="I52" s="3"/>
      <c r="J52" s="3"/>
      <c r="K52" s="3"/>
      <c r="L52" s="161"/>
      <c r="M52" s="161"/>
      <c r="N52" s="161"/>
      <c r="O52" s="161"/>
      <c r="P52" s="161"/>
      <c r="Q52" s="161"/>
      <c r="R52" s="161"/>
      <c r="S52" s="161"/>
      <c r="T52" s="161"/>
      <c r="U52" s="247"/>
    </row>
    <row r="53" spans="2:23" x14ac:dyDescent="0.25">
      <c r="D53" s="86"/>
      <c r="F53" s="162"/>
      <c r="H53" s="3"/>
      <c r="I53" s="3"/>
      <c r="J53" s="3"/>
      <c r="K53" s="3"/>
      <c r="L53" s="161"/>
      <c r="M53" s="161"/>
      <c r="N53" s="161"/>
      <c r="O53" s="161"/>
      <c r="P53" s="161"/>
      <c r="Q53" s="161"/>
      <c r="R53" s="161"/>
      <c r="S53" s="161"/>
      <c r="T53" s="161"/>
      <c r="U53" s="247"/>
    </row>
    <row r="54" spans="2:23" x14ac:dyDescent="0.25">
      <c r="E54" t="s">
        <v>538</v>
      </c>
      <c r="F54" s="241"/>
      <c r="G54" s="94" t="s">
        <v>277</v>
      </c>
      <c r="H54" s="3"/>
      <c r="I54" s="3"/>
      <c r="J54" s="119"/>
      <c r="K54" s="119"/>
      <c r="L54" s="167">
        <f>'Inputs by network level'!L33</f>
        <v>126533777.63046321</v>
      </c>
      <c r="M54" s="167">
        <f>'Inputs by network level'!M33</f>
        <v>18124885.346998829</v>
      </c>
      <c r="N54" s="167">
        <f>'Inputs by network level'!N33</f>
        <v>57956872.475489102</v>
      </c>
      <c r="O54" s="167">
        <f>'Inputs by network level'!O33</f>
        <v>45841518.879583202</v>
      </c>
      <c r="P54" s="167">
        <f>'Inputs by network level'!P33</f>
        <v>0</v>
      </c>
      <c r="Q54" s="167">
        <f>'Inputs by network level'!Q33</f>
        <v>211100594.18893585</v>
      </c>
      <c r="R54" s="167">
        <f>'Inputs by network level'!R33</f>
        <v>86611411.625644997</v>
      </c>
      <c r="S54" s="167">
        <f>'Inputs by network level'!S33</f>
        <v>213740079.55963728</v>
      </c>
      <c r="T54" s="119"/>
      <c r="U54" s="119"/>
      <c r="W54" s="3"/>
    </row>
    <row r="55" spans="2:23" x14ac:dyDescent="0.25">
      <c r="E55" t="s">
        <v>539</v>
      </c>
      <c r="F55" s="241"/>
      <c r="G55" s="94" t="s">
        <v>540</v>
      </c>
      <c r="H55" s="3"/>
      <c r="I55" s="3"/>
      <c r="J55" s="119"/>
      <c r="K55" s="119"/>
      <c r="L55" s="168">
        <f t="shared" ref="L55:S55" si="2">IF(L48 = 0, 0, L54 / (L48 * thousand))</f>
        <v>258.89367651814348</v>
      </c>
      <c r="M55" s="168">
        <f t="shared" si="2"/>
        <v>37.23250197751193</v>
      </c>
      <c r="N55" s="168">
        <f t="shared" si="2"/>
        <v>119.88541350797853</v>
      </c>
      <c r="O55" s="168">
        <f t="shared" si="2"/>
        <v>95.386665752485712</v>
      </c>
      <c r="P55" s="168">
        <f t="shared" si="2"/>
        <v>0</v>
      </c>
      <c r="Q55" s="168">
        <f t="shared" si="2"/>
        <v>446.1602614159392</v>
      </c>
      <c r="R55" s="168">
        <f t="shared" si="2"/>
        <v>185.53134418023367</v>
      </c>
      <c r="S55" s="168">
        <f t="shared" si="2"/>
        <v>463.97157542233242</v>
      </c>
      <c r="T55" s="119"/>
      <c r="U55" s="119"/>
      <c r="W55" s="3"/>
    </row>
    <row r="56" spans="2:23" x14ac:dyDescent="0.25">
      <c r="E56" t="s">
        <v>541</v>
      </c>
      <c r="F56" s="241"/>
      <c r="G56" s="94" t="s">
        <v>542</v>
      </c>
      <c r="H56" s="3"/>
      <c r="I56" s="3" t="s">
        <v>154</v>
      </c>
      <c r="J56" s="119"/>
      <c r="K56" s="119"/>
      <c r="L56" s="168">
        <f t="shared" ref="L56:S56" si="3">L55 * $H$25</f>
        <v>14.758726996884906</v>
      </c>
      <c r="M56" s="168">
        <f t="shared" si="3"/>
        <v>2.1225096707163735</v>
      </c>
      <c r="N56" s="168">
        <f t="shared" si="3"/>
        <v>6.8342962743198372</v>
      </c>
      <c r="O56" s="168">
        <f t="shared" si="3"/>
        <v>5.4376985097408861</v>
      </c>
      <c r="P56" s="168">
        <f t="shared" si="3"/>
        <v>0</v>
      </c>
      <c r="Q56" s="168">
        <f t="shared" si="3"/>
        <v>25.434215248726574</v>
      </c>
      <c r="R56" s="168">
        <f t="shared" si="3"/>
        <v>10.576567550614797</v>
      </c>
      <c r="S56" s="168">
        <f t="shared" si="3"/>
        <v>26.449583118701288</v>
      </c>
      <c r="T56" s="119"/>
      <c r="U56" s="119"/>
      <c r="W56" s="3" t="s">
        <v>543</v>
      </c>
    </row>
    <row r="57" spans="2:23" x14ac:dyDescent="0.25">
      <c r="H57" s="3"/>
      <c r="I57" s="3"/>
      <c r="J57" s="174"/>
      <c r="K57" s="174"/>
      <c r="L57" s="174"/>
      <c r="M57" s="174"/>
      <c r="N57" s="174"/>
      <c r="O57" s="174"/>
      <c r="P57" s="174"/>
      <c r="Q57" s="174"/>
      <c r="R57" s="174"/>
      <c r="S57" s="174"/>
      <c r="T57" s="174"/>
      <c r="U57" s="174"/>
      <c r="W57" s="3"/>
    </row>
    <row r="58" spans="2:23" x14ac:dyDescent="0.25">
      <c r="B58" s="85" t="s">
        <v>544</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25">
      <c r="J59" s="106"/>
      <c r="K59" s="106"/>
      <c r="L59" s="106"/>
      <c r="M59" s="106"/>
      <c r="N59" s="106"/>
      <c r="O59" s="106"/>
      <c r="P59" s="106"/>
      <c r="Q59" s="106"/>
      <c r="R59" s="106"/>
      <c r="S59" s="106"/>
      <c r="T59" s="106"/>
      <c r="U59" s="106"/>
    </row>
    <row r="60" spans="2:23" x14ac:dyDescent="0.25">
      <c r="C60" s="86" t="s">
        <v>545</v>
      </c>
      <c r="J60" s="106"/>
      <c r="K60" s="106"/>
      <c r="L60" s="106"/>
      <c r="M60" s="106"/>
      <c r="N60" s="106"/>
      <c r="O60" s="106"/>
      <c r="P60" s="106"/>
      <c r="Q60" s="106"/>
      <c r="R60" s="106"/>
      <c r="S60" s="106"/>
      <c r="T60" s="106"/>
      <c r="U60" s="106"/>
    </row>
    <row r="61" spans="2:23" x14ac:dyDescent="0.25">
      <c r="J61" s="106"/>
      <c r="K61" s="106"/>
      <c r="L61" s="106"/>
      <c r="M61" s="106"/>
      <c r="N61" s="106"/>
      <c r="O61" s="106"/>
      <c r="P61" s="106"/>
      <c r="Q61" s="106"/>
      <c r="R61" s="106"/>
      <c r="S61" s="106"/>
      <c r="T61" s="106"/>
      <c r="U61" s="106"/>
    </row>
    <row r="62" spans="2:23" x14ac:dyDescent="0.25">
      <c r="C62" s="93" t="str">
        <f ca="1">INDEX('Version control'!$H$41:$H$64,MATCH($A$1,'Version control'!$F$41:$F$64,0),1)&amp;"-F: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25">
      <c r="D63" s="75"/>
      <c r="J63" s="106"/>
      <c r="K63" s="106"/>
      <c r="L63" s="106"/>
      <c r="M63" s="106"/>
      <c r="N63" s="106"/>
      <c r="O63" s="106"/>
      <c r="P63" s="106"/>
      <c r="Q63" s="106"/>
      <c r="R63" s="106"/>
      <c r="S63" s="106"/>
      <c r="T63" s="106"/>
      <c r="U63" s="106"/>
    </row>
    <row r="64" spans="2:23" x14ac:dyDescent="0.25">
      <c r="E64" t="s">
        <v>546</v>
      </c>
      <c r="G64" t="s">
        <v>172</v>
      </c>
      <c r="J64" s="119"/>
      <c r="K64" s="167">
        <f t="array" ref="K64:S64">TRANSPOSE('System peak demand'!H269:H277)</f>
        <v>2222.2201682747323</v>
      </c>
      <c r="L64" s="167">
        <v>2187.8601234774815</v>
      </c>
      <c r="M64" s="167">
        <v>2179.1522224885161</v>
      </c>
      <c r="N64" s="167">
        <v>2228.9970183290989</v>
      </c>
      <c r="O64" s="167">
        <v>2667.4493662630071</v>
      </c>
      <c r="P64" s="167">
        <v>0</v>
      </c>
      <c r="Q64" s="167">
        <v>2712.8189565397092</v>
      </c>
      <c r="R64" s="167">
        <v>2362.9267300927645</v>
      </c>
      <c r="S64" s="167">
        <v>1773.2619580760233</v>
      </c>
      <c r="T64" s="119"/>
      <c r="U64" s="119"/>
    </row>
    <row r="65" spans="3:24" x14ac:dyDescent="0.25">
      <c r="E65" s="94" t="s">
        <v>547</v>
      </c>
      <c r="F65" s="94"/>
      <c r="G65" s="94" t="s">
        <v>172</v>
      </c>
      <c r="H65" s="250"/>
      <c r="J65" s="168">
        <f>K64</f>
        <v>2222.2201682747323</v>
      </c>
      <c r="K65" s="119"/>
      <c r="L65" s="119"/>
      <c r="M65" s="119"/>
      <c r="N65" s="119"/>
      <c r="O65" s="119"/>
      <c r="P65" s="119"/>
      <c r="Q65" s="119"/>
      <c r="R65" s="119"/>
      <c r="S65" s="119"/>
      <c r="T65" s="119"/>
      <c r="U65" s="119"/>
      <c r="W65" s="97"/>
      <c r="X65" s="97"/>
    </row>
    <row r="66" spans="3:24" x14ac:dyDescent="0.25">
      <c r="J66" s="106"/>
      <c r="K66" s="106"/>
      <c r="L66" s="106"/>
      <c r="M66" s="106"/>
      <c r="N66" s="106"/>
      <c r="O66" s="106"/>
      <c r="P66" s="106"/>
      <c r="Q66" s="106"/>
      <c r="R66" s="106"/>
      <c r="S66" s="106"/>
      <c r="T66" s="106"/>
      <c r="U66" s="106"/>
      <c r="X66" s="97"/>
    </row>
    <row r="67" spans="3:24" x14ac:dyDescent="0.25">
      <c r="E67" s="94" t="s">
        <v>546</v>
      </c>
      <c r="F67" s="94"/>
      <c r="G67" s="94" t="s">
        <v>477</v>
      </c>
      <c r="H67" s="250"/>
      <c r="J67" s="168">
        <f t="shared" ref="J67:S67" si="4">SUM(J64:J65) * thousand</f>
        <v>2222220.1682747323</v>
      </c>
      <c r="K67" s="168">
        <f t="shared" si="4"/>
        <v>2222220.1682747323</v>
      </c>
      <c r="L67" s="168">
        <f t="shared" si="4"/>
        <v>2187860.1234774813</v>
      </c>
      <c r="M67" s="168">
        <f t="shared" si="4"/>
        <v>2179152.222488516</v>
      </c>
      <c r="N67" s="168">
        <f t="shared" si="4"/>
        <v>2228997.0183290988</v>
      </c>
      <c r="O67" s="168">
        <f t="shared" si="4"/>
        <v>2667449.3662630073</v>
      </c>
      <c r="P67" s="168">
        <f t="shared" si="4"/>
        <v>0</v>
      </c>
      <c r="Q67" s="168">
        <f t="shared" si="4"/>
        <v>2712818.9565397091</v>
      </c>
      <c r="R67" s="168">
        <f t="shared" si="4"/>
        <v>2362926.7300927644</v>
      </c>
      <c r="S67" s="168">
        <f t="shared" si="4"/>
        <v>1773261.9580760233</v>
      </c>
      <c r="T67" s="119"/>
      <c r="U67" s="119"/>
      <c r="W67" s="97"/>
      <c r="X67" s="97"/>
    </row>
    <row r="68" spans="3:24" x14ac:dyDescent="0.25">
      <c r="J68" s="106"/>
      <c r="K68" s="106"/>
      <c r="L68" s="106"/>
      <c r="M68" s="106"/>
      <c r="N68" s="106"/>
      <c r="O68" s="106"/>
      <c r="P68" s="106"/>
      <c r="Q68" s="106"/>
      <c r="R68" s="106"/>
      <c r="S68" s="106"/>
      <c r="T68" s="106"/>
      <c r="U68" s="106"/>
    </row>
    <row r="69" spans="3:24" x14ac:dyDescent="0.25">
      <c r="C69" s="93" t="str">
        <f ca="1">INDEX('Version control'!$H$41:$H$64,MATCH($A$1,'Version control'!$F$41:$F$64,0),1)&amp;"-G: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25">
      <c r="E70" s="75"/>
      <c r="J70" s="106"/>
      <c r="K70" s="106"/>
      <c r="L70" s="106"/>
      <c r="M70" s="106"/>
      <c r="N70" s="106"/>
      <c r="O70" s="106"/>
      <c r="P70" s="106"/>
      <c r="Q70" s="106"/>
      <c r="R70" s="106"/>
      <c r="S70" s="106"/>
      <c r="T70" s="106"/>
      <c r="U70" s="106"/>
      <c r="X70" s="97"/>
    </row>
    <row r="71" spans="3:24" x14ac:dyDescent="0.25">
      <c r="D71" s="86" t="s">
        <v>548</v>
      </c>
      <c r="J71" s="106"/>
      <c r="K71" s="106"/>
      <c r="L71" s="106"/>
      <c r="M71" s="106"/>
      <c r="N71" s="106"/>
      <c r="O71" s="106"/>
      <c r="P71" s="106"/>
      <c r="Q71" s="106"/>
      <c r="R71" s="106"/>
      <c r="S71" s="106"/>
      <c r="T71" s="106"/>
      <c r="U71" s="106"/>
      <c r="X71" s="97"/>
    </row>
    <row r="72" spans="3:24" x14ac:dyDescent="0.25">
      <c r="D72" s="86"/>
      <c r="J72" s="106"/>
      <c r="K72" s="106"/>
      <c r="L72" s="106"/>
      <c r="M72" s="106"/>
      <c r="N72" s="106"/>
      <c r="O72" s="106"/>
      <c r="P72" s="106"/>
      <c r="Q72" s="106"/>
      <c r="R72" s="106"/>
      <c r="S72" s="106"/>
      <c r="T72" s="106"/>
      <c r="U72" s="106"/>
      <c r="X72" s="97"/>
    </row>
    <row r="73" spans="3:24" x14ac:dyDescent="0.25">
      <c r="E73" s="94" t="s">
        <v>549</v>
      </c>
      <c r="F73" s="94"/>
      <c r="G73" s="94" t="s">
        <v>277</v>
      </c>
      <c r="J73" s="119"/>
      <c r="K73" s="119"/>
      <c r="L73" s="168">
        <f t="shared" ref="L73:S73" si="5">L67 * L55</f>
        <v>566423151.07452452</v>
      </c>
      <c r="M73" s="168">
        <f t="shared" si="5"/>
        <v>81135289.433103189</v>
      </c>
      <c r="N73" s="168">
        <f t="shared" si="5"/>
        <v>267224229.2504352</v>
      </c>
      <c r="O73" s="168">
        <f t="shared" si="5"/>
        <v>254439101.11140931</v>
      </c>
      <c r="P73" s="168">
        <f t="shared" si="5"/>
        <v>0</v>
      </c>
      <c r="Q73" s="168">
        <f t="shared" si="5"/>
        <v>1210352014.8238721</v>
      </c>
      <c r="R73" s="168">
        <f t="shared" si="5"/>
        <v>438396972.43351477</v>
      </c>
      <c r="S73" s="168">
        <f t="shared" si="5"/>
        <v>822743144.32502246</v>
      </c>
      <c r="T73" s="119"/>
      <c r="U73" s="119"/>
      <c r="X73" s="97"/>
    </row>
    <row r="74" spans="3:24" x14ac:dyDescent="0.25">
      <c r="E74" s="94" t="s">
        <v>550</v>
      </c>
      <c r="F74" s="94"/>
      <c r="G74" s="94" t="s">
        <v>277</v>
      </c>
      <c r="J74" s="119"/>
      <c r="K74" s="119"/>
      <c r="L74" s="119"/>
      <c r="M74" s="119"/>
      <c r="N74" s="119"/>
      <c r="O74" s="119"/>
      <c r="P74" s="119"/>
      <c r="Q74" s="119"/>
      <c r="R74" s="119"/>
      <c r="S74" s="119"/>
      <c r="T74" s="167">
        <f>'Service model assets'!H33</f>
        <v>568871475.73806357</v>
      </c>
      <c r="U74" s="167">
        <f>'Service model assets'!H34</f>
        <v>14678694.823779795</v>
      </c>
      <c r="X74" s="97"/>
    </row>
    <row r="75" spans="3:24" x14ac:dyDescent="0.25">
      <c r="J75" s="106"/>
      <c r="K75" s="106"/>
      <c r="L75" s="106"/>
      <c r="M75" s="106"/>
      <c r="N75" s="106"/>
      <c r="O75" s="106"/>
      <c r="P75" s="106"/>
      <c r="Q75" s="106"/>
      <c r="R75" s="106"/>
      <c r="S75" s="106"/>
      <c r="T75" s="106"/>
      <c r="U75" s="106"/>
      <c r="X75" s="97"/>
    </row>
    <row r="76" spans="3:24" x14ac:dyDescent="0.25">
      <c r="E76" s="94" t="s">
        <v>551</v>
      </c>
      <c r="F76" s="94"/>
      <c r="G76" s="94" t="s">
        <v>277</v>
      </c>
      <c r="I76" t="s">
        <v>154</v>
      </c>
      <c r="J76" s="119"/>
      <c r="K76" s="168">
        <f t="shared" ref="K76:U76" si="6">K73 + K74</f>
        <v>0</v>
      </c>
      <c r="L76" s="168">
        <f t="shared" si="6"/>
        <v>566423151.07452452</v>
      </c>
      <c r="M76" s="168">
        <f t="shared" si="6"/>
        <v>81135289.433103189</v>
      </c>
      <c r="N76" s="168">
        <f t="shared" si="6"/>
        <v>267224229.2504352</v>
      </c>
      <c r="O76" s="168">
        <f t="shared" si="6"/>
        <v>254439101.11140931</v>
      </c>
      <c r="P76" s="168">
        <f t="shared" si="6"/>
        <v>0</v>
      </c>
      <c r="Q76" s="168">
        <f t="shared" si="6"/>
        <v>1210352014.8238721</v>
      </c>
      <c r="R76" s="168">
        <f t="shared" si="6"/>
        <v>438396972.43351477</v>
      </c>
      <c r="S76" s="168">
        <f t="shared" si="6"/>
        <v>822743144.32502246</v>
      </c>
      <c r="T76" s="168">
        <f t="shared" si="6"/>
        <v>568871475.73806357</v>
      </c>
      <c r="U76" s="168">
        <f t="shared" si="6"/>
        <v>14678694.823779795</v>
      </c>
      <c r="W76" s="3" t="s">
        <v>552</v>
      </c>
      <c r="X76" s="97"/>
    </row>
    <row r="77" spans="3:24" x14ac:dyDescent="0.25">
      <c r="L77" s="97"/>
      <c r="M77" s="97"/>
      <c r="N77" s="97"/>
      <c r="O77" s="97"/>
      <c r="P77" s="97"/>
      <c r="Q77" s="97"/>
      <c r="R77" s="97"/>
      <c r="S77" s="97"/>
      <c r="T77" s="97"/>
      <c r="U77" s="97"/>
      <c r="X77" s="97"/>
    </row>
    <row r="78" spans="3:24" x14ac:dyDescent="0.25">
      <c r="E78" s="94" t="s">
        <v>553</v>
      </c>
      <c r="F78" s="94"/>
      <c r="G78" s="94" t="s">
        <v>167</v>
      </c>
      <c r="J78" s="244"/>
      <c r="K78" s="191">
        <f t="shared" ref="K78:U78" si="7">K76 / SUM($K$76:$U$76)</f>
        <v>0</v>
      </c>
      <c r="L78" s="191">
        <f t="shared" si="7"/>
        <v>0.13408800711420016</v>
      </c>
      <c r="M78" s="191">
        <f t="shared" si="7"/>
        <v>1.9206964344731101E-2</v>
      </c>
      <c r="N78" s="191">
        <f t="shared" si="7"/>
        <v>6.3259357045779785E-2</v>
      </c>
      <c r="O78" s="191">
        <f t="shared" si="7"/>
        <v>6.0232764030276241E-2</v>
      </c>
      <c r="P78" s="191">
        <f t="shared" si="7"/>
        <v>0</v>
      </c>
      <c r="Q78" s="191">
        <f t="shared" si="7"/>
        <v>0.28652375748857206</v>
      </c>
      <c r="R78" s="191">
        <f t="shared" si="7"/>
        <v>0.10378067394843249</v>
      </c>
      <c r="S78" s="191">
        <f t="shared" si="7"/>
        <v>0.19476603027283076</v>
      </c>
      <c r="T78" s="191">
        <f t="shared" si="7"/>
        <v>0.1346675931962304</v>
      </c>
      <c r="U78" s="191">
        <f t="shared" si="7"/>
        <v>3.4748525589470419E-3</v>
      </c>
      <c r="X78" s="97"/>
    </row>
    <row r="79" spans="3:24" x14ac:dyDescent="0.25">
      <c r="E79" s="75"/>
      <c r="L79" s="97"/>
      <c r="M79" s="97"/>
      <c r="N79" s="97"/>
      <c r="O79" s="97"/>
      <c r="P79" s="97"/>
      <c r="Q79" s="97"/>
      <c r="R79" s="97"/>
      <c r="S79" s="97"/>
      <c r="T79" s="97"/>
      <c r="U79" s="97"/>
    </row>
    <row r="80" spans="3:24" x14ac:dyDescent="0.25">
      <c r="C80" s="93" t="str">
        <f ca="1">INDEX('Version control'!$H$41:$H$64,MATCH($A$1,'Version control'!$F$41:$F$64,0),1)&amp;"-H: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25">
      <c r="E81" s="75"/>
      <c r="L81" s="97"/>
      <c r="M81" s="97"/>
      <c r="N81" s="97"/>
      <c r="O81" s="97"/>
      <c r="P81" s="97"/>
      <c r="Q81" s="97"/>
      <c r="R81" s="97"/>
      <c r="S81" s="97"/>
      <c r="T81" s="97"/>
      <c r="U81" s="97"/>
    </row>
    <row r="82" spans="3:23" x14ac:dyDescent="0.25">
      <c r="D82" s="86" t="s">
        <v>554</v>
      </c>
      <c r="L82" s="97"/>
      <c r="M82" s="97"/>
      <c r="N82" s="97"/>
      <c r="O82" s="97"/>
      <c r="P82" s="97"/>
      <c r="Q82" s="97"/>
      <c r="R82" s="97"/>
      <c r="S82" s="97"/>
      <c r="T82" s="97"/>
      <c r="U82" s="97"/>
    </row>
    <row r="83" spans="3:23" x14ac:dyDescent="0.25">
      <c r="D83" s="86"/>
      <c r="L83" s="97"/>
      <c r="M83" s="97"/>
      <c r="N83" s="97"/>
      <c r="O83" s="97"/>
      <c r="P83" s="97"/>
      <c r="Q83" s="97"/>
      <c r="R83" s="97"/>
      <c r="S83" s="97"/>
      <c r="T83" s="97"/>
      <c r="U83" s="97"/>
    </row>
    <row r="84" spans="3:23" x14ac:dyDescent="0.25">
      <c r="E84" s="94" t="s">
        <v>169</v>
      </c>
      <c r="F84" s="94"/>
      <c r="G84" s="94" t="s">
        <v>167</v>
      </c>
      <c r="H84" s="155">
        <f>'Fixed inputs'!H40</f>
        <v>0.6</v>
      </c>
      <c r="L84" s="97"/>
      <c r="M84" s="97"/>
      <c r="N84" s="97"/>
      <c r="O84" s="97"/>
      <c r="P84" s="97"/>
      <c r="Q84" s="97"/>
      <c r="R84" s="97"/>
      <c r="S84" s="97"/>
      <c r="T84" s="97"/>
      <c r="U84" s="97"/>
    </row>
    <row r="85" spans="3:23" x14ac:dyDescent="0.25">
      <c r="F85" s="94"/>
      <c r="G85" s="94"/>
      <c r="H85" s="155"/>
      <c r="L85" s="97"/>
      <c r="M85" s="97"/>
      <c r="N85" s="97"/>
      <c r="O85" s="97"/>
      <c r="P85" s="97"/>
      <c r="Q85" s="97"/>
      <c r="R85" s="97"/>
      <c r="S85" s="97"/>
      <c r="T85" s="97"/>
      <c r="U85" s="97"/>
    </row>
    <row r="86" spans="3:23" x14ac:dyDescent="0.25">
      <c r="E86" s="94" t="s">
        <v>318</v>
      </c>
      <c r="F86" s="94"/>
      <c r="G86" s="94" t="s">
        <v>315</v>
      </c>
      <c r="H86" s="167">
        <f>'General inputs'!H107</f>
        <v>46484265.845722906</v>
      </c>
      <c r="L86" s="97"/>
      <c r="M86" s="97"/>
      <c r="N86" s="97"/>
      <c r="O86" s="97"/>
      <c r="P86" s="97"/>
      <c r="Q86" s="97"/>
      <c r="R86" s="97"/>
      <c r="S86" s="97"/>
      <c r="T86" s="97"/>
      <c r="U86" s="97"/>
    </row>
    <row r="87" spans="3:23" x14ac:dyDescent="0.25">
      <c r="E87" s="94" t="s">
        <v>319</v>
      </c>
      <c r="F87" s="94"/>
      <c r="G87" s="94" t="s">
        <v>315</v>
      </c>
      <c r="H87" s="167">
        <f>'General inputs'!H108</f>
        <v>164105017.06092203</v>
      </c>
      <c r="L87" s="97"/>
      <c r="M87" s="97"/>
      <c r="N87" s="97"/>
      <c r="O87" s="97"/>
      <c r="P87" s="97"/>
      <c r="Q87" s="97"/>
      <c r="R87" s="97"/>
      <c r="S87" s="97"/>
      <c r="T87" s="97"/>
      <c r="U87" s="97"/>
    </row>
    <row r="88" spans="3:23" x14ac:dyDescent="0.25">
      <c r="E88" s="94" t="s">
        <v>320</v>
      </c>
      <c r="F88" s="94"/>
      <c r="G88" s="94" t="s">
        <v>315</v>
      </c>
      <c r="H88" s="167">
        <f>'General inputs'!H109</f>
        <v>27866262.016899642</v>
      </c>
      <c r="J88" s="97"/>
      <c r="L88" s="97"/>
      <c r="M88" s="97"/>
      <c r="N88" s="97"/>
      <c r="O88" s="97"/>
      <c r="P88" s="97"/>
      <c r="Q88" s="97"/>
      <c r="R88" s="97"/>
      <c r="S88" s="97"/>
      <c r="T88" s="97"/>
      <c r="U88" s="97"/>
    </row>
    <row r="89" spans="3:23" x14ac:dyDescent="0.25">
      <c r="E89" s="94"/>
      <c r="F89" s="94"/>
      <c r="G89" s="94"/>
      <c r="H89" s="167"/>
      <c r="J89" s="97"/>
      <c r="L89" s="97"/>
      <c r="M89" s="97"/>
      <c r="N89" s="97"/>
      <c r="O89" s="97"/>
      <c r="P89" s="97"/>
      <c r="Q89" s="97"/>
      <c r="R89" s="97"/>
      <c r="S89" s="97"/>
      <c r="T89" s="97"/>
      <c r="U89" s="97"/>
    </row>
    <row r="90" spans="3:23" x14ac:dyDescent="0.25">
      <c r="E90" s="94" t="s">
        <v>555</v>
      </c>
      <c r="F90" s="94"/>
      <c r="G90" s="94" t="s">
        <v>315</v>
      </c>
      <c r="H90" s="168">
        <f>H86 + H87 * H84 + H88</f>
        <v>172813538.09917575</v>
      </c>
      <c r="L90" s="97"/>
      <c r="M90" s="97"/>
      <c r="N90" s="97"/>
      <c r="O90" s="97"/>
      <c r="P90" s="97"/>
      <c r="Q90" s="97"/>
      <c r="R90" s="97"/>
      <c r="S90" s="97"/>
      <c r="T90" s="97"/>
      <c r="U90" s="97"/>
    </row>
    <row r="91" spans="3:23" x14ac:dyDescent="0.25">
      <c r="E91" s="75"/>
      <c r="L91" s="97"/>
      <c r="M91" s="97"/>
      <c r="N91" s="97"/>
      <c r="O91" s="97"/>
      <c r="P91" s="97"/>
      <c r="Q91" s="97"/>
      <c r="R91" s="97"/>
      <c r="S91" s="97"/>
      <c r="T91" s="97"/>
      <c r="U91" s="97"/>
    </row>
    <row r="92" spans="3:23" x14ac:dyDescent="0.25">
      <c r="C92" s="93" t="str">
        <f ca="1">INDEX('Version control'!$H$41:$H$64,MATCH($A$1,'Version control'!$F$41:$F$64,0),1)&amp;"-I: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25">
      <c r="E93" s="75"/>
      <c r="H93" s="97"/>
      <c r="L93" s="97"/>
      <c r="M93" s="97"/>
      <c r="N93" s="97"/>
      <c r="O93" s="97"/>
      <c r="P93" s="97"/>
      <c r="Q93" s="97"/>
      <c r="R93" s="97"/>
      <c r="S93" s="97"/>
      <c r="T93" s="97"/>
      <c r="U93" s="97"/>
    </row>
    <row r="94" spans="3:23" x14ac:dyDescent="0.25">
      <c r="D94" s="86" t="s">
        <v>556</v>
      </c>
      <c r="H94" s="97"/>
      <c r="L94" s="97"/>
      <c r="M94" s="97"/>
      <c r="N94" s="97"/>
      <c r="O94" s="97"/>
      <c r="P94" s="97"/>
      <c r="Q94" s="97"/>
      <c r="R94" s="97"/>
      <c r="S94" s="97"/>
      <c r="T94" s="97"/>
      <c r="U94" s="97"/>
    </row>
    <row r="95" spans="3:23" x14ac:dyDescent="0.25">
      <c r="D95" s="86" t="s">
        <v>557</v>
      </c>
      <c r="H95" s="97"/>
      <c r="L95" s="97"/>
      <c r="M95" s="97"/>
      <c r="N95" s="97"/>
      <c r="O95" s="97"/>
      <c r="P95" s="97"/>
      <c r="Q95" s="97"/>
      <c r="R95" s="97"/>
      <c r="S95" s="97"/>
      <c r="T95" s="97"/>
      <c r="U95" s="97"/>
    </row>
    <row r="96" spans="3:23" x14ac:dyDescent="0.25">
      <c r="D96" s="86"/>
      <c r="H96" s="97"/>
      <c r="L96" s="97"/>
      <c r="M96" s="97"/>
      <c r="N96" s="97"/>
      <c r="O96" s="97"/>
      <c r="P96" s="97"/>
      <c r="Q96" s="97"/>
      <c r="R96" s="97"/>
      <c r="S96" s="97"/>
      <c r="T96" s="97"/>
      <c r="U96" s="97"/>
    </row>
    <row r="97" spans="2:23" x14ac:dyDescent="0.25">
      <c r="E97" s="94" t="s">
        <v>558</v>
      </c>
      <c r="F97" s="94"/>
      <c r="G97" s="94" t="s">
        <v>315</v>
      </c>
      <c r="I97" t="s">
        <v>154</v>
      </c>
      <c r="J97" s="119"/>
      <c r="K97" s="168">
        <f t="shared" ref="K97:U97" si="8">K78 * $H$90</f>
        <v>0</v>
      </c>
      <c r="L97" s="168">
        <f t="shared" si="8"/>
        <v>23172222.926072378</v>
      </c>
      <c r="M97" s="168">
        <f t="shared" si="8"/>
        <v>3319223.4645576985</v>
      </c>
      <c r="N97" s="168">
        <f t="shared" si="8"/>
        <v>10932073.308960227</v>
      </c>
      <c r="O97" s="168">
        <f t="shared" si="8"/>
        <v>10409037.061564807</v>
      </c>
      <c r="P97" s="168">
        <f t="shared" si="8"/>
        <v>0</v>
      </c>
      <c r="Q97" s="168">
        <f t="shared" si="8"/>
        <v>49515184.281070344</v>
      </c>
      <c r="R97" s="168">
        <f t="shared" si="8"/>
        <v>17934705.451345574</v>
      </c>
      <c r="S97" s="168">
        <f t="shared" si="8"/>
        <v>33658206.792979054</v>
      </c>
      <c r="T97" s="168">
        <f t="shared" si="8"/>
        <v>23272383.247541063</v>
      </c>
      <c r="U97" s="168">
        <f t="shared" si="8"/>
        <v>600501.56508461293</v>
      </c>
      <c r="W97" s="3" t="s">
        <v>559</v>
      </c>
    </row>
    <row r="98" spans="2:23" x14ac:dyDescent="0.25">
      <c r="E98" s="94" t="s">
        <v>314</v>
      </c>
      <c r="F98" s="94"/>
      <c r="G98" s="94" t="s">
        <v>315</v>
      </c>
      <c r="H98" s="97"/>
      <c r="I98" s="97"/>
      <c r="J98" s="167">
        <f>'General inputs'!$H$102</f>
        <v>11522323.622061759</v>
      </c>
      <c r="K98" s="119"/>
      <c r="L98" s="119"/>
      <c r="M98" s="119"/>
      <c r="N98" s="119"/>
      <c r="O98" s="119"/>
      <c r="P98" s="119"/>
      <c r="Q98" s="119"/>
      <c r="R98" s="119"/>
      <c r="S98" s="119"/>
      <c r="T98" s="119"/>
      <c r="U98" s="119"/>
    </row>
    <row r="99" spans="2:23" x14ac:dyDescent="0.25">
      <c r="J99" s="106"/>
      <c r="K99" s="106"/>
      <c r="L99" s="106"/>
      <c r="M99" s="106"/>
      <c r="N99" s="106"/>
      <c r="O99" s="106"/>
      <c r="P99" s="106"/>
      <c r="Q99" s="106"/>
      <c r="R99" s="106"/>
      <c r="S99" s="106"/>
      <c r="T99" s="106"/>
      <c r="U99" s="106"/>
    </row>
    <row r="100" spans="2:23" x14ac:dyDescent="0.25">
      <c r="E100" s="94" t="s">
        <v>560</v>
      </c>
      <c r="F100" s="94"/>
      <c r="G100" s="94" t="s">
        <v>561</v>
      </c>
      <c r="I100" t="s">
        <v>154</v>
      </c>
      <c r="J100" s="168">
        <f t="shared" ref="J100:S100" si="9">IF(J$67 = 0, 0, SUM(J97:J98) / J$67)</f>
        <v>5.185050422347377</v>
      </c>
      <c r="K100" s="168">
        <f t="shared" si="9"/>
        <v>0</v>
      </c>
      <c r="L100" s="168">
        <f t="shared" si="9"/>
        <v>10.59127257607375</v>
      </c>
      <c r="M100" s="168">
        <f t="shared" si="9"/>
        <v>1.5231719153457122</v>
      </c>
      <c r="N100" s="168">
        <f t="shared" si="9"/>
        <v>4.9044809028749308</v>
      </c>
      <c r="O100" s="168">
        <f t="shared" si="9"/>
        <v>3.9022435414200429</v>
      </c>
      <c r="P100" s="168">
        <f t="shared" si="9"/>
        <v>0</v>
      </c>
      <c r="Q100" s="168">
        <f t="shared" si="9"/>
        <v>18.25229957262928</v>
      </c>
      <c r="R100" s="168">
        <f t="shared" si="9"/>
        <v>7.5900387527638191</v>
      </c>
      <c r="S100" s="168">
        <f t="shared" si="9"/>
        <v>18.980955768936685</v>
      </c>
      <c r="T100" s="119"/>
      <c r="U100" s="119"/>
      <c r="W100" s="3" t="s">
        <v>562</v>
      </c>
    </row>
    <row r="101" spans="2:23" x14ac:dyDescent="0.25">
      <c r="J101" s="106"/>
      <c r="K101" s="106"/>
      <c r="L101" s="106"/>
      <c r="M101" s="106"/>
      <c r="N101" s="106"/>
      <c r="O101" s="106"/>
      <c r="P101" s="106"/>
      <c r="Q101" s="106"/>
      <c r="R101" s="106"/>
      <c r="S101" s="106"/>
      <c r="T101" s="106"/>
      <c r="U101" s="106"/>
    </row>
    <row r="102" spans="2:23" x14ac:dyDescent="0.25">
      <c r="B102" s="85" t="s">
        <v>563</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25">
      <c r="B103" s="86"/>
      <c r="J103" s="106"/>
      <c r="K103" s="106"/>
      <c r="L103" s="106"/>
      <c r="M103" s="106"/>
      <c r="N103" s="106"/>
      <c r="O103" s="106"/>
      <c r="P103" s="106"/>
      <c r="Q103" s="106"/>
      <c r="R103" s="106"/>
      <c r="S103" s="106"/>
      <c r="T103" s="106"/>
      <c r="U103" s="106"/>
    </row>
    <row r="104" spans="2:23" x14ac:dyDescent="0.25">
      <c r="C104" s="93" t="str">
        <f ca="1">INDEX('Version control'!$H$41:$H$64,MATCH($A$1,'Version control'!$F$41:$F$64,0),1)&amp;"-J: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25">
      <c r="B105" s="86"/>
      <c r="J105" s="106"/>
      <c r="K105" s="106"/>
      <c r="L105" s="106"/>
      <c r="M105" s="106"/>
      <c r="N105" s="106"/>
      <c r="O105" s="106"/>
      <c r="P105" s="106"/>
      <c r="Q105" s="106"/>
      <c r="R105" s="106"/>
      <c r="S105" s="106"/>
      <c r="T105" s="106"/>
      <c r="U105" s="106"/>
    </row>
    <row r="106" spans="2:23" x14ac:dyDescent="0.25">
      <c r="B106" s="86"/>
      <c r="D106" s="86" t="s">
        <v>564</v>
      </c>
      <c r="J106" s="106"/>
      <c r="K106" s="106"/>
      <c r="L106" s="106"/>
      <c r="M106" s="106"/>
      <c r="N106" s="106"/>
      <c r="O106" s="106"/>
      <c r="P106" s="106"/>
      <c r="Q106" s="106"/>
      <c r="R106" s="106"/>
      <c r="S106" s="106"/>
      <c r="T106" s="106"/>
      <c r="U106" s="106"/>
    </row>
    <row r="107" spans="2:23" x14ac:dyDescent="0.25">
      <c r="B107" s="86"/>
      <c r="D107" s="86"/>
      <c r="J107" s="106"/>
      <c r="K107" s="106"/>
      <c r="L107" s="106"/>
      <c r="M107" s="106"/>
      <c r="N107" s="106"/>
      <c r="O107" s="106"/>
      <c r="P107" s="106"/>
      <c r="Q107" s="106"/>
      <c r="R107" s="106"/>
      <c r="S107" s="106"/>
      <c r="T107" s="106"/>
      <c r="U107" s="106"/>
    </row>
    <row r="108" spans="2:23" x14ac:dyDescent="0.25">
      <c r="B108" s="86"/>
      <c r="E108" s="94" t="s">
        <v>551</v>
      </c>
      <c r="F108" s="94"/>
      <c r="G108" s="94" t="s">
        <v>277</v>
      </c>
      <c r="J108" s="119"/>
      <c r="K108" s="151">
        <f t="shared" ref="K108:U108" si="10">K76</f>
        <v>0</v>
      </c>
      <c r="L108" s="151">
        <f t="shared" si="10"/>
        <v>566423151.07452452</v>
      </c>
      <c r="M108" s="151">
        <f t="shared" si="10"/>
        <v>81135289.433103189</v>
      </c>
      <c r="N108" s="151">
        <f t="shared" si="10"/>
        <v>267224229.2504352</v>
      </c>
      <c r="O108" s="151">
        <f t="shared" si="10"/>
        <v>254439101.11140931</v>
      </c>
      <c r="P108" s="151">
        <f t="shared" si="10"/>
        <v>0</v>
      </c>
      <c r="Q108" s="151">
        <f t="shared" si="10"/>
        <v>1210352014.8238721</v>
      </c>
      <c r="R108" s="151">
        <f t="shared" si="10"/>
        <v>438396972.43351477</v>
      </c>
      <c r="S108" s="151">
        <f t="shared" si="10"/>
        <v>822743144.32502246</v>
      </c>
      <c r="T108" s="151">
        <f t="shared" si="10"/>
        <v>568871475.73806357</v>
      </c>
      <c r="U108" s="151">
        <f t="shared" si="10"/>
        <v>14678694.823779795</v>
      </c>
    </row>
    <row r="109" spans="2:23" x14ac:dyDescent="0.25">
      <c r="B109" s="86"/>
    </row>
    <row r="110" spans="2:23" x14ac:dyDescent="0.25">
      <c r="C110" s="93" t="str">
        <f ca="1">INDEX('Version control'!$H$41:$H$64,MATCH($A$1,'Version control'!$F$41:$F$64,0),1)&amp;"-K: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25">
      <c r="B111" s="86"/>
    </row>
    <row r="112" spans="2:23" x14ac:dyDescent="0.25">
      <c r="B112" s="86"/>
      <c r="D112" s="86" t="s">
        <v>565</v>
      </c>
    </row>
    <row r="113" spans="2:24" x14ac:dyDescent="0.25">
      <c r="B113" s="86"/>
      <c r="D113" s="86"/>
    </row>
    <row r="114" spans="2:24" x14ac:dyDescent="0.25">
      <c r="E114" t="s">
        <v>541</v>
      </c>
      <c r="F114" s="241"/>
      <c r="G114" s="94" t="s">
        <v>561</v>
      </c>
      <c r="H114" s="3"/>
      <c r="I114" s="3"/>
      <c r="J114" s="119"/>
      <c r="K114" s="119"/>
      <c r="L114" s="151">
        <f t="shared" ref="L114:S114" si="11">L56</f>
        <v>14.758726996884906</v>
      </c>
      <c r="M114" s="151">
        <f t="shared" si="11"/>
        <v>2.1225096707163735</v>
      </c>
      <c r="N114" s="151">
        <f t="shared" si="11"/>
        <v>6.8342962743198372</v>
      </c>
      <c r="O114" s="151">
        <f t="shared" si="11"/>
        <v>5.4376985097408861</v>
      </c>
      <c r="P114" s="151">
        <f t="shared" si="11"/>
        <v>0</v>
      </c>
      <c r="Q114" s="151">
        <f t="shared" si="11"/>
        <v>25.434215248726574</v>
      </c>
      <c r="R114" s="151">
        <f t="shared" si="11"/>
        <v>10.576567550614797</v>
      </c>
      <c r="S114" s="151">
        <f t="shared" si="11"/>
        <v>26.449583118701288</v>
      </c>
      <c r="T114" s="119"/>
      <c r="U114" s="119"/>
    </row>
    <row r="115" spans="2:24" x14ac:dyDescent="0.25">
      <c r="B115" s="86"/>
      <c r="E115" t="s">
        <v>560</v>
      </c>
      <c r="F115" s="94"/>
      <c r="G115" s="94" t="s">
        <v>561</v>
      </c>
      <c r="J115" s="151">
        <f t="shared" ref="J115:S115" si="12">J100</f>
        <v>5.185050422347377</v>
      </c>
      <c r="K115" s="151">
        <f t="shared" si="12"/>
        <v>0</v>
      </c>
      <c r="L115" s="151">
        <f t="shared" si="12"/>
        <v>10.59127257607375</v>
      </c>
      <c r="M115" s="151">
        <f t="shared" si="12"/>
        <v>1.5231719153457122</v>
      </c>
      <c r="N115" s="151">
        <f t="shared" si="12"/>
        <v>4.9044809028749308</v>
      </c>
      <c r="O115" s="151">
        <f t="shared" si="12"/>
        <v>3.9022435414200429</v>
      </c>
      <c r="P115" s="151">
        <f t="shared" si="12"/>
        <v>0</v>
      </c>
      <c r="Q115" s="151">
        <f t="shared" si="12"/>
        <v>18.25229957262928</v>
      </c>
      <c r="R115" s="151">
        <f t="shared" si="12"/>
        <v>7.5900387527638191</v>
      </c>
      <c r="S115" s="151">
        <f t="shared" si="12"/>
        <v>18.980955768936685</v>
      </c>
      <c r="T115" s="119"/>
      <c r="U115" s="119"/>
    </row>
    <row r="116" spans="2:24" x14ac:dyDescent="0.25">
      <c r="B116" s="86"/>
    </row>
    <row r="117" spans="2:24" x14ac:dyDescent="0.25">
      <c r="C117" s="93" t="str">
        <f ca="1">INDEX('Version control'!$H$41:$H$64,MATCH($A$1,'Version control'!$F$41:$F$64,0),1)&amp;"-L: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25">
      <c r="B118" s="86"/>
    </row>
    <row r="119" spans="2:24" x14ac:dyDescent="0.25">
      <c r="B119" s="86"/>
      <c r="D119" s="86" t="s">
        <v>566</v>
      </c>
    </row>
    <row r="120" spans="2:24" x14ac:dyDescent="0.25">
      <c r="B120" s="86"/>
      <c r="D120" s="86"/>
    </row>
    <row r="121" spans="2:24" x14ac:dyDescent="0.25">
      <c r="B121" s="86"/>
      <c r="C121" s="75"/>
      <c r="E121" t="s">
        <v>525</v>
      </c>
      <c r="F121" s="94"/>
      <c r="G121" s="94" t="s">
        <v>167</v>
      </c>
      <c r="H121" s="251">
        <f>H25</f>
        <v>5.7006904129041573E-2</v>
      </c>
    </row>
    <row r="122" spans="2:24" x14ac:dyDescent="0.25">
      <c r="B122" s="86"/>
      <c r="C122" s="75"/>
      <c r="E122" t="s">
        <v>555</v>
      </c>
      <c r="F122" s="94"/>
      <c r="G122" s="94" t="s">
        <v>315</v>
      </c>
      <c r="H122" s="151">
        <f>H90</f>
        <v>172813538.09917575</v>
      </c>
    </row>
    <row r="123" spans="2:24" x14ac:dyDescent="0.25">
      <c r="E123" t="s">
        <v>551</v>
      </c>
      <c r="F123" s="94"/>
      <c r="G123" s="94" t="s">
        <v>277</v>
      </c>
      <c r="H123" s="151">
        <f>SUM(K76:U76)</f>
        <v>4224264073.0137248</v>
      </c>
      <c r="X123" s="97"/>
    </row>
    <row r="124" spans="2:24" x14ac:dyDescent="0.25">
      <c r="B124" s="86"/>
      <c r="C124" s="75"/>
    </row>
    <row r="125" spans="2:24" x14ac:dyDescent="0.25">
      <c r="B125" s="85" t="s">
        <v>231</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25">
      <c r="E127" t="s">
        <v>232</v>
      </c>
      <c r="G127" s="6" t="s">
        <v>56</v>
      </c>
      <c r="H127" s="252">
        <f t="array" ref="H127">SUM(IF(ISERROR(H23:U123), 1))</f>
        <v>0</v>
      </c>
    </row>
    <row r="129" spans="2:23" x14ac:dyDescent="0.25">
      <c r="E129" t="s">
        <v>567</v>
      </c>
      <c r="G129" s="6" t="s">
        <v>56</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25">
      <c r="E131" t="s">
        <v>239</v>
      </c>
      <c r="G131" s="6" t="s">
        <v>56</v>
      </c>
      <c r="H131" s="113">
        <f>H127 + H129</f>
        <v>0</v>
      </c>
    </row>
    <row r="133" spans="2:23" x14ac:dyDescent="0.25">
      <c r="B133" s="85" t="s">
        <v>107</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H241 &amp; IF(H241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6" spans="1:27" x14ac:dyDescent="0.25">
      <c r="H6" s="3"/>
      <c r="I6" s="3"/>
      <c r="J6" s="3"/>
      <c r="K6" s="3"/>
      <c r="L6" s="3"/>
      <c r="M6" s="3"/>
      <c r="N6" s="3"/>
      <c r="P6" s="3"/>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568</v>
      </c>
      <c r="E9" s="94"/>
    </row>
    <row r="11" spans="1:27" x14ac:dyDescent="0.25">
      <c r="B11" s="85" t="s">
        <v>569</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25">
      <c r="C13" s="93" t="str">
        <f ca="1">INDEX('Version control'!$H$41:$H$64,MATCH($A$1,'Version control'!$F$41:$F$64,0),1)&amp;"-A: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25">
      <c r="C14" s="75"/>
      <c r="D14" s="75"/>
      <c r="E14" s="75"/>
      <c r="J14" s="97"/>
      <c r="L14" s="97"/>
    </row>
    <row r="15" spans="1:27" x14ac:dyDescent="0.25">
      <c r="D15" s="86" t="s">
        <v>570</v>
      </c>
    </row>
    <row r="17" spans="5:27" x14ac:dyDescent="0.25">
      <c r="E17" s="75" t="s">
        <v>571</v>
      </c>
      <c r="G17" s="94"/>
      <c r="H17" s="3"/>
      <c r="I17" s="3" t="s">
        <v>154</v>
      </c>
      <c r="AA17" t="s">
        <v>572</v>
      </c>
    </row>
    <row r="18" spans="5:27" x14ac:dyDescent="0.25">
      <c r="F18" s="255" t="s">
        <v>189</v>
      </c>
      <c r="G18" s="98" t="s">
        <v>542</v>
      </c>
      <c r="H18" s="117"/>
    </row>
    <row r="19" spans="5:27" x14ac:dyDescent="0.25">
      <c r="F19" s="256" t="s">
        <v>191</v>
      </c>
      <c r="G19" s="94" t="s">
        <v>542</v>
      </c>
      <c r="H19" s="119"/>
    </row>
    <row r="20" spans="5:27" x14ac:dyDescent="0.25">
      <c r="F20" s="256" t="s">
        <v>192</v>
      </c>
      <c r="G20" s="94" t="s">
        <v>542</v>
      </c>
      <c r="H20" s="257">
        <f t="array" ref="H20:H27">TRANSPOSE('Unit costs'!L114:S114)</f>
        <v>14.758726996884906</v>
      </c>
    </row>
    <row r="21" spans="5:27" x14ac:dyDescent="0.25">
      <c r="F21" s="256" t="s">
        <v>193</v>
      </c>
      <c r="G21" s="94" t="s">
        <v>542</v>
      </c>
      <c r="H21" s="257">
        <v>2.1225096707163735</v>
      </c>
    </row>
    <row r="22" spans="5:27" x14ac:dyDescent="0.25">
      <c r="F22" s="256" t="s">
        <v>194</v>
      </c>
      <c r="G22" s="94" t="s">
        <v>542</v>
      </c>
      <c r="H22" s="257">
        <v>6.8342962743198372</v>
      </c>
    </row>
    <row r="23" spans="5:27" x14ac:dyDescent="0.25">
      <c r="F23" s="256" t="s">
        <v>195</v>
      </c>
      <c r="G23" s="94" t="s">
        <v>542</v>
      </c>
      <c r="H23" s="257">
        <v>5.4376985097408861</v>
      </c>
    </row>
    <row r="24" spans="5:27" x14ac:dyDescent="0.25">
      <c r="F24" s="256" t="s">
        <v>196</v>
      </c>
      <c r="G24" s="94" t="s">
        <v>542</v>
      </c>
      <c r="H24" s="257">
        <v>0</v>
      </c>
    </row>
    <row r="25" spans="5:27" x14ac:dyDescent="0.25">
      <c r="F25" s="256" t="s">
        <v>197</v>
      </c>
      <c r="G25" s="94" t="s">
        <v>542</v>
      </c>
      <c r="H25" s="257">
        <v>25.434215248726574</v>
      </c>
    </row>
    <row r="26" spans="5:27" x14ac:dyDescent="0.25">
      <c r="F26" s="256" t="s">
        <v>198</v>
      </c>
      <c r="G26" s="94" t="s">
        <v>542</v>
      </c>
      <c r="H26" s="257">
        <v>10.576567550614797</v>
      </c>
    </row>
    <row r="27" spans="5:27" x14ac:dyDescent="0.25">
      <c r="F27" s="258" t="s">
        <v>199</v>
      </c>
      <c r="G27" s="101" t="s">
        <v>542</v>
      </c>
      <c r="H27" s="259">
        <v>26.449583118701288</v>
      </c>
    </row>
    <row r="28" spans="5:27" x14ac:dyDescent="0.25">
      <c r="F28" s="256"/>
      <c r="G28" s="94"/>
      <c r="H28" s="167"/>
    </row>
    <row r="29" spans="5:27" x14ac:dyDescent="0.25">
      <c r="E29" s="75" t="s">
        <v>573</v>
      </c>
      <c r="G29" s="94"/>
      <c r="H29" s="106"/>
    </row>
    <row r="30" spans="5:27" x14ac:dyDescent="0.25">
      <c r="F30" s="255" t="s">
        <v>189</v>
      </c>
      <c r="G30" s="98" t="s">
        <v>561</v>
      </c>
      <c r="H30" s="260">
        <f t="array" ref="H30:H39">TRANSPOSE('Unit costs'!J115:S115)</f>
        <v>5.185050422347377</v>
      </c>
    </row>
    <row r="31" spans="5:27" x14ac:dyDescent="0.25">
      <c r="F31" s="256" t="s">
        <v>191</v>
      </c>
      <c r="G31" s="94" t="s">
        <v>561</v>
      </c>
      <c r="H31" s="257">
        <v>0</v>
      </c>
    </row>
    <row r="32" spans="5:27" x14ac:dyDescent="0.25">
      <c r="F32" s="256" t="s">
        <v>192</v>
      </c>
      <c r="G32" s="94" t="s">
        <v>561</v>
      </c>
      <c r="H32" s="257">
        <v>10.59127257607375</v>
      </c>
    </row>
    <row r="33" spans="5:16" x14ac:dyDescent="0.25">
      <c r="F33" s="256" t="s">
        <v>193</v>
      </c>
      <c r="G33" s="94" t="s">
        <v>561</v>
      </c>
      <c r="H33" s="257">
        <v>1.5231719153457122</v>
      </c>
      <c r="J33" s="97"/>
      <c r="K33" s="97"/>
      <c r="L33" s="97"/>
      <c r="M33" s="97"/>
      <c r="N33" s="97"/>
    </row>
    <row r="34" spans="5:16" x14ac:dyDescent="0.25">
      <c r="F34" s="256" t="s">
        <v>194</v>
      </c>
      <c r="G34" s="94" t="s">
        <v>561</v>
      </c>
      <c r="H34" s="257">
        <v>4.9044809028749308</v>
      </c>
      <c r="J34" s="97"/>
      <c r="K34" s="97"/>
      <c r="L34" s="97"/>
      <c r="M34" s="97"/>
      <c r="N34" s="97"/>
    </row>
    <row r="35" spans="5:16" x14ac:dyDescent="0.25">
      <c r="F35" s="256" t="s">
        <v>195</v>
      </c>
      <c r="G35" s="94" t="s">
        <v>561</v>
      </c>
      <c r="H35" s="257">
        <v>3.9022435414200429</v>
      </c>
      <c r="J35" s="97"/>
      <c r="K35" s="97"/>
      <c r="L35" s="97"/>
      <c r="M35" s="97"/>
      <c r="N35" s="97"/>
    </row>
    <row r="36" spans="5:16" x14ac:dyDescent="0.25">
      <c r="F36" s="256" t="s">
        <v>196</v>
      </c>
      <c r="G36" s="94" t="s">
        <v>561</v>
      </c>
      <c r="H36" s="257">
        <v>0</v>
      </c>
      <c r="J36" s="97"/>
      <c r="K36" s="97"/>
      <c r="L36" s="97"/>
      <c r="M36" s="97"/>
      <c r="N36" s="97"/>
    </row>
    <row r="37" spans="5:16" x14ac:dyDescent="0.25">
      <c r="F37" s="256" t="s">
        <v>197</v>
      </c>
      <c r="G37" s="94" t="s">
        <v>561</v>
      </c>
      <c r="H37" s="257">
        <v>18.25229957262928</v>
      </c>
      <c r="J37" s="97"/>
      <c r="K37" s="97"/>
      <c r="L37" s="97"/>
      <c r="M37" s="97"/>
      <c r="N37" s="97"/>
      <c r="O37" s="97"/>
    </row>
    <row r="38" spans="5:16" x14ac:dyDescent="0.25">
      <c r="F38" s="256" t="s">
        <v>198</v>
      </c>
      <c r="G38" s="94" t="s">
        <v>561</v>
      </c>
      <c r="H38" s="257">
        <v>7.5900387527638191</v>
      </c>
      <c r="J38" s="97"/>
      <c r="K38" s="97"/>
      <c r="L38" s="97"/>
      <c r="M38" s="97"/>
      <c r="N38" s="97"/>
      <c r="O38" s="97"/>
    </row>
    <row r="39" spans="5:16" x14ac:dyDescent="0.25">
      <c r="F39" s="258" t="s">
        <v>199</v>
      </c>
      <c r="G39" s="101" t="s">
        <v>561</v>
      </c>
      <c r="H39" s="259">
        <v>18.980955768936685</v>
      </c>
      <c r="J39" s="97"/>
      <c r="K39" s="97"/>
      <c r="L39" s="97"/>
      <c r="M39" s="97"/>
      <c r="N39" s="97"/>
      <c r="O39" s="97"/>
    </row>
    <row r="40" spans="5:16" x14ac:dyDescent="0.25">
      <c r="G40" s="94"/>
      <c r="H40" s="106"/>
      <c r="J40" s="97"/>
      <c r="K40" s="97"/>
      <c r="L40" s="97"/>
      <c r="M40" s="97"/>
      <c r="N40" s="97"/>
      <c r="O40" s="97"/>
    </row>
    <row r="41" spans="5:16" x14ac:dyDescent="0.25">
      <c r="E41" s="75" t="s">
        <v>574</v>
      </c>
      <c r="F41" s="75"/>
      <c r="H41" s="174"/>
      <c r="I41" s="3"/>
      <c r="J41" s="97"/>
      <c r="K41" s="97"/>
      <c r="L41" s="97"/>
      <c r="M41" s="97"/>
      <c r="N41" s="97"/>
      <c r="O41" s="97"/>
      <c r="P41" s="3"/>
    </row>
    <row r="42" spans="5:16" x14ac:dyDescent="0.25">
      <c r="E42" s="86" t="s">
        <v>575</v>
      </c>
      <c r="F42" s="86"/>
      <c r="H42" s="174"/>
      <c r="I42" s="3"/>
      <c r="J42" s="97"/>
      <c r="K42" s="97"/>
      <c r="L42" s="97"/>
      <c r="M42" s="97"/>
      <c r="N42" s="97"/>
      <c r="O42" s="97"/>
      <c r="P42" s="3"/>
    </row>
    <row r="43" spans="5:16" x14ac:dyDescent="0.25">
      <c r="F43" s="95" t="s">
        <v>189</v>
      </c>
      <c r="G43" s="95" t="s">
        <v>283</v>
      </c>
      <c r="H43" s="171">
        <f t="array" ref="H43:H52">TRANSPOSE('Load &amp; loss characteristics'!J29:S29)</f>
        <v>1</v>
      </c>
      <c r="I43" s="3"/>
      <c r="J43" s="97"/>
      <c r="K43" s="97"/>
      <c r="L43" s="97"/>
      <c r="M43" s="97"/>
      <c r="N43" s="97"/>
      <c r="O43" s="97"/>
    </row>
    <row r="44" spans="5:16" x14ac:dyDescent="0.25">
      <c r="F44" t="s">
        <v>191</v>
      </c>
      <c r="G44" t="s">
        <v>283</v>
      </c>
      <c r="H44" s="167">
        <v>1</v>
      </c>
      <c r="I44" s="3"/>
      <c r="J44" s="97"/>
      <c r="K44" s="97"/>
      <c r="L44" s="97"/>
      <c r="M44" s="97"/>
      <c r="N44" s="97"/>
      <c r="O44" s="97"/>
    </row>
    <row r="45" spans="5:16" x14ac:dyDescent="0.25">
      <c r="F45" t="s">
        <v>192</v>
      </c>
      <c r="G45" t="s">
        <v>283</v>
      </c>
      <c r="H45" s="167">
        <v>1.0009999999999999</v>
      </c>
      <c r="I45" s="3"/>
      <c r="J45" s="97"/>
      <c r="K45" s="97"/>
      <c r="L45" s="97"/>
      <c r="M45" s="97"/>
      <c r="N45" s="97"/>
      <c r="O45" s="97"/>
    </row>
    <row r="46" spans="5:16" x14ac:dyDescent="0.25">
      <c r="F46" t="s">
        <v>193</v>
      </c>
      <c r="G46" t="s">
        <v>283</v>
      </c>
      <c r="H46" s="167">
        <v>1.0049999999999999</v>
      </c>
      <c r="J46" s="97"/>
      <c r="K46" s="97"/>
      <c r="L46" s="97"/>
      <c r="M46" s="97"/>
      <c r="N46" s="97"/>
      <c r="O46" s="97"/>
    </row>
    <row r="47" spans="5:16" x14ac:dyDescent="0.25">
      <c r="F47" t="s">
        <v>194</v>
      </c>
      <c r="G47" t="s">
        <v>283</v>
      </c>
      <c r="H47" s="167">
        <v>1.012</v>
      </c>
      <c r="I47" s="3"/>
      <c r="J47" s="97"/>
      <c r="K47" s="97"/>
      <c r="L47" s="97"/>
      <c r="M47" s="97"/>
      <c r="N47" s="97"/>
      <c r="O47" s="97"/>
    </row>
    <row r="48" spans="5:16" x14ac:dyDescent="0.25">
      <c r="F48" t="s">
        <v>195</v>
      </c>
      <c r="G48" t="s">
        <v>283</v>
      </c>
      <c r="H48" s="167">
        <v>1.018</v>
      </c>
      <c r="I48" s="3"/>
      <c r="J48" s="97"/>
      <c r="K48" s="97"/>
      <c r="L48" s="97"/>
      <c r="M48" s="97"/>
      <c r="N48" s="97"/>
      <c r="O48" s="97"/>
    </row>
    <row r="49" spans="4:25" x14ac:dyDescent="0.25">
      <c r="F49" t="s">
        <v>196</v>
      </c>
      <c r="G49" t="s">
        <v>283</v>
      </c>
      <c r="H49" s="167">
        <v>1.018</v>
      </c>
      <c r="I49" s="3"/>
      <c r="J49" s="97"/>
      <c r="K49" s="97"/>
      <c r="L49" s="97"/>
      <c r="M49" s="97"/>
      <c r="N49" s="97"/>
      <c r="O49" s="97"/>
    </row>
    <row r="50" spans="4:25" x14ac:dyDescent="0.25">
      <c r="F50" t="s">
        <v>197</v>
      </c>
      <c r="G50" t="s">
        <v>283</v>
      </c>
      <c r="H50" s="167">
        <v>1.034</v>
      </c>
      <c r="J50" s="97"/>
      <c r="K50" s="97"/>
      <c r="L50" s="97"/>
      <c r="M50" s="97"/>
      <c r="N50" s="97"/>
      <c r="O50" s="97"/>
    </row>
    <row r="51" spans="4:25" x14ac:dyDescent="0.25">
      <c r="F51" t="s">
        <v>198</v>
      </c>
      <c r="G51" t="s">
        <v>283</v>
      </c>
      <c r="H51" s="167">
        <v>1.048</v>
      </c>
      <c r="I51" s="3"/>
      <c r="J51" s="97"/>
      <c r="K51" s="97"/>
      <c r="L51" s="97"/>
      <c r="M51" s="97"/>
      <c r="N51" s="97"/>
      <c r="O51" s="97"/>
    </row>
    <row r="52" spans="4:25" x14ac:dyDescent="0.25">
      <c r="F52" s="96" t="s">
        <v>199</v>
      </c>
      <c r="G52" s="96" t="s">
        <v>283</v>
      </c>
      <c r="H52" s="172">
        <v>1.0620000000000001</v>
      </c>
      <c r="I52" s="3"/>
      <c r="J52" s="97"/>
      <c r="K52" s="97"/>
      <c r="L52" s="97"/>
      <c r="M52" s="97"/>
      <c r="N52" s="97"/>
      <c r="O52" s="97"/>
    </row>
    <row r="53" spans="4:25" x14ac:dyDescent="0.25">
      <c r="G53" s="94"/>
      <c r="H53" s="3"/>
      <c r="I53" s="3"/>
      <c r="J53" s="97"/>
      <c r="K53" s="97"/>
      <c r="L53" s="97"/>
      <c r="M53" s="97"/>
      <c r="N53" s="97"/>
      <c r="O53" s="97"/>
    </row>
    <row r="54" spans="4:25" x14ac:dyDescent="0.25">
      <c r="E54" s="75" t="s">
        <v>366</v>
      </c>
      <c r="F54" s="75"/>
      <c r="J54" s="97"/>
      <c r="L54" s="97"/>
    </row>
    <row r="55" spans="4:25" x14ac:dyDescent="0.25">
      <c r="D55" s="75"/>
      <c r="E55" s="75"/>
      <c r="F55" s="255" t="s">
        <v>189</v>
      </c>
      <c r="G55" s="95" t="s">
        <v>283</v>
      </c>
      <c r="H55" s="95"/>
      <c r="I55" s="95"/>
      <c r="J55" s="260">
        <f t="array" ref="J55:Y64">TRANSPOSE('Load &amp; loss characteristics'!J145:S160)</f>
        <v>1.0620000000000001</v>
      </c>
      <c r="K55" s="260">
        <v>1.0620000000000001</v>
      </c>
      <c r="L55" s="260">
        <v>1.0620000000000001</v>
      </c>
      <c r="M55" s="260">
        <v>1.0620000000000001</v>
      </c>
      <c r="N55" s="260">
        <v>1.0620000000000001</v>
      </c>
      <c r="O55" s="260">
        <v>1.048</v>
      </c>
      <c r="P55" s="260">
        <v>1.034</v>
      </c>
      <c r="Q55" s="260">
        <v>1.0620000000000001</v>
      </c>
      <c r="R55" s="260">
        <v>-1.0620000000000001</v>
      </c>
      <c r="S55" s="260">
        <v>-1.048</v>
      </c>
      <c r="T55" s="260">
        <v>-1.0620000000000001</v>
      </c>
      <c r="U55" s="260">
        <v>-1.0620000000000001</v>
      </c>
      <c r="V55" s="260">
        <v>-1.048</v>
      </c>
      <c r="W55" s="260">
        <v>-1.048</v>
      </c>
      <c r="X55" s="260">
        <v>-1.034</v>
      </c>
      <c r="Y55" s="260">
        <v>-1.034</v>
      </c>
    </row>
    <row r="56" spans="4:25" x14ac:dyDescent="0.25">
      <c r="D56" s="75"/>
      <c r="E56" s="75"/>
      <c r="F56" s="256" t="s">
        <v>191</v>
      </c>
      <c r="G56" t="s">
        <v>283</v>
      </c>
      <c r="J56" s="257">
        <v>1.0620000000000001</v>
      </c>
      <c r="K56" s="257">
        <v>1.0620000000000001</v>
      </c>
      <c r="L56" s="257">
        <v>1.0620000000000001</v>
      </c>
      <c r="M56" s="257">
        <v>1.0620000000000001</v>
      </c>
      <c r="N56" s="257">
        <v>1.0620000000000001</v>
      </c>
      <c r="O56" s="257">
        <v>1.048</v>
      </c>
      <c r="P56" s="257">
        <v>1.034</v>
      </c>
      <c r="Q56" s="257">
        <v>1.0620000000000001</v>
      </c>
      <c r="R56" s="257">
        <v>-1.0620000000000001</v>
      </c>
      <c r="S56" s="257">
        <v>-1.048</v>
      </c>
      <c r="T56" s="257">
        <v>-1.0620000000000001</v>
      </c>
      <c r="U56" s="257">
        <v>-1.0620000000000001</v>
      </c>
      <c r="V56" s="257">
        <v>-1.048</v>
      </c>
      <c r="W56" s="257">
        <v>-1.048</v>
      </c>
      <c r="X56" s="257">
        <v>-1.034</v>
      </c>
      <c r="Y56" s="257">
        <v>-1.034</v>
      </c>
    </row>
    <row r="57" spans="4:25" x14ac:dyDescent="0.25">
      <c r="D57" s="75"/>
      <c r="E57" s="75"/>
      <c r="F57" s="256" t="s">
        <v>192</v>
      </c>
      <c r="G57" t="s">
        <v>283</v>
      </c>
      <c r="J57" s="257">
        <v>1.0620000000000001</v>
      </c>
      <c r="K57" s="257">
        <v>1.0620000000000001</v>
      </c>
      <c r="L57" s="257">
        <v>1.0620000000000001</v>
      </c>
      <c r="M57" s="257">
        <v>1.0620000000000001</v>
      </c>
      <c r="N57" s="257">
        <v>1.0620000000000001</v>
      </c>
      <c r="O57" s="257">
        <v>1.048</v>
      </c>
      <c r="P57" s="257">
        <v>1.034</v>
      </c>
      <c r="Q57" s="257">
        <v>1.0620000000000001</v>
      </c>
      <c r="R57" s="257">
        <v>-1.0620000000000001</v>
      </c>
      <c r="S57" s="257">
        <v>-1.048</v>
      </c>
      <c r="T57" s="257">
        <v>-1.0620000000000001</v>
      </c>
      <c r="U57" s="257">
        <v>-1.0620000000000001</v>
      </c>
      <c r="V57" s="257">
        <v>-1.048</v>
      </c>
      <c r="W57" s="257">
        <v>-1.048</v>
      </c>
      <c r="X57" s="257">
        <v>-1.034</v>
      </c>
      <c r="Y57" s="257">
        <v>-1.034</v>
      </c>
    </row>
    <row r="58" spans="4:25" x14ac:dyDescent="0.25">
      <c r="D58" s="75"/>
      <c r="E58" s="75"/>
      <c r="F58" s="256" t="s">
        <v>193</v>
      </c>
      <c r="G58" t="s">
        <v>283</v>
      </c>
      <c r="J58" s="257">
        <v>1.0620000000000001</v>
      </c>
      <c r="K58" s="257">
        <v>1.0620000000000001</v>
      </c>
      <c r="L58" s="257">
        <v>1.0620000000000001</v>
      </c>
      <c r="M58" s="257">
        <v>1.0620000000000001</v>
      </c>
      <c r="N58" s="257">
        <v>1.0620000000000001</v>
      </c>
      <c r="O58" s="257">
        <v>1.048</v>
      </c>
      <c r="P58" s="257">
        <v>1.034</v>
      </c>
      <c r="Q58" s="257">
        <v>1.0620000000000001</v>
      </c>
      <c r="R58" s="257">
        <v>-1.0620000000000001</v>
      </c>
      <c r="S58" s="257">
        <v>-1.048</v>
      </c>
      <c r="T58" s="257">
        <v>-1.0620000000000001</v>
      </c>
      <c r="U58" s="257">
        <v>-1.0620000000000001</v>
      </c>
      <c r="V58" s="257">
        <v>-1.048</v>
      </c>
      <c r="W58" s="257">
        <v>-1.048</v>
      </c>
      <c r="X58" s="257">
        <v>-1.034</v>
      </c>
      <c r="Y58" s="257">
        <v>-1.034</v>
      </c>
    </row>
    <row r="59" spans="4:25" x14ac:dyDescent="0.25">
      <c r="D59" s="75"/>
      <c r="E59" s="75"/>
      <c r="F59" s="256" t="s">
        <v>194</v>
      </c>
      <c r="G59" t="s">
        <v>283</v>
      </c>
      <c r="J59" s="257">
        <v>1.0620000000000001</v>
      </c>
      <c r="K59" s="257">
        <v>1.0620000000000001</v>
      </c>
      <c r="L59" s="257">
        <v>1.0620000000000001</v>
      </c>
      <c r="M59" s="257">
        <v>1.0620000000000001</v>
      </c>
      <c r="N59" s="257">
        <v>1.0620000000000001</v>
      </c>
      <c r="O59" s="257">
        <v>1.048</v>
      </c>
      <c r="P59" s="257">
        <v>1.034</v>
      </c>
      <c r="Q59" s="257">
        <v>1.0620000000000001</v>
      </c>
      <c r="R59" s="257">
        <v>-1.0620000000000001</v>
      </c>
      <c r="S59" s="257">
        <v>-1.048</v>
      </c>
      <c r="T59" s="257">
        <v>-1.0620000000000001</v>
      </c>
      <c r="U59" s="257">
        <v>-1.0620000000000001</v>
      </c>
      <c r="V59" s="257">
        <v>-1.048</v>
      </c>
      <c r="W59" s="257">
        <v>-1.048</v>
      </c>
      <c r="X59" s="257">
        <v>-1.034</v>
      </c>
      <c r="Y59" s="257">
        <v>-1.034</v>
      </c>
    </row>
    <row r="60" spans="4:25" x14ac:dyDescent="0.25">
      <c r="D60" s="75"/>
      <c r="E60" s="75"/>
      <c r="F60" s="256" t="s">
        <v>195</v>
      </c>
      <c r="G60" t="s">
        <v>283</v>
      </c>
      <c r="J60" s="257">
        <v>1.0620000000000001</v>
      </c>
      <c r="K60" s="257">
        <v>1.0620000000000001</v>
      </c>
      <c r="L60" s="257">
        <v>1.0620000000000001</v>
      </c>
      <c r="M60" s="257">
        <v>1.0620000000000001</v>
      </c>
      <c r="N60" s="257">
        <v>1.0620000000000001</v>
      </c>
      <c r="O60" s="257">
        <v>1.048</v>
      </c>
      <c r="P60" s="257">
        <v>1.034</v>
      </c>
      <c r="Q60" s="257">
        <v>1.0620000000000001</v>
      </c>
      <c r="R60" s="257">
        <v>-1.0620000000000001</v>
      </c>
      <c r="S60" s="257">
        <v>-1.048</v>
      </c>
      <c r="T60" s="257">
        <v>-1.0620000000000001</v>
      </c>
      <c r="U60" s="257">
        <v>-1.0620000000000001</v>
      </c>
      <c r="V60" s="257">
        <v>-1.048</v>
      </c>
      <c r="W60" s="257">
        <v>-1.048</v>
      </c>
      <c r="X60" s="257">
        <v>-1.034</v>
      </c>
      <c r="Y60" s="257">
        <v>-1.034</v>
      </c>
    </row>
    <row r="61" spans="4:25" x14ac:dyDescent="0.25">
      <c r="D61" s="75"/>
      <c r="E61" s="75"/>
      <c r="F61" s="256" t="s">
        <v>196</v>
      </c>
      <c r="G61" t="s">
        <v>283</v>
      </c>
      <c r="J61" s="257">
        <v>0</v>
      </c>
      <c r="K61" s="257">
        <v>0</v>
      </c>
      <c r="L61" s="257">
        <v>0</v>
      </c>
      <c r="M61" s="257">
        <v>0</v>
      </c>
      <c r="N61" s="257">
        <v>0</v>
      </c>
      <c r="O61" s="257">
        <v>0</v>
      </c>
      <c r="P61" s="257">
        <v>0</v>
      </c>
      <c r="Q61" s="257">
        <v>0</v>
      </c>
      <c r="R61" s="257">
        <v>0</v>
      </c>
      <c r="S61" s="257">
        <v>0</v>
      </c>
      <c r="T61" s="257">
        <v>0</v>
      </c>
      <c r="U61" s="257">
        <v>0</v>
      </c>
      <c r="V61" s="257">
        <v>0</v>
      </c>
      <c r="W61" s="257">
        <v>0</v>
      </c>
      <c r="X61" s="257">
        <v>0</v>
      </c>
      <c r="Y61" s="257">
        <v>0</v>
      </c>
    </row>
    <row r="62" spans="4:25" x14ac:dyDescent="0.25">
      <c r="D62" s="75"/>
      <c r="E62" s="75"/>
      <c r="F62" s="256" t="s">
        <v>197</v>
      </c>
      <c r="G62" t="s">
        <v>283</v>
      </c>
      <c r="J62" s="257">
        <v>1.0620000000000001</v>
      </c>
      <c r="K62" s="257">
        <v>1.0620000000000001</v>
      </c>
      <c r="L62" s="257">
        <v>1.0620000000000001</v>
      </c>
      <c r="M62" s="257">
        <v>1.0620000000000001</v>
      </c>
      <c r="N62" s="257">
        <v>1.0620000000000001</v>
      </c>
      <c r="O62" s="257">
        <v>1.048</v>
      </c>
      <c r="P62" s="257">
        <v>1.034</v>
      </c>
      <c r="Q62" s="257">
        <v>1.0620000000000001</v>
      </c>
      <c r="R62" s="257">
        <v>-1.0620000000000001</v>
      </c>
      <c r="S62" s="257">
        <v>-1.048</v>
      </c>
      <c r="T62" s="257">
        <v>-1.0620000000000001</v>
      </c>
      <c r="U62" s="257">
        <v>-1.0620000000000001</v>
      </c>
      <c r="V62" s="257">
        <v>-1.048</v>
      </c>
      <c r="W62" s="257">
        <v>-1.048</v>
      </c>
      <c r="X62" s="257">
        <v>0</v>
      </c>
      <c r="Y62" s="257">
        <v>0</v>
      </c>
    </row>
    <row r="63" spans="4:25" x14ac:dyDescent="0.25">
      <c r="D63" s="75"/>
      <c r="E63" s="75"/>
      <c r="F63" s="256" t="s">
        <v>198</v>
      </c>
      <c r="G63" t="s">
        <v>283</v>
      </c>
      <c r="J63" s="257">
        <v>1.0620000000000001</v>
      </c>
      <c r="K63" s="257">
        <v>1.0620000000000001</v>
      </c>
      <c r="L63" s="257">
        <v>1.0620000000000001</v>
      </c>
      <c r="M63" s="257">
        <v>1.0620000000000001</v>
      </c>
      <c r="N63" s="257">
        <v>1.0620000000000001</v>
      </c>
      <c r="O63" s="257">
        <v>1.048</v>
      </c>
      <c r="P63" s="257">
        <v>0</v>
      </c>
      <c r="Q63" s="257">
        <v>1.0620000000000001</v>
      </c>
      <c r="R63" s="257">
        <v>-1.0620000000000001</v>
      </c>
      <c r="S63" s="257">
        <v>0</v>
      </c>
      <c r="T63" s="257">
        <v>-1.0620000000000001</v>
      </c>
      <c r="U63" s="257">
        <v>-1.0620000000000001</v>
      </c>
      <c r="V63" s="257">
        <v>0</v>
      </c>
      <c r="W63" s="257">
        <v>0</v>
      </c>
      <c r="X63" s="257">
        <v>0</v>
      </c>
      <c r="Y63" s="257">
        <v>0</v>
      </c>
    </row>
    <row r="64" spans="4:25" x14ac:dyDescent="0.25">
      <c r="D64" s="75"/>
      <c r="E64" s="75"/>
      <c r="F64" s="258" t="s">
        <v>199</v>
      </c>
      <c r="G64" s="96" t="s">
        <v>283</v>
      </c>
      <c r="H64" s="96"/>
      <c r="I64" s="96"/>
      <c r="J64" s="259">
        <v>1.0620000000000001</v>
      </c>
      <c r="K64" s="259">
        <v>1.0620000000000001</v>
      </c>
      <c r="L64" s="259">
        <v>1.0620000000000001</v>
      </c>
      <c r="M64" s="259">
        <v>1.0620000000000001</v>
      </c>
      <c r="N64" s="259">
        <v>1.0620000000000001</v>
      </c>
      <c r="O64" s="259">
        <v>0</v>
      </c>
      <c r="P64" s="259">
        <v>0</v>
      </c>
      <c r="Q64" s="259">
        <v>1.0620000000000001</v>
      </c>
      <c r="R64" s="259">
        <v>0</v>
      </c>
      <c r="S64" s="259">
        <v>0</v>
      </c>
      <c r="T64" s="259">
        <v>0</v>
      </c>
      <c r="U64" s="259">
        <v>0</v>
      </c>
      <c r="V64" s="259">
        <v>0</v>
      </c>
      <c r="W64" s="259">
        <v>0</v>
      </c>
      <c r="X64" s="259">
        <v>0</v>
      </c>
      <c r="Y64" s="259">
        <v>0</v>
      </c>
    </row>
    <row r="65" spans="3:25" x14ac:dyDescent="0.25">
      <c r="D65" s="75"/>
      <c r="E65" s="75"/>
      <c r="J65" s="261"/>
      <c r="K65" s="261"/>
      <c r="L65" s="261"/>
      <c r="M65" s="261"/>
      <c r="N65" s="261"/>
      <c r="O65" s="261"/>
      <c r="P65" s="261"/>
      <c r="Q65" s="261"/>
      <c r="R65" s="261"/>
      <c r="S65" s="261"/>
      <c r="T65" s="261"/>
      <c r="U65" s="261"/>
      <c r="V65" s="261"/>
      <c r="W65" s="261"/>
      <c r="X65" s="261"/>
      <c r="Y65" s="261"/>
    </row>
    <row r="66" spans="3:25" x14ac:dyDescent="0.25">
      <c r="E66" s="75" t="s">
        <v>373</v>
      </c>
      <c r="J66" s="261"/>
      <c r="K66" s="261"/>
      <c r="L66" s="261"/>
      <c r="M66" s="261"/>
      <c r="N66" s="261"/>
      <c r="O66" s="261"/>
      <c r="P66" s="261"/>
      <c r="Q66" s="261"/>
      <c r="R66" s="261"/>
      <c r="S66" s="261"/>
      <c r="T66" s="261"/>
      <c r="U66" s="261"/>
      <c r="V66" s="261"/>
      <c r="W66" s="261"/>
      <c r="X66" s="261"/>
      <c r="Y66" s="261"/>
    </row>
    <row r="67" spans="3:25" x14ac:dyDescent="0.25">
      <c r="D67" s="75"/>
      <c r="E67" s="75"/>
      <c r="F67" s="255" t="s">
        <v>189</v>
      </c>
      <c r="G67" s="98" t="s">
        <v>167</v>
      </c>
      <c r="H67" s="95"/>
      <c r="I67" s="95"/>
      <c r="J67" s="262"/>
      <c r="K67" s="262"/>
      <c r="L67" s="262"/>
      <c r="M67" s="262"/>
      <c r="N67" s="262"/>
      <c r="O67" s="262"/>
      <c r="P67" s="262"/>
      <c r="Q67" s="262"/>
      <c r="R67" s="262"/>
      <c r="S67" s="262"/>
      <c r="T67" s="262"/>
      <c r="U67" s="262"/>
      <c r="V67" s="262"/>
      <c r="W67" s="262"/>
      <c r="X67" s="262"/>
      <c r="Y67" s="262"/>
    </row>
    <row r="68" spans="3:25" x14ac:dyDescent="0.25">
      <c r="D68" s="75"/>
      <c r="E68" s="75"/>
      <c r="F68" s="256" t="s">
        <v>191</v>
      </c>
      <c r="G68" s="94" t="s">
        <v>167</v>
      </c>
      <c r="J68" s="263"/>
      <c r="K68" s="263"/>
      <c r="L68" s="263"/>
      <c r="M68" s="263"/>
      <c r="N68" s="263"/>
      <c r="O68" s="263"/>
      <c r="P68" s="263"/>
      <c r="Q68" s="263"/>
      <c r="R68" s="263"/>
      <c r="S68" s="263"/>
      <c r="T68" s="263"/>
      <c r="U68" s="263"/>
      <c r="V68" s="263"/>
      <c r="W68" s="263"/>
      <c r="X68" s="263"/>
      <c r="Y68" s="263"/>
    </row>
    <row r="69" spans="3:25" x14ac:dyDescent="0.25">
      <c r="D69" s="75"/>
      <c r="E69" s="75"/>
      <c r="F69" s="256" t="s">
        <v>192</v>
      </c>
      <c r="G69" s="94" t="s">
        <v>167</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25">
      <c r="D70" s="75"/>
      <c r="E70" s="75"/>
      <c r="F70" s="256" t="s">
        <v>193</v>
      </c>
      <c r="G70" s="94" t="s">
        <v>167</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25">
      <c r="D71" s="75"/>
      <c r="E71" s="75"/>
      <c r="F71" s="256" t="s">
        <v>194</v>
      </c>
      <c r="G71" s="94" t="s">
        <v>167</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25">
      <c r="D72" s="75"/>
      <c r="E72" s="75"/>
      <c r="F72" s="256" t="s">
        <v>195</v>
      </c>
      <c r="G72" s="94" t="s">
        <v>167</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25">
      <c r="D73" s="75"/>
      <c r="E73" s="75"/>
      <c r="F73" s="256" t="s">
        <v>196</v>
      </c>
      <c r="G73" s="94" t="s">
        <v>167</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25">
      <c r="D74" s="75"/>
      <c r="E74" s="75"/>
      <c r="F74" s="256" t="s">
        <v>197</v>
      </c>
      <c r="G74" s="94" t="s">
        <v>167</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25">
      <c r="D75" s="75"/>
      <c r="E75" s="75"/>
      <c r="F75" s="256" t="s">
        <v>198</v>
      </c>
      <c r="G75" s="94" t="s">
        <v>167</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25">
      <c r="D76" s="75"/>
      <c r="E76" s="75"/>
      <c r="F76" s="258" t="s">
        <v>199</v>
      </c>
      <c r="G76" s="101" t="s">
        <v>167</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25">
      <c r="C77" s="75"/>
      <c r="D77" s="75"/>
      <c r="J77" s="261"/>
      <c r="K77" s="261"/>
      <c r="L77" s="261"/>
      <c r="M77" s="261"/>
      <c r="N77" s="261"/>
      <c r="O77" s="261"/>
      <c r="P77" s="261"/>
      <c r="Q77" s="261"/>
      <c r="R77" s="261"/>
      <c r="S77" s="261"/>
      <c r="T77" s="261"/>
      <c r="U77" s="261"/>
      <c r="V77" s="261"/>
      <c r="W77" s="261"/>
      <c r="X77" s="261"/>
      <c r="Y77" s="261"/>
    </row>
    <row r="78" spans="3:25" x14ac:dyDescent="0.25">
      <c r="E78" s="94" t="s">
        <v>429</v>
      </c>
      <c r="F78" s="94"/>
      <c r="G78" s="94" t="s">
        <v>283</v>
      </c>
      <c r="J78" s="257">
        <f>'Pseudo-load coefficients'!J267</f>
        <v>2.097808643959608</v>
      </c>
      <c r="K78" s="257">
        <f>'Pseudo-load coefficients'!K267</f>
        <v>2.097808643959608</v>
      </c>
      <c r="L78" s="257">
        <f>'Pseudo-load coefficients'!L267</f>
        <v>1.7005354810434328</v>
      </c>
      <c r="M78" s="257">
        <f>'Pseudo-load coefficients'!M267</f>
        <v>1.7005354810434328</v>
      </c>
      <c r="N78" s="257">
        <f>'Pseudo-load coefficients'!N267</f>
        <v>1.4558052491854991</v>
      </c>
      <c r="O78" s="257">
        <f>'Pseudo-load coefficients'!O267</f>
        <v>1.2969964990774232</v>
      </c>
      <c r="P78" s="257">
        <f>'Pseudo-load coefficients'!P267</f>
        <v>1.1524638388454602</v>
      </c>
      <c r="Q78" s="257">
        <f>'Pseudo-load coefficients'!Q267</f>
        <v>1.9844921165155447</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25">
      <c r="D79" s="75"/>
      <c r="J79" s="261"/>
      <c r="K79" s="261"/>
      <c r="L79" s="261"/>
      <c r="M79" s="261"/>
      <c r="N79" s="261"/>
      <c r="O79" s="261"/>
      <c r="P79" s="261"/>
      <c r="Q79" s="261"/>
      <c r="R79" s="261"/>
      <c r="S79" s="261"/>
      <c r="T79" s="261"/>
      <c r="U79" s="261"/>
      <c r="V79" s="261"/>
      <c r="W79" s="261"/>
      <c r="X79" s="261"/>
      <c r="Y79" s="261"/>
    </row>
    <row r="80" spans="3:25" x14ac:dyDescent="0.25">
      <c r="E80" s="75" t="s">
        <v>464</v>
      </c>
      <c r="J80" s="261"/>
      <c r="K80" s="261"/>
      <c r="L80" s="261"/>
      <c r="M80" s="261"/>
      <c r="N80" s="261"/>
      <c r="O80" s="261"/>
      <c r="P80" s="261"/>
      <c r="Q80" s="261"/>
      <c r="R80" s="261"/>
      <c r="S80" s="261"/>
      <c r="T80" s="261"/>
      <c r="U80" s="261"/>
      <c r="V80" s="261"/>
      <c r="W80" s="261"/>
      <c r="X80" s="261"/>
      <c r="Y80" s="261"/>
    </row>
    <row r="81" spans="5:25" x14ac:dyDescent="0.25">
      <c r="E81" s="75"/>
      <c r="F81" s="255" t="s">
        <v>189</v>
      </c>
      <c r="G81" s="98" t="s">
        <v>283</v>
      </c>
      <c r="H81" s="95"/>
      <c r="I81" s="95"/>
      <c r="J81" s="264">
        <f>'Pseudo-load coefficients'!J272</f>
        <v>26.329347999920454</v>
      </c>
      <c r="K81" s="264">
        <f>'Pseudo-load coefficients'!K272</f>
        <v>26.329347999920454</v>
      </c>
      <c r="L81" s="264">
        <f>'Pseudo-load coefficients'!L272</f>
        <v>28.007133956844726</v>
      </c>
      <c r="M81" s="264">
        <f>'Pseudo-load coefficients'!M272</f>
        <v>28.007133956844726</v>
      </c>
      <c r="N81" s="264">
        <f>'Pseudo-load coefficients'!N272</f>
        <v>21.298270198975541</v>
      </c>
      <c r="O81" s="264">
        <f>'Pseudo-load coefficients'!O272</f>
        <v>19.932694191927393</v>
      </c>
      <c r="P81" s="264">
        <f>'Pseudo-load coefficients'!P272</f>
        <v>18.513563330887099</v>
      </c>
      <c r="Q81" s="264">
        <f>'Pseudo-load coefficients'!Q272</f>
        <v>62.497657473038942</v>
      </c>
      <c r="R81" s="264">
        <f>'Pseudo-load coefficients'!R272</f>
        <v>16.781609195402297</v>
      </c>
      <c r="S81" s="264">
        <f>'Pseudo-load coefficients'!S272</f>
        <v>16.781609195402297</v>
      </c>
      <c r="T81" s="264">
        <f>'Pseudo-load coefficients'!T272</f>
        <v>16.781609195402297</v>
      </c>
      <c r="U81" s="264">
        <f>'Pseudo-load coefficients'!U272</f>
        <v>16.781609195402297</v>
      </c>
      <c r="V81" s="264">
        <f>'Pseudo-load coefficients'!V272</f>
        <v>16.781609195402297</v>
      </c>
      <c r="W81" s="264">
        <f>'Pseudo-load coefficients'!W272</f>
        <v>16.781609195402297</v>
      </c>
      <c r="X81" s="264">
        <f>'Pseudo-load coefficients'!X272</f>
        <v>16.781609195402297</v>
      </c>
      <c r="Y81" s="264">
        <f>'Pseudo-load coefficients'!Y272</f>
        <v>16.781609195402297</v>
      </c>
    </row>
    <row r="82" spans="5:25" x14ac:dyDescent="0.25">
      <c r="E82" s="75"/>
      <c r="F82" s="256" t="s">
        <v>191</v>
      </c>
      <c r="G82" s="94" t="s">
        <v>283</v>
      </c>
      <c r="J82" s="257">
        <f>'Pseudo-load coefficients'!J272</f>
        <v>26.329347999920454</v>
      </c>
      <c r="K82" s="257">
        <f>'Pseudo-load coefficients'!K272</f>
        <v>26.329347999920454</v>
      </c>
      <c r="L82" s="257">
        <f>'Pseudo-load coefficients'!L272</f>
        <v>28.007133956844726</v>
      </c>
      <c r="M82" s="257">
        <f>'Pseudo-load coefficients'!M272</f>
        <v>28.007133956844726</v>
      </c>
      <c r="N82" s="257">
        <f>'Pseudo-load coefficients'!N272</f>
        <v>21.298270198975541</v>
      </c>
      <c r="O82" s="257">
        <f>'Pseudo-load coefficients'!O272</f>
        <v>19.932694191927393</v>
      </c>
      <c r="P82" s="257">
        <f>'Pseudo-load coefficients'!P272</f>
        <v>18.513563330887099</v>
      </c>
      <c r="Q82" s="257">
        <f>'Pseudo-load coefficients'!Q272</f>
        <v>62.497657473038942</v>
      </c>
      <c r="R82" s="257">
        <f>'Pseudo-load coefficients'!R272</f>
        <v>16.781609195402297</v>
      </c>
      <c r="S82" s="257">
        <f>'Pseudo-load coefficients'!S272</f>
        <v>16.781609195402297</v>
      </c>
      <c r="T82" s="257">
        <f>'Pseudo-load coefficients'!T272</f>
        <v>16.781609195402297</v>
      </c>
      <c r="U82" s="257">
        <f>'Pseudo-load coefficients'!U272</f>
        <v>16.781609195402297</v>
      </c>
      <c r="V82" s="257">
        <f>'Pseudo-load coefficients'!V272</f>
        <v>16.781609195402297</v>
      </c>
      <c r="W82" s="257">
        <f>'Pseudo-load coefficients'!W272</f>
        <v>16.781609195402297</v>
      </c>
      <c r="X82" s="257">
        <f>'Pseudo-load coefficients'!X272</f>
        <v>16.781609195402297</v>
      </c>
      <c r="Y82" s="257">
        <f>'Pseudo-load coefficients'!Y272</f>
        <v>16.781609195402297</v>
      </c>
    </row>
    <row r="83" spans="5:25" x14ac:dyDescent="0.25">
      <c r="E83" s="75"/>
      <c r="F83" s="256" t="s">
        <v>192</v>
      </c>
      <c r="G83" s="94" t="s">
        <v>283</v>
      </c>
      <c r="J83" s="257">
        <f>'Pseudo-load coefficients'!J273</f>
        <v>20.892942740201164</v>
      </c>
      <c r="K83" s="257">
        <f>'Pseudo-load coefficients'!K273</f>
        <v>20.892942740201164</v>
      </c>
      <c r="L83" s="257">
        <f>'Pseudo-load coefficients'!L273</f>
        <v>22.224304455973172</v>
      </c>
      <c r="M83" s="257">
        <f>'Pseudo-load coefficients'!M273</f>
        <v>22.224304455973172</v>
      </c>
      <c r="N83" s="257">
        <f>'Pseudo-load coefficients'!N273</f>
        <v>16.900666880694242</v>
      </c>
      <c r="O83" s="257">
        <f>'Pseudo-load coefficients'!O273</f>
        <v>15.817050935372098</v>
      </c>
      <c r="P83" s="257">
        <f>'Pseudo-load coefficients'!P273</f>
        <v>14.690937982607116</v>
      </c>
      <c r="Q83" s="257">
        <f>'Pseudo-load coefficients'!Q273</f>
        <v>46.690052885216581</v>
      </c>
      <c r="R83" s="257">
        <f>'Pseudo-load coefficients'!R273</f>
        <v>13.3165925722518</v>
      </c>
      <c r="S83" s="257">
        <f>'Pseudo-load coefficients'!S273</f>
        <v>13.3165925722518</v>
      </c>
      <c r="T83" s="257">
        <f>'Pseudo-load coefficients'!T273</f>
        <v>13.3165925722518</v>
      </c>
      <c r="U83" s="257">
        <f>'Pseudo-load coefficients'!U273</f>
        <v>13.3165925722518</v>
      </c>
      <c r="V83" s="257">
        <f>'Pseudo-load coefficients'!V273</f>
        <v>13.3165925722518</v>
      </c>
      <c r="W83" s="257">
        <f>'Pseudo-load coefficients'!W273</f>
        <v>13.3165925722518</v>
      </c>
      <c r="X83" s="257">
        <f>'Pseudo-load coefficients'!X273</f>
        <v>13.3165925722518</v>
      </c>
      <c r="Y83" s="257">
        <f>'Pseudo-load coefficients'!Y273</f>
        <v>13.3165925722518</v>
      </c>
    </row>
    <row r="84" spans="5:25" x14ac:dyDescent="0.25">
      <c r="E84" s="75"/>
      <c r="F84" s="256" t="s">
        <v>193</v>
      </c>
      <c r="G84" s="94" t="s">
        <v>283</v>
      </c>
      <c r="J84" s="257">
        <f>'Pseudo-load coefficients'!J274</f>
        <v>20.892942740201164</v>
      </c>
      <c r="K84" s="257">
        <f>'Pseudo-load coefficients'!K274</f>
        <v>20.892942740201164</v>
      </c>
      <c r="L84" s="257">
        <f>'Pseudo-load coefficients'!L274</f>
        <v>22.224304455973172</v>
      </c>
      <c r="M84" s="257">
        <f>'Pseudo-load coefficients'!M274</f>
        <v>22.224304455973172</v>
      </c>
      <c r="N84" s="257">
        <f>'Pseudo-load coefficients'!N274</f>
        <v>16.900666880694242</v>
      </c>
      <c r="O84" s="257">
        <f>'Pseudo-load coefficients'!O274</f>
        <v>15.817050935372098</v>
      </c>
      <c r="P84" s="257">
        <f>'Pseudo-load coefficients'!P274</f>
        <v>14.690937982607116</v>
      </c>
      <c r="Q84" s="257">
        <f>'Pseudo-load coefficients'!Q274</f>
        <v>46.690052885216581</v>
      </c>
      <c r="R84" s="257">
        <f>'Pseudo-load coefficients'!R274</f>
        <v>13.3165925722518</v>
      </c>
      <c r="S84" s="257">
        <f>'Pseudo-load coefficients'!S274</f>
        <v>13.3165925722518</v>
      </c>
      <c r="T84" s="257">
        <f>'Pseudo-load coefficients'!T274</f>
        <v>13.3165925722518</v>
      </c>
      <c r="U84" s="257">
        <f>'Pseudo-load coefficients'!U274</f>
        <v>13.3165925722518</v>
      </c>
      <c r="V84" s="257">
        <f>'Pseudo-load coefficients'!V274</f>
        <v>13.3165925722518</v>
      </c>
      <c r="W84" s="257">
        <f>'Pseudo-load coefficients'!W274</f>
        <v>13.3165925722518</v>
      </c>
      <c r="X84" s="257">
        <f>'Pseudo-load coefficients'!X274</f>
        <v>13.3165925722518</v>
      </c>
      <c r="Y84" s="257">
        <f>'Pseudo-load coefficients'!Y274</f>
        <v>13.3165925722518</v>
      </c>
    </row>
    <row r="85" spans="5:25" x14ac:dyDescent="0.25">
      <c r="E85" s="75"/>
      <c r="F85" s="256" t="s">
        <v>194</v>
      </c>
      <c r="G85" s="94" t="s">
        <v>283</v>
      </c>
      <c r="J85" s="257">
        <f>'Pseudo-load coefficients'!J275</f>
        <v>14.130324564004347</v>
      </c>
      <c r="K85" s="257">
        <f>'Pseudo-load coefficients'!K275</f>
        <v>14.130324564004347</v>
      </c>
      <c r="L85" s="257">
        <f>'Pseudo-load coefficients'!L275</f>
        <v>15.030751726892703</v>
      </c>
      <c r="M85" s="257">
        <f>'Pseudo-load coefficients'!M275</f>
        <v>15.030751726892703</v>
      </c>
      <c r="N85" s="257">
        <f>'Pseudo-load coefficients'!N275</f>
        <v>11.430266733695611</v>
      </c>
      <c r="O85" s="257">
        <f>'Pseudo-load coefficients'!O275</f>
        <v>10.697395103282821</v>
      </c>
      <c r="P85" s="257">
        <f>'Pseudo-load coefficients'!P275</f>
        <v>9.9357818774120226</v>
      </c>
      <c r="Q85" s="257">
        <f>'Pseudo-load coefficients'!Q275</f>
        <v>31.228826462003401</v>
      </c>
      <c r="R85" s="257">
        <f>'Pseudo-load coefficients'!R275</f>
        <v>9.0062839625968216</v>
      </c>
      <c r="S85" s="257">
        <f>'Pseudo-load coefficients'!S275</f>
        <v>9.0062839625968216</v>
      </c>
      <c r="T85" s="257">
        <f>'Pseudo-load coefficients'!T275</f>
        <v>9.0062839625968216</v>
      </c>
      <c r="U85" s="257">
        <f>'Pseudo-load coefficients'!U275</f>
        <v>9.0062839625968216</v>
      </c>
      <c r="V85" s="257">
        <f>'Pseudo-load coefficients'!V275</f>
        <v>9.0062839625968216</v>
      </c>
      <c r="W85" s="257">
        <f>'Pseudo-load coefficients'!W275</f>
        <v>9.0062839625968216</v>
      </c>
      <c r="X85" s="257">
        <f>'Pseudo-load coefficients'!X275</f>
        <v>9.0062839625968216</v>
      </c>
      <c r="Y85" s="257">
        <f>'Pseudo-load coefficients'!Y275</f>
        <v>9.0062839625968216</v>
      </c>
    </row>
    <row r="86" spans="5:25" x14ac:dyDescent="0.25">
      <c r="E86" s="75"/>
      <c r="F86" s="256" t="s">
        <v>195</v>
      </c>
      <c r="G86" s="94" t="s">
        <v>283</v>
      </c>
      <c r="J86" s="257">
        <f>'Pseudo-load coefficients'!J276</f>
        <v>14.130324564004347</v>
      </c>
      <c r="K86" s="257">
        <f>'Pseudo-load coefficients'!K276</f>
        <v>14.130324564004347</v>
      </c>
      <c r="L86" s="257">
        <f>'Pseudo-load coefficients'!L276</f>
        <v>15.030751726892703</v>
      </c>
      <c r="M86" s="257">
        <f>'Pseudo-load coefficients'!M276</f>
        <v>15.030751726892703</v>
      </c>
      <c r="N86" s="257">
        <f>'Pseudo-load coefficients'!N276</f>
        <v>11.430266733695611</v>
      </c>
      <c r="O86" s="257">
        <f>'Pseudo-load coefficients'!O276</f>
        <v>10.697395103282821</v>
      </c>
      <c r="P86" s="257">
        <f>'Pseudo-load coefficients'!P276</f>
        <v>9.9357818774120226</v>
      </c>
      <c r="Q86" s="257">
        <f>'Pseudo-load coefficients'!Q276</f>
        <v>31.228826462003401</v>
      </c>
      <c r="R86" s="257">
        <f>'Pseudo-load coefficients'!R276</f>
        <v>9.0062839625968216</v>
      </c>
      <c r="S86" s="257">
        <f>'Pseudo-load coefficients'!S276</f>
        <v>9.0062839625968216</v>
      </c>
      <c r="T86" s="257">
        <f>'Pseudo-load coefficients'!T276</f>
        <v>9.0062839625968216</v>
      </c>
      <c r="U86" s="257">
        <f>'Pseudo-load coefficients'!U276</f>
        <v>9.0062839625968216</v>
      </c>
      <c r="V86" s="257">
        <f>'Pseudo-load coefficients'!V276</f>
        <v>9.0062839625968216</v>
      </c>
      <c r="W86" s="257">
        <f>'Pseudo-load coefficients'!W276</f>
        <v>9.0062839625968216</v>
      </c>
      <c r="X86" s="257">
        <f>'Pseudo-load coefficients'!X276</f>
        <v>9.0062839625968216</v>
      </c>
      <c r="Y86" s="257">
        <f>'Pseudo-load coefficients'!Y276</f>
        <v>9.0062839625968216</v>
      </c>
    </row>
    <row r="87" spans="5:25" x14ac:dyDescent="0.25">
      <c r="E87" s="75"/>
      <c r="F87" s="256" t="s">
        <v>196</v>
      </c>
      <c r="G87" s="94" t="s">
        <v>283</v>
      </c>
      <c r="J87" s="257">
        <f>'Pseudo-load coefficients'!J277</f>
        <v>20.892942740201164</v>
      </c>
      <c r="K87" s="257">
        <f>'Pseudo-load coefficients'!K277</f>
        <v>20.892942740201164</v>
      </c>
      <c r="L87" s="257">
        <f>'Pseudo-load coefficients'!L277</f>
        <v>22.224304455973172</v>
      </c>
      <c r="M87" s="257">
        <f>'Pseudo-load coefficients'!M277</f>
        <v>22.224304455973172</v>
      </c>
      <c r="N87" s="257">
        <f>'Pseudo-load coefficients'!N277</f>
        <v>16.900666880694242</v>
      </c>
      <c r="O87" s="257">
        <f>'Pseudo-load coefficients'!O277</f>
        <v>15.817050935372098</v>
      </c>
      <c r="P87" s="257">
        <f>'Pseudo-load coefficients'!P277</f>
        <v>14.690937982607116</v>
      </c>
      <c r="Q87" s="257">
        <f>'Pseudo-load coefficients'!Q277</f>
        <v>46.690052885216581</v>
      </c>
      <c r="R87" s="257">
        <f>'Pseudo-load coefficients'!R277</f>
        <v>13.3165925722518</v>
      </c>
      <c r="S87" s="257">
        <f>'Pseudo-load coefficients'!S277</f>
        <v>13.3165925722518</v>
      </c>
      <c r="T87" s="257">
        <f>'Pseudo-load coefficients'!T277</f>
        <v>13.3165925722518</v>
      </c>
      <c r="U87" s="257">
        <f>'Pseudo-load coefficients'!U277</f>
        <v>13.3165925722518</v>
      </c>
      <c r="V87" s="257">
        <f>'Pseudo-load coefficients'!V277</f>
        <v>13.3165925722518</v>
      </c>
      <c r="W87" s="257">
        <f>'Pseudo-load coefficients'!W277</f>
        <v>13.3165925722518</v>
      </c>
      <c r="X87" s="257">
        <f>'Pseudo-load coefficients'!X277</f>
        <v>13.3165925722518</v>
      </c>
      <c r="Y87" s="257">
        <f>'Pseudo-load coefficients'!Y277</f>
        <v>13.3165925722518</v>
      </c>
    </row>
    <row r="88" spans="5:25" x14ac:dyDescent="0.25">
      <c r="E88" s="75"/>
      <c r="F88" s="256" t="s">
        <v>197</v>
      </c>
      <c r="G88" s="94" t="s">
        <v>283</v>
      </c>
      <c r="J88" s="257">
        <f>'Pseudo-load coefficients'!J278</f>
        <v>14.130324564004347</v>
      </c>
      <c r="K88" s="257">
        <f>'Pseudo-load coefficients'!K278</f>
        <v>14.130324564004347</v>
      </c>
      <c r="L88" s="257">
        <f>'Pseudo-load coefficients'!L278</f>
        <v>15.030751726892703</v>
      </c>
      <c r="M88" s="257">
        <f>'Pseudo-load coefficients'!M278</f>
        <v>15.030751726892703</v>
      </c>
      <c r="N88" s="257">
        <f>'Pseudo-load coefficients'!N278</f>
        <v>11.430266733695611</v>
      </c>
      <c r="O88" s="257">
        <f>'Pseudo-load coefficients'!O278</f>
        <v>10.697395103282821</v>
      </c>
      <c r="P88" s="257">
        <f>'Pseudo-load coefficients'!P278</f>
        <v>9.9357818774120226</v>
      </c>
      <c r="Q88" s="257">
        <f>'Pseudo-load coefficients'!Q278</f>
        <v>31.228826462003401</v>
      </c>
      <c r="R88" s="257">
        <f>'Pseudo-load coefficients'!R278</f>
        <v>9.0062839625968216</v>
      </c>
      <c r="S88" s="257">
        <f>'Pseudo-load coefficients'!S278</f>
        <v>9.0062839625968216</v>
      </c>
      <c r="T88" s="257">
        <f>'Pseudo-load coefficients'!T278</f>
        <v>9.0062839625968216</v>
      </c>
      <c r="U88" s="257">
        <f>'Pseudo-load coefficients'!U278</f>
        <v>9.0062839625968216</v>
      </c>
      <c r="V88" s="257">
        <f>'Pseudo-load coefficients'!V278</f>
        <v>9.0062839625968216</v>
      </c>
      <c r="W88" s="257">
        <f>'Pseudo-load coefficients'!W278</f>
        <v>9.0062839625968216</v>
      </c>
      <c r="X88" s="257">
        <f>'Pseudo-load coefficients'!X278</f>
        <v>9.0062839625968216</v>
      </c>
      <c r="Y88" s="257">
        <f>'Pseudo-load coefficients'!Y278</f>
        <v>9.0062839625968216</v>
      </c>
    </row>
    <row r="89" spans="5:25" x14ac:dyDescent="0.25">
      <c r="E89" s="75"/>
      <c r="F89" s="256" t="s">
        <v>198</v>
      </c>
      <c r="G89" s="94" t="s">
        <v>283</v>
      </c>
      <c r="J89" s="257">
        <f>'Pseudo-load coefficients'!J279</f>
        <v>14.130324564004347</v>
      </c>
      <c r="K89" s="257">
        <f>'Pseudo-load coefficients'!K279</f>
        <v>14.130324564004347</v>
      </c>
      <c r="L89" s="257">
        <f>'Pseudo-load coefficients'!L279</f>
        <v>15.030751726892703</v>
      </c>
      <c r="M89" s="257">
        <f>'Pseudo-load coefficients'!M279</f>
        <v>15.030751726892703</v>
      </c>
      <c r="N89" s="257">
        <f>'Pseudo-load coefficients'!N279</f>
        <v>11.430266733695611</v>
      </c>
      <c r="O89" s="257">
        <f>'Pseudo-load coefficients'!O279</f>
        <v>10.697395103282821</v>
      </c>
      <c r="P89" s="257">
        <f>'Pseudo-load coefficients'!P279</f>
        <v>9.9357818774120226</v>
      </c>
      <c r="Q89" s="257">
        <f>'Pseudo-load coefficients'!Q279</f>
        <v>31.228826462003401</v>
      </c>
      <c r="R89" s="257">
        <f>'Pseudo-load coefficients'!R279</f>
        <v>9.0062839625968216</v>
      </c>
      <c r="S89" s="257">
        <f>'Pseudo-load coefficients'!S279</f>
        <v>9.0062839625968216</v>
      </c>
      <c r="T89" s="257">
        <f>'Pseudo-load coefficients'!T279</f>
        <v>9.0062839625968216</v>
      </c>
      <c r="U89" s="257">
        <f>'Pseudo-load coefficients'!U279</f>
        <v>9.0062839625968216</v>
      </c>
      <c r="V89" s="257">
        <f>'Pseudo-load coefficients'!V279</f>
        <v>9.0062839625968216</v>
      </c>
      <c r="W89" s="257">
        <f>'Pseudo-load coefficients'!W279</f>
        <v>9.0062839625968216</v>
      </c>
      <c r="X89" s="257">
        <f>'Pseudo-load coefficients'!X279</f>
        <v>9.0062839625968216</v>
      </c>
      <c r="Y89" s="257">
        <f>'Pseudo-load coefficients'!Y279</f>
        <v>9.0062839625968216</v>
      </c>
    </row>
    <row r="90" spans="5:25" x14ac:dyDescent="0.25">
      <c r="E90" s="75"/>
      <c r="F90" s="258" t="s">
        <v>199</v>
      </c>
      <c r="G90" s="101" t="s">
        <v>283</v>
      </c>
      <c r="H90" s="96"/>
      <c r="I90" s="96"/>
      <c r="J90" s="259">
        <f>'Pseudo-load coefficients'!J280</f>
        <v>14.130324564004347</v>
      </c>
      <c r="K90" s="259">
        <f>'Pseudo-load coefficients'!K280</f>
        <v>14.130324564004347</v>
      </c>
      <c r="L90" s="259">
        <f>'Pseudo-load coefficients'!L280</f>
        <v>15.030751726892703</v>
      </c>
      <c r="M90" s="259">
        <f>'Pseudo-load coefficients'!M280</f>
        <v>15.030751726892703</v>
      </c>
      <c r="N90" s="259">
        <f>'Pseudo-load coefficients'!N280</f>
        <v>11.430266733695611</v>
      </c>
      <c r="O90" s="259">
        <f>'Pseudo-load coefficients'!O280</f>
        <v>10.697395103282821</v>
      </c>
      <c r="P90" s="259">
        <f>'Pseudo-load coefficients'!P280</f>
        <v>9.9357818774120226</v>
      </c>
      <c r="Q90" s="259">
        <f>'Pseudo-load coefficients'!Q280</f>
        <v>31.228826462003401</v>
      </c>
      <c r="R90" s="259">
        <f>'Pseudo-load coefficients'!R280</f>
        <v>9.0062839625968216</v>
      </c>
      <c r="S90" s="259">
        <f>'Pseudo-load coefficients'!S280</f>
        <v>9.0062839625968216</v>
      </c>
      <c r="T90" s="259">
        <f>'Pseudo-load coefficients'!T280</f>
        <v>9.0062839625968216</v>
      </c>
      <c r="U90" s="259">
        <f>'Pseudo-load coefficients'!U280</f>
        <v>9.0062839625968216</v>
      </c>
      <c r="V90" s="259">
        <f>'Pseudo-load coefficients'!V280</f>
        <v>9.0062839625968216</v>
      </c>
      <c r="W90" s="259">
        <f>'Pseudo-load coefficients'!W280</f>
        <v>9.0062839625968216</v>
      </c>
      <c r="X90" s="259">
        <f>'Pseudo-load coefficients'!X280</f>
        <v>9.0062839625968216</v>
      </c>
      <c r="Y90" s="259">
        <f>'Pseudo-load coefficients'!Y280</f>
        <v>9.0062839625968216</v>
      </c>
    </row>
    <row r="91" spans="5:25" x14ac:dyDescent="0.25">
      <c r="E91" s="75"/>
      <c r="J91" s="261"/>
      <c r="K91" s="261"/>
      <c r="L91" s="261"/>
      <c r="M91" s="261"/>
      <c r="N91" s="261"/>
      <c r="O91" s="261"/>
      <c r="P91" s="261"/>
      <c r="Q91" s="261"/>
      <c r="R91" s="261"/>
      <c r="S91" s="261"/>
      <c r="T91" s="261"/>
      <c r="U91" s="261"/>
      <c r="V91" s="261"/>
      <c r="W91" s="261"/>
      <c r="X91" s="261"/>
      <c r="Y91" s="261"/>
    </row>
    <row r="92" spans="5:25" x14ac:dyDescent="0.25">
      <c r="E92" s="75" t="s">
        <v>467</v>
      </c>
      <c r="J92" s="261"/>
      <c r="K92" s="261"/>
      <c r="L92" s="261"/>
      <c r="M92" s="261"/>
      <c r="N92" s="261"/>
      <c r="O92" s="261"/>
      <c r="P92" s="261"/>
      <c r="Q92" s="261"/>
      <c r="R92" s="261"/>
      <c r="S92" s="261"/>
      <c r="T92" s="261"/>
      <c r="U92" s="261"/>
      <c r="V92" s="261"/>
      <c r="W92" s="261"/>
      <c r="X92" s="261"/>
      <c r="Y92" s="261"/>
    </row>
    <row r="93" spans="5:25" x14ac:dyDescent="0.25">
      <c r="E93" s="75"/>
      <c r="F93" s="255" t="s">
        <v>189</v>
      </c>
      <c r="G93" s="98" t="s">
        <v>283</v>
      </c>
      <c r="H93" s="95"/>
      <c r="I93" s="95"/>
      <c r="J93" s="264">
        <f>'Pseudo-load coefficients'!J283</f>
        <v>0</v>
      </c>
      <c r="K93" s="264">
        <f>'Pseudo-load coefficients'!K283</f>
        <v>0</v>
      </c>
      <c r="L93" s="264">
        <f>'Pseudo-load coefficients'!L283</f>
        <v>0</v>
      </c>
      <c r="M93" s="264">
        <f>'Pseudo-load coefficients'!M283</f>
        <v>0</v>
      </c>
      <c r="N93" s="264">
        <f>'Pseudo-load coefficients'!N283</f>
        <v>0</v>
      </c>
      <c r="O93" s="264">
        <f>'Pseudo-load coefficients'!O283</f>
        <v>0</v>
      </c>
      <c r="P93" s="264">
        <f>'Pseudo-load coefficients'!P283</f>
        <v>0</v>
      </c>
      <c r="Q93" s="264">
        <f>'Pseudo-load coefficients'!Q283</f>
        <v>0.23341553030207277</v>
      </c>
      <c r="R93" s="264">
        <f>'Pseudo-load coefficients'!R283</f>
        <v>0</v>
      </c>
      <c r="S93" s="264">
        <f>'Pseudo-load coefficients'!S283</f>
        <v>0</v>
      </c>
      <c r="T93" s="264">
        <f>'Pseudo-load coefficients'!T283</f>
        <v>0</v>
      </c>
      <c r="U93" s="264">
        <f>'Pseudo-load coefficients'!U283</f>
        <v>0</v>
      </c>
      <c r="V93" s="264">
        <f>'Pseudo-load coefficients'!V283</f>
        <v>0</v>
      </c>
      <c r="W93" s="264">
        <f>'Pseudo-load coefficients'!W283</f>
        <v>0</v>
      </c>
      <c r="X93" s="264">
        <f>'Pseudo-load coefficients'!X283</f>
        <v>0</v>
      </c>
      <c r="Y93" s="264">
        <f>'Pseudo-load coefficients'!Y283</f>
        <v>0</v>
      </c>
    </row>
    <row r="94" spans="5:25" x14ac:dyDescent="0.25">
      <c r="E94" s="75"/>
      <c r="F94" s="256" t="s">
        <v>191</v>
      </c>
      <c r="G94" s="94" t="s">
        <v>283</v>
      </c>
      <c r="J94" s="257">
        <f>'Pseudo-load coefficients'!J283</f>
        <v>0</v>
      </c>
      <c r="K94" s="257">
        <f>'Pseudo-load coefficients'!K283</f>
        <v>0</v>
      </c>
      <c r="L94" s="257">
        <f>'Pseudo-load coefficients'!L283</f>
        <v>0</v>
      </c>
      <c r="M94" s="257">
        <f>'Pseudo-load coefficients'!M283</f>
        <v>0</v>
      </c>
      <c r="N94" s="257">
        <f>'Pseudo-load coefficients'!N283</f>
        <v>0</v>
      </c>
      <c r="O94" s="257">
        <f>'Pseudo-load coefficients'!O283</f>
        <v>0</v>
      </c>
      <c r="P94" s="257">
        <f>'Pseudo-load coefficients'!P283</f>
        <v>0</v>
      </c>
      <c r="Q94" s="257">
        <f>'Pseudo-load coefficients'!Q283</f>
        <v>0.23341553030207277</v>
      </c>
      <c r="R94" s="257">
        <f>'Pseudo-load coefficients'!R283</f>
        <v>0</v>
      </c>
      <c r="S94" s="257">
        <f>'Pseudo-load coefficients'!S283</f>
        <v>0</v>
      </c>
      <c r="T94" s="257">
        <f>'Pseudo-load coefficients'!T283</f>
        <v>0</v>
      </c>
      <c r="U94" s="257">
        <f>'Pseudo-load coefficients'!U283</f>
        <v>0</v>
      </c>
      <c r="V94" s="257">
        <f>'Pseudo-load coefficients'!V283</f>
        <v>0</v>
      </c>
      <c r="W94" s="257">
        <f>'Pseudo-load coefficients'!W283</f>
        <v>0</v>
      </c>
      <c r="X94" s="257">
        <f>'Pseudo-load coefficients'!X283</f>
        <v>0</v>
      </c>
      <c r="Y94" s="257">
        <f>'Pseudo-load coefficients'!Y283</f>
        <v>0</v>
      </c>
    </row>
    <row r="95" spans="5:25" x14ac:dyDescent="0.25">
      <c r="E95" s="75"/>
      <c r="F95" s="256" t="s">
        <v>192</v>
      </c>
      <c r="G95" s="94" t="s">
        <v>283</v>
      </c>
      <c r="J95" s="257">
        <f>'Pseudo-load coefficients'!J284</f>
        <v>0.74661286649407543</v>
      </c>
      <c r="K95" s="257">
        <f>'Pseudo-load coefficients'!K284</f>
        <v>0.74661286649407543</v>
      </c>
      <c r="L95" s="257">
        <f>'Pseudo-load coefficients'!L284</f>
        <v>0.79418930411290745</v>
      </c>
      <c r="M95" s="257">
        <f>'Pseudo-load coefficients'!M284</f>
        <v>0.79418930411290745</v>
      </c>
      <c r="N95" s="257">
        <f>'Pseudo-load coefficients'!N284</f>
        <v>0.60394820884552525</v>
      </c>
      <c r="O95" s="257">
        <f>'Pseudo-load coefficients'!O284</f>
        <v>0.56522500852013802</v>
      </c>
      <c r="P95" s="257">
        <f>'Pseudo-load coefficients'!P284</f>
        <v>0.52498317039734443</v>
      </c>
      <c r="Q95" s="257">
        <f>'Pseudo-load coefficients'!Q284</f>
        <v>0.802627941260325</v>
      </c>
      <c r="R95" s="257">
        <f>'Pseudo-load coefficients'!R284</f>
        <v>0.47587070313326774</v>
      </c>
      <c r="S95" s="257">
        <f>'Pseudo-load coefficients'!S284</f>
        <v>0.47587070313326774</v>
      </c>
      <c r="T95" s="257">
        <f>'Pseudo-load coefficients'!T284</f>
        <v>0.47587070313326774</v>
      </c>
      <c r="U95" s="257">
        <f>'Pseudo-load coefficients'!U284</f>
        <v>0.47587070313326774</v>
      </c>
      <c r="V95" s="257">
        <f>'Pseudo-load coefficients'!V284</f>
        <v>0.47587070313326774</v>
      </c>
      <c r="W95" s="257">
        <f>'Pseudo-load coefficients'!W284</f>
        <v>0.47587070313326774</v>
      </c>
      <c r="X95" s="257">
        <f>'Pseudo-load coefficients'!X284</f>
        <v>0.47587070313326774</v>
      </c>
      <c r="Y95" s="257">
        <f>'Pseudo-load coefficients'!Y284</f>
        <v>0.47587070313326774</v>
      </c>
    </row>
    <row r="96" spans="5:25" x14ac:dyDescent="0.25">
      <c r="E96" s="75"/>
      <c r="F96" s="256" t="s">
        <v>193</v>
      </c>
      <c r="G96" s="94" t="s">
        <v>283</v>
      </c>
      <c r="J96" s="257">
        <f>'Pseudo-load coefficients'!J285</f>
        <v>0.74661286649407543</v>
      </c>
      <c r="K96" s="257">
        <f>'Pseudo-load coefficients'!K285</f>
        <v>0.74661286649407543</v>
      </c>
      <c r="L96" s="257">
        <f>'Pseudo-load coefficients'!L285</f>
        <v>0.79418930411290745</v>
      </c>
      <c r="M96" s="257">
        <f>'Pseudo-load coefficients'!M285</f>
        <v>0.79418930411290745</v>
      </c>
      <c r="N96" s="257">
        <f>'Pseudo-load coefficients'!N285</f>
        <v>0.60394820884552525</v>
      </c>
      <c r="O96" s="257">
        <f>'Pseudo-load coefficients'!O285</f>
        <v>0.56522500852013802</v>
      </c>
      <c r="P96" s="257">
        <f>'Pseudo-load coefficients'!P285</f>
        <v>0.52498317039734443</v>
      </c>
      <c r="Q96" s="257">
        <f>'Pseudo-load coefficients'!Q285</f>
        <v>0.802627941260325</v>
      </c>
      <c r="R96" s="257">
        <f>'Pseudo-load coefficients'!R285</f>
        <v>0.47587070313326774</v>
      </c>
      <c r="S96" s="257">
        <f>'Pseudo-load coefficients'!S285</f>
        <v>0.47587070313326774</v>
      </c>
      <c r="T96" s="257">
        <f>'Pseudo-load coefficients'!T285</f>
        <v>0.47587070313326774</v>
      </c>
      <c r="U96" s="257">
        <f>'Pseudo-load coefficients'!U285</f>
        <v>0.47587070313326774</v>
      </c>
      <c r="V96" s="257">
        <f>'Pseudo-load coefficients'!V285</f>
        <v>0.47587070313326774</v>
      </c>
      <c r="W96" s="257">
        <f>'Pseudo-load coefficients'!W285</f>
        <v>0.47587070313326774</v>
      </c>
      <c r="X96" s="257">
        <f>'Pseudo-load coefficients'!X285</f>
        <v>0.47587070313326774</v>
      </c>
      <c r="Y96" s="257">
        <f>'Pseudo-load coefficients'!Y285</f>
        <v>0.47587070313326774</v>
      </c>
    </row>
    <row r="97" spans="3:25" x14ac:dyDescent="0.25">
      <c r="E97" s="75"/>
      <c r="F97" s="256" t="s">
        <v>194</v>
      </c>
      <c r="G97" s="94" t="s">
        <v>283</v>
      </c>
      <c r="J97" s="257">
        <f>'Pseudo-load coefficients'!J286</f>
        <v>1.5932798380368827</v>
      </c>
      <c r="K97" s="257">
        <f>'Pseudo-load coefficients'!K286</f>
        <v>1.5932798380368827</v>
      </c>
      <c r="L97" s="257">
        <f>'Pseudo-load coefficients'!L286</f>
        <v>1.6948084644850931</v>
      </c>
      <c r="M97" s="257">
        <f>'Pseudo-load coefficients'!M286</f>
        <v>1.6948084644850931</v>
      </c>
      <c r="N97" s="257">
        <f>'Pseudo-load coefficients'!N286</f>
        <v>1.2888319335971417</v>
      </c>
      <c r="O97" s="257">
        <f>'Pseudo-load coefficients'!O286</f>
        <v>1.2061962101700632</v>
      </c>
      <c r="P97" s="257">
        <f>'Pseudo-load coefficients'!P286</f>
        <v>1.1203196974497995</v>
      </c>
      <c r="Q97" s="257">
        <f>'Pseudo-load coefficients'!Q286</f>
        <v>1.2901704900715163</v>
      </c>
      <c r="R97" s="257">
        <f>'Pseudo-load coefficients'!R286</f>
        <v>1.0155131673192064</v>
      </c>
      <c r="S97" s="257">
        <f>'Pseudo-load coefficients'!S286</f>
        <v>1.0155131673192064</v>
      </c>
      <c r="T97" s="257">
        <f>'Pseudo-load coefficients'!T286</f>
        <v>1.0155131673192064</v>
      </c>
      <c r="U97" s="257">
        <f>'Pseudo-load coefficients'!U286</f>
        <v>1.0155131673192064</v>
      </c>
      <c r="V97" s="257">
        <f>'Pseudo-load coefficients'!V286</f>
        <v>1.0155131673192064</v>
      </c>
      <c r="W97" s="257">
        <f>'Pseudo-load coefficients'!W286</f>
        <v>1.0155131673192064</v>
      </c>
      <c r="X97" s="257">
        <f>'Pseudo-load coefficients'!X286</f>
        <v>1.0155131673192064</v>
      </c>
      <c r="Y97" s="257">
        <f>'Pseudo-load coefficients'!Y286</f>
        <v>1.0155131673192064</v>
      </c>
    </row>
    <row r="98" spans="3:25" x14ac:dyDescent="0.25">
      <c r="E98" s="75"/>
      <c r="F98" s="256" t="s">
        <v>195</v>
      </c>
      <c r="G98" s="94" t="s">
        <v>283</v>
      </c>
      <c r="J98" s="257">
        <f>'Pseudo-load coefficients'!J287</f>
        <v>1.5932798380368827</v>
      </c>
      <c r="K98" s="257">
        <f>'Pseudo-load coefficients'!K287</f>
        <v>1.5932798380368827</v>
      </c>
      <c r="L98" s="257">
        <f>'Pseudo-load coefficients'!L287</f>
        <v>1.6948084644850931</v>
      </c>
      <c r="M98" s="257">
        <f>'Pseudo-load coefficients'!M287</f>
        <v>1.6948084644850931</v>
      </c>
      <c r="N98" s="257">
        <f>'Pseudo-load coefficients'!N287</f>
        <v>1.2888319335971417</v>
      </c>
      <c r="O98" s="257">
        <f>'Pseudo-load coefficients'!O287</f>
        <v>1.2061962101700632</v>
      </c>
      <c r="P98" s="257">
        <f>'Pseudo-load coefficients'!P287</f>
        <v>1.1203196974497995</v>
      </c>
      <c r="Q98" s="257">
        <f>'Pseudo-load coefficients'!Q287</f>
        <v>1.2901704900715163</v>
      </c>
      <c r="R98" s="257">
        <f>'Pseudo-load coefficients'!R287</f>
        <v>1.0155131673192064</v>
      </c>
      <c r="S98" s="257">
        <f>'Pseudo-load coefficients'!S287</f>
        <v>1.0155131673192064</v>
      </c>
      <c r="T98" s="257">
        <f>'Pseudo-load coefficients'!T287</f>
        <v>1.0155131673192064</v>
      </c>
      <c r="U98" s="257">
        <f>'Pseudo-load coefficients'!U287</f>
        <v>1.0155131673192064</v>
      </c>
      <c r="V98" s="257">
        <f>'Pseudo-load coefficients'!V287</f>
        <v>1.0155131673192064</v>
      </c>
      <c r="W98" s="257">
        <f>'Pseudo-load coefficients'!W287</f>
        <v>1.0155131673192064</v>
      </c>
      <c r="X98" s="257">
        <f>'Pseudo-load coefficients'!X287</f>
        <v>1.0155131673192064</v>
      </c>
      <c r="Y98" s="257">
        <f>'Pseudo-load coefficients'!Y287</f>
        <v>1.0155131673192064</v>
      </c>
    </row>
    <row r="99" spans="3:25" x14ac:dyDescent="0.25">
      <c r="E99" s="75"/>
      <c r="F99" s="256" t="s">
        <v>196</v>
      </c>
      <c r="G99" s="94" t="s">
        <v>283</v>
      </c>
      <c r="J99" s="257">
        <f>'Pseudo-load coefficients'!J288</f>
        <v>0.74661286649407543</v>
      </c>
      <c r="K99" s="257">
        <f>'Pseudo-load coefficients'!K288</f>
        <v>0.74661286649407543</v>
      </c>
      <c r="L99" s="257">
        <f>'Pseudo-load coefficients'!L288</f>
        <v>0.79418930411290745</v>
      </c>
      <c r="M99" s="257">
        <f>'Pseudo-load coefficients'!M288</f>
        <v>0.79418930411290745</v>
      </c>
      <c r="N99" s="257">
        <f>'Pseudo-load coefficients'!N288</f>
        <v>0.60394820884552525</v>
      </c>
      <c r="O99" s="257">
        <f>'Pseudo-load coefficients'!O288</f>
        <v>0.56522500852013802</v>
      </c>
      <c r="P99" s="257">
        <f>'Pseudo-load coefficients'!P288</f>
        <v>0.52498317039734443</v>
      </c>
      <c r="Q99" s="257">
        <f>'Pseudo-load coefficients'!Q288</f>
        <v>0.802627941260325</v>
      </c>
      <c r="R99" s="257">
        <f>'Pseudo-load coefficients'!R288</f>
        <v>0.47587070313326774</v>
      </c>
      <c r="S99" s="257">
        <f>'Pseudo-load coefficients'!S288</f>
        <v>0.47587070313326774</v>
      </c>
      <c r="T99" s="257">
        <f>'Pseudo-load coefficients'!T288</f>
        <v>0.47587070313326774</v>
      </c>
      <c r="U99" s="257">
        <f>'Pseudo-load coefficients'!U288</f>
        <v>0.47587070313326774</v>
      </c>
      <c r="V99" s="257">
        <f>'Pseudo-load coefficients'!V288</f>
        <v>0.47587070313326774</v>
      </c>
      <c r="W99" s="257">
        <f>'Pseudo-load coefficients'!W288</f>
        <v>0.47587070313326774</v>
      </c>
      <c r="X99" s="257">
        <f>'Pseudo-load coefficients'!X288</f>
        <v>0.47587070313326774</v>
      </c>
      <c r="Y99" s="257">
        <f>'Pseudo-load coefficients'!Y288</f>
        <v>0.47587070313326774</v>
      </c>
    </row>
    <row r="100" spans="3:25" x14ac:dyDescent="0.25">
      <c r="E100" s="75"/>
      <c r="F100" s="256" t="s">
        <v>197</v>
      </c>
      <c r="G100" s="94" t="s">
        <v>283</v>
      </c>
      <c r="J100" s="257">
        <f>'Pseudo-load coefficients'!J289</f>
        <v>1.5932798380368827</v>
      </c>
      <c r="K100" s="257">
        <f>'Pseudo-load coefficients'!K289</f>
        <v>1.5932798380368827</v>
      </c>
      <c r="L100" s="257">
        <f>'Pseudo-load coefficients'!L289</f>
        <v>1.6948084644850931</v>
      </c>
      <c r="M100" s="257">
        <f>'Pseudo-load coefficients'!M289</f>
        <v>1.6948084644850931</v>
      </c>
      <c r="N100" s="257">
        <f>'Pseudo-load coefficients'!N289</f>
        <v>1.2888319335971417</v>
      </c>
      <c r="O100" s="257">
        <f>'Pseudo-load coefficients'!O289</f>
        <v>1.2061962101700632</v>
      </c>
      <c r="P100" s="257">
        <f>'Pseudo-load coefficients'!P289</f>
        <v>1.1203196974497995</v>
      </c>
      <c r="Q100" s="257">
        <f>'Pseudo-load coefficients'!Q289</f>
        <v>1.2901704900715163</v>
      </c>
      <c r="R100" s="257">
        <f>'Pseudo-load coefficients'!R289</f>
        <v>1.0155131673192064</v>
      </c>
      <c r="S100" s="257">
        <f>'Pseudo-load coefficients'!S289</f>
        <v>1.0155131673192064</v>
      </c>
      <c r="T100" s="257">
        <f>'Pseudo-load coefficients'!T289</f>
        <v>1.0155131673192064</v>
      </c>
      <c r="U100" s="257">
        <f>'Pseudo-load coefficients'!U289</f>
        <v>1.0155131673192064</v>
      </c>
      <c r="V100" s="257">
        <f>'Pseudo-load coefficients'!V289</f>
        <v>1.0155131673192064</v>
      </c>
      <c r="W100" s="257">
        <f>'Pseudo-load coefficients'!W289</f>
        <v>1.0155131673192064</v>
      </c>
      <c r="X100" s="257">
        <f>'Pseudo-load coefficients'!X289</f>
        <v>1.0155131673192064</v>
      </c>
      <c r="Y100" s="257">
        <f>'Pseudo-load coefficients'!Y289</f>
        <v>1.0155131673192064</v>
      </c>
    </row>
    <row r="101" spans="3:25" x14ac:dyDescent="0.25">
      <c r="E101" s="75"/>
      <c r="F101" s="256" t="s">
        <v>198</v>
      </c>
      <c r="G101" s="94" t="s">
        <v>283</v>
      </c>
      <c r="J101" s="257">
        <f>'Pseudo-load coefficients'!J290</f>
        <v>1.5932798380368827</v>
      </c>
      <c r="K101" s="257">
        <f>'Pseudo-load coefficients'!K290</f>
        <v>1.5932798380368827</v>
      </c>
      <c r="L101" s="257">
        <f>'Pseudo-load coefficients'!L290</f>
        <v>1.6948084644850931</v>
      </c>
      <c r="M101" s="257">
        <f>'Pseudo-load coefficients'!M290</f>
        <v>1.6948084644850931</v>
      </c>
      <c r="N101" s="257">
        <f>'Pseudo-load coefficients'!N290</f>
        <v>1.2888319335971417</v>
      </c>
      <c r="O101" s="257">
        <f>'Pseudo-load coefficients'!O290</f>
        <v>1.2061962101700632</v>
      </c>
      <c r="P101" s="257">
        <f>'Pseudo-load coefficients'!P290</f>
        <v>1.1203196974497995</v>
      </c>
      <c r="Q101" s="257">
        <f>'Pseudo-load coefficients'!Q290</f>
        <v>1.2901704900715163</v>
      </c>
      <c r="R101" s="257">
        <f>'Pseudo-load coefficients'!R290</f>
        <v>1.0155131673192064</v>
      </c>
      <c r="S101" s="257">
        <f>'Pseudo-load coefficients'!S290</f>
        <v>1.0155131673192064</v>
      </c>
      <c r="T101" s="257">
        <f>'Pseudo-load coefficients'!T290</f>
        <v>1.0155131673192064</v>
      </c>
      <c r="U101" s="257">
        <f>'Pseudo-load coefficients'!U290</f>
        <v>1.0155131673192064</v>
      </c>
      <c r="V101" s="257">
        <f>'Pseudo-load coefficients'!V290</f>
        <v>1.0155131673192064</v>
      </c>
      <c r="W101" s="257">
        <f>'Pseudo-load coefficients'!W290</f>
        <v>1.0155131673192064</v>
      </c>
      <c r="X101" s="257">
        <f>'Pseudo-load coefficients'!X290</f>
        <v>1.0155131673192064</v>
      </c>
      <c r="Y101" s="257">
        <f>'Pseudo-load coefficients'!Y290</f>
        <v>1.0155131673192064</v>
      </c>
    </row>
    <row r="102" spans="3:25" x14ac:dyDescent="0.25">
      <c r="E102" s="75"/>
      <c r="F102" s="258" t="s">
        <v>199</v>
      </c>
      <c r="G102" s="101" t="s">
        <v>283</v>
      </c>
      <c r="H102" s="96"/>
      <c r="I102" s="96"/>
      <c r="J102" s="259">
        <f>'Pseudo-load coefficients'!J291</f>
        <v>1.5932798380368827</v>
      </c>
      <c r="K102" s="259">
        <f>'Pseudo-load coefficients'!K291</f>
        <v>1.5932798380368827</v>
      </c>
      <c r="L102" s="259">
        <f>'Pseudo-load coefficients'!L291</f>
        <v>1.6948084644850931</v>
      </c>
      <c r="M102" s="259">
        <f>'Pseudo-load coefficients'!M291</f>
        <v>1.6948084644850931</v>
      </c>
      <c r="N102" s="259">
        <f>'Pseudo-load coefficients'!N291</f>
        <v>1.2888319335971417</v>
      </c>
      <c r="O102" s="259">
        <f>'Pseudo-load coefficients'!O291</f>
        <v>1.2061962101700632</v>
      </c>
      <c r="P102" s="259">
        <f>'Pseudo-load coefficients'!P291</f>
        <v>1.1203196974497995</v>
      </c>
      <c r="Q102" s="259">
        <f>'Pseudo-load coefficients'!Q291</f>
        <v>1.2901704900715163</v>
      </c>
      <c r="R102" s="259">
        <f>'Pseudo-load coefficients'!R291</f>
        <v>1.0155131673192064</v>
      </c>
      <c r="S102" s="259">
        <f>'Pseudo-load coefficients'!S291</f>
        <v>1.0155131673192064</v>
      </c>
      <c r="T102" s="259">
        <f>'Pseudo-load coefficients'!T291</f>
        <v>1.0155131673192064</v>
      </c>
      <c r="U102" s="259">
        <f>'Pseudo-load coefficients'!U291</f>
        <v>1.0155131673192064</v>
      </c>
      <c r="V102" s="259">
        <f>'Pseudo-load coefficients'!V291</f>
        <v>1.0155131673192064</v>
      </c>
      <c r="W102" s="259">
        <f>'Pseudo-load coefficients'!W291</f>
        <v>1.0155131673192064</v>
      </c>
      <c r="X102" s="259">
        <f>'Pseudo-load coefficients'!X291</f>
        <v>1.0155131673192064</v>
      </c>
      <c r="Y102" s="259">
        <f>'Pseudo-load coefficients'!Y291</f>
        <v>1.0155131673192064</v>
      </c>
    </row>
    <row r="103" spans="3:25" x14ac:dyDescent="0.25">
      <c r="E103" s="75"/>
      <c r="J103" s="261"/>
      <c r="K103" s="261"/>
      <c r="L103" s="261"/>
      <c r="M103" s="261"/>
      <c r="N103" s="261"/>
      <c r="O103" s="261"/>
      <c r="P103" s="261"/>
      <c r="Q103" s="261"/>
      <c r="R103" s="261"/>
      <c r="S103" s="261"/>
      <c r="T103" s="261"/>
      <c r="U103" s="261"/>
      <c r="V103" s="261"/>
      <c r="W103" s="261"/>
      <c r="X103" s="261"/>
      <c r="Y103" s="261"/>
    </row>
    <row r="104" spans="3:25" x14ac:dyDescent="0.25">
      <c r="E104" s="75" t="s">
        <v>470</v>
      </c>
      <c r="J104" s="261"/>
      <c r="K104" s="261"/>
      <c r="L104" s="261"/>
      <c r="M104" s="261"/>
      <c r="N104" s="261"/>
      <c r="O104" s="261"/>
      <c r="P104" s="261"/>
      <c r="Q104" s="261"/>
      <c r="R104" s="261"/>
      <c r="S104" s="261"/>
      <c r="T104" s="261"/>
      <c r="U104" s="261"/>
      <c r="V104" s="261"/>
      <c r="W104" s="261"/>
      <c r="X104" s="261"/>
      <c r="Y104" s="261"/>
    </row>
    <row r="105" spans="3:25" x14ac:dyDescent="0.25">
      <c r="C105" s="75"/>
      <c r="E105" s="75"/>
      <c r="F105" s="255" t="s">
        <v>189</v>
      </c>
      <c r="G105" s="98" t="s">
        <v>283</v>
      </c>
      <c r="H105" s="95"/>
      <c r="I105" s="95"/>
      <c r="J105" s="264">
        <f>'Pseudo-load coefficients'!J294</f>
        <v>0</v>
      </c>
      <c r="K105" s="264">
        <f>'Pseudo-load coefficients'!K294</f>
        <v>0</v>
      </c>
      <c r="L105" s="264">
        <f>'Pseudo-load coefficients'!L294</f>
        <v>0</v>
      </c>
      <c r="M105" s="264">
        <f>'Pseudo-load coefficients'!M294</f>
        <v>0</v>
      </c>
      <c r="N105" s="264">
        <f>'Pseudo-load coefficients'!N294</f>
        <v>0</v>
      </c>
      <c r="O105" s="264">
        <f>'Pseudo-load coefficients'!O294</f>
        <v>0</v>
      </c>
      <c r="P105" s="264">
        <f>'Pseudo-load coefficients'!P294</f>
        <v>0</v>
      </c>
      <c r="Q105" s="264">
        <f>'Pseudo-load coefficients'!Q294</f>
        <v>0</v>
      </c>
      <c r="R105" s="264">
        <f>'Pseudo-load coefficients'!R294</f>
        <v>0</v>
      </c>
      <c r="S105" s="264">
        <f>'Pseudo-load coefficients'!S294</f>
        <v>0</v>
      </c>
      <c r="T105" s="264">
        <f>'Pseudo-load coefficients'!T294</f>
        <v>0</v>
      </c>
      <c r="U105" s="264">
        <f>'Pseudo-load coefficients'!U294</f>
        <v>0</v>
      </c>
      <c r="V105" s="264">
        <f>'Pseudo-load coefficients'!V294</f>
        <v>0</v>
      </c>
      <c r="W105" s="264">
        <f>'Pseudo-load coefficients'!W294</f>
        <v>0</v>
      </c>
      <c r="X105" s="264">
        <f>'Pseudo-load coefficients'!X294</f>
        <v>0</v>
      </c>
      <c r="Y105" s="264">
        <f>'Pseudo-load coefficients'!Y294</f>
        <v>0</v>
      </c>
    </row>
    <row r="106" spans="3:25" x14ac:dyDescent="0.25">
      <c r="C106" s="75"/>
      <c r="E106" s="75"/>
      <c r="F106" s="256" t="s">
        <v>191</v>
      </c>
      <c r="G106" s="94" t="s">
        <v>283</v>
      </c>
      <c r="J106" s="257">
        <f>'Pseudo-load coefficients'!J294</f>
        <v>0</v>
      </c>
      <c r="K106" s="257">
        <f>'Pseudo-load coefficients'!K294</f>
        <v>0</v>
      </c>
      <c r="L106" s="257">
        <f>'Pseudo-load coefficients'!L294</f>
        <v>0</v>
      </c>
      <c r="M106" s="257">
        <f>'Pseudo-load coefficients'!M294</f>
        <v>0</v>
      </c>
      <c r="N106" s="257">
        <f>'Pseudo-load coefficients'!N294</f>
        <v>0</v>
      </c>
      <c r="O106" s="257">
        <f>'Pseudo-load coefficients'!O294</f>
        <v>0</v>
      </c>
      <c r="P106" s="257">
        <f>'Pseudo-load coefficients'!P294</f>
        <v>0</v>
      </c>
      <c r="Q106" s="257">
        <f>'Pseudo-load coefficients'!Q294</f>
        <v>0</v>
      </c>
      <c r="R106" s="257">
        <f>'Pseudo-load coefficients'!R294</f>
        <v>0</v>
      </c>
      <c r="S106" s="257">
        <f>'Pseudo-load coefficients'!S294</f>
        <v>0</v>
      </c>
      <c r="T106" s="257">
        <f>'Pseudo-load coefficients'!T294</f>
        <v>0</v>
      </c>
      <c r="U106" s="257">
        <f>'Pseudo-load coefficients'!U294</f>
        <v>0</v>
      </c>
      <c r="V106" s="257">
        <f>'Pseudo-load coefficients'!V294</f>
        <v>0</v>
      </c>
      <c r="W106" s="257">
        <f>'Pseudo-load coefficients'!W294</f>
        <v>0</v>
      </c>
      <c r="X106" s="257">
        <f>'Pseudo-load coefficients'!X294</f>
        <v>0</v>
      </c>
      <c r="Y106" s="257">
        <f>'Pseudo-load coefficients'!Y294</f>
        <v>0</v>
      </c>
    </row>
    <row r="107" spans="3:25" x14ac:dyDescent="0.25">
      <c r="C107" s="75"/>
      <c r="E107" s="75"/>
      <c r="F107" s="256" t="s">
        <v>192</v>
      </c>
      <c r="G107" s="94" t="s">
        <v>283</v>
      </c>
      <c r="J107" s="257">
        <f>'Pseudo-load coefficients'!J295</f>
        <v>5.5583820060049118E-2</v>
      </c>
      <c r="K107" s="257">
        <f>'Pseudo-load coefficients'!K295</f>
        <v>5.5583820060049118E-2</v>
      </c>
      <c r="L107" s="257">
        <f>'Pseudo-load coefficients'!L295</f>
        <v>5.9125789755965545E-2</v>
      </c>
      <c r="M107" s="257">
        <f>'Pseudo-load coefficients'!M295</f>
        <v>5.9125789755965545E-2</v>
      </c>
      <c r="N107" s="257">
        <f>'Pseudo-load coefficients'!N295</f>
        <v>4.4962724421954529E-2</v>
      </c>
      <c r="O107" s="257">
        <f>'Pseudo-load coefficients'!O295</f>
        <v>4.207986036264269E-2</v>
      </c>
      <c r="P107" s="257">
        <f>'Pseudo-load coefficients'!P295</f>
        <v>3.9083936786336718E-2</v>
      </c>
      <c r="Q107" s="257">
        <f>'Pseudo-load coefficients'!Q295</f>
        <v>4.1515671246696674E-2</v>
      </c>
      <c r="R107" s="257">
        <f>'Pseudo-load coefficients'!R295</f>
        <v>3.5427612785478964E-2</v>
      </c>
      <c r="S107" s="257">
        <f>'Pseudo-load coefficients'!S295</f>
        <v>3.5427612785478964E-2</v>
      </c>
      <c r="T107" s="257">
        <f>'Pseudo-load coefficients'!T295</f>
        <v>3.5427612785478964E-2</v>
      </c>
      <c r="U107" s="257">
        <f>'Pseudo-load coefficients'!U295</f>
        <v>3.5427612785478964E-2</v>
      </c>
      <c r="V107" s="257">
        <f>'Pseudo-load coefficients'!V295</f>
        <v>3.5427612785478964E-2</v>
      </c>
      <c r="W107" s="257">
        <f>'Pseudo-load coefficients'!W295</f>
        <v>3.5427612785478964E-2</v>
      </c>
      <c r="X107" s="257">
        <f>'Pseudo-load coefficients'!X295</f>
        <v>3.5427612785478964E-2</v>
      </c>
      <c r="Y107" s="257">
        <f>'Pseudo-load coefficients'!Y295</f>
        <v>3.5427612785478964E-2</v>
      </c>
    </row>
    <row r="108" spans="3:25" x14ac:dyDescent="0.25">
      <c r="C108" s="75"/>
      <c r="E108" s="75"/>
      <c r="F108" s="256" t="s">
        <v>193</v>
      </c>
      <c r="G108" s="94" t="s">
        <v>283</v>
      </c>
      <c r="J108" s="257">
        <f>'Pseudo-load coefficients'!J296</f>
        <v>5.5583820060049118E-2</v>
      </c>
      <c r="K108" s="257">
        <f>'Pseudo-load coefficients'!K296</f>
        <v>5.5583820060049118E-2</v>
      </c>
      <c r="L108" s="257">
        <f>'Pseudo-load coefficients'!L296</f>
        <v>5.9125789755965545E-2</v>
      </c>
      <c r="M108" s="257">
        <f>'Pseudo-load coefficients'!M296</f>
        <v>5.9125789755965545E-2</v>
      </c>
      <c r="N108" s="257">
        <f>'Pseudo-load coefficients'!N296</f>
        <v>4.4962724421954529E-2</v>
      </c>
      <c r="O108" s="257">
        <f>'Pseudo-load coefficients'!O296</f>
        <v>4.207986036264269E-2</v>
      </c>
      <c r="P108" s="257">
        <f>'Pseudo-load coefficients'!P296</f>
        <v>3.9083936786336718E-2</v>
      </c>
      <c r="Q108" s="257">
        <f>'Pseudo-load coefficients'!Q296</f>
        <v>4.1515671246696674E-2</v>
      </c>
      <c r="R108" s="257">
        <f>'Pseudo-load coefficients'!R296</f>
        <v>3.5427612785478964E-2</v>
      </c>
      <c r="S108" s="257">
        <f>'Pseudo-load coefficients'!S296</f>
        <v>3.5427612785478964E-2</v>
      </c>
      <c r="T108" s="257">
        <f>'Pseudo-load coefficients'!T296</f>
        <v>3.5427612785478964E-2</v>
      </c>
      <c r="U108" s="257">
        <f>'Pseudo-load coefficients'!U296</f>
        <v>3.5427612785478964E-2</v>
      </c>
      <c r="V108" s="257">
        <f>'Pseudo-load coefficients'!V296</f>
        <v>3.5427612785478964E-2</v>
      </c>
      <c r="W108" s="257">
        <f>'Pseudo-load coefficients'!W296</f>
        <v>3.5427612785478964E-2</v>
      </c>
      <c r="X108" s="257">
        <f>'Pseudo-load coefficients'!X296</f>
        <v>3.5427612785478964E-2</v>
      </c>
      <c r="Y108" s="257">
        <f>'Pseudo-load coefficients'!Y296</f>
        <v>3.5427612785478964E-2</v>
      </c>
    </row>
    <row r="109" spans="3:25" x14ac:dyDescent="0.25">
      <c r="C109" s="75"/>
      <c r="E109" s="75"/>
      <c r="F109" s="256" t="s">
        <v>194</v>
      </c>
      <c r="G109" s="94" t="s">
        <v>283</v>
      </c>
      <c r="J109" s="257">
        <f>'Pseudo-load coefficients'!J297</f>
        <v>0.18369513378164037</v>
      </c>
      <c r="K109" s="257">
        <f>'Pseudo-load coefficients'!K297</f>
        <v>0.18369513378164037</v>
      </c>
      <c r="L109" s="257">
        <f>'Pseudo-load coefficients'!L297</f>
        <v>0.19540074517069159</v>
      </c>
      <c r="M109" s="257">
        <f>'Pseudo-load coefficients'!M297</f>
        <v>0.19540074517069159</v>
      </c>
      <c r="N109" s="257">
        <f>'Pseudo-load coefficients'!N297</f>
        <v>0.14859420725230857</v>
      </c>
      <c r="O109" s="257">
        <f>'Pseudo-load coefficients'!O297</f>
        <v>0.13906682862886274</v>
      </c>
      <c r="P109" s="257">
        <f>'Pseudo-load coefficients'!P297</f>
        <v>0.12916580740443903</v>
      </c>
      <c r="Q109" s="257">
        <f>'Pseudo-load coefficients'!Q297</f>
        <v>0.13720227892681125</v>
      </c>
      <c r="R109" s="257">
        <f>'Pseudo-load coefficients'!R297</f>
        <v>0.11708227435901354</v>
      </c>
      <c r="S109" s="257">
        <f>'Pseudo-load coefficients'!S297</f>
        <v>0.11708227435901354</v>
      </c>
      <c r="T109" s="257">
        <f>'Pseudo-load coefficients'!T297</f>
        <v>0.11708227435901354</v>
      </c>
      <c r="U109" s="257">
        <f>'Pseudo-load coefficients'!U297</f>
        <v>0.11708227435901354</v>
      </c>
      <c r="V109" s="257">
        <f>'Pseudo-load coefficients'!V297</f>
        <v>0.11708227435901354</v>
      </c>
      <c r="W109" s="257">
        <f>'Pseudo-load coefficients'!W297</f>
        <v>0.11708227435901354</v>
      </c>
      <c r="X109" s="257">
        <f>'Pseudo-load coefficients'!X297</f>
        <v>0.11708227435901354</v>
      </c>
      <c r="Y109" s="257">
        <f>'Pseudo-load coefficients'!Y297</f>
        <v>0.11708227435901354</v>
      </c>
    </row>
    <row r="110" spans="3:25" x14ac:dyDescent="0.25">
      <c r="C110" s="75"/>
      <c r="E110" s="75"/>
      <c r="F110" s="256" t="s">
        <v>195</v>
      </c>
      <c r="G110" s="94" t="s">
        <v>283</v>
      </c>
      <c r="J110" s="257">
        <f>'Pseudo-load coefficients'!J298</f>
        <v>0.18369513378164037</v>
      </c>
      <c r="K110" s="257">
        <f>'Pseudo-load coefficients'!K298</f>
        <v>0.18369513378164037</v>
      </c>
      <c r="L110" s="257">
        <f>'Pseudo-load coefficients'!L298</f>
        <v>0.19540074517069159</v>
      </c>
      <c r="M110" s="257">
        <f>'Pseudo-load coefficients'!M298</f>
        <v>0.19540074517069159</v>
      </c>
      <c r="N110" s="257">
        <f>'Pseudo-load coefficients'!N298</f>
        <v>0.14859420725230857</v>
      </c>
      <c r="O110" s="257">
        <f>'Pseudo-load coefficients'!O298</f>
        <v>0.13906682862886274</v>
      </c>
      <c r="P110" s="257">
        <f>'Pseudo-load coefficients'!P298</f>
        <v>0.12916580740443903</v>
      </c>
      <c r="Q110" s="257">
        <f>'Pseudo-load coefficients'!Q298</f>
        <v>0.13720227892681125</v>
      </c>
      <c r="R110" s="257">
        <f>'Pseudo-load coefficients'!R298</f>
        <v>0.11708227435901354</v>
      </c>
      <c r="S110" s="257">
        <f>'Pseudo-load coefficients'!S298</f>
        <v>0.11708227435901354</v>
      </c>
      <c r="T110" s="257">
        <f>'Pseudo-load coefficients'!T298</f>
        <v>0.11708227435901354</v>
      </c>
      <c r="U110" s="257">
        <f>'Pseudo-load coefficients'!U298</f>
        <v>0.11708227435901354</v>
      </c>
      <c r="V110" s="257">
        <f>'Pseudo-load coefficients'!V298</f>
        <v>0.11708227435901354</v>
      </c>
      <c r="W110" s="257">
        <f>'Pseudo-load coefficients'!W298</f>
        <v>0.11708227435901354</v>
      </c>
      <c r="X110" s="257">
        <f>'Pseudo-load coefficients'!X298</f>
        <v>0.11708227435901354</v>
      </c>
      <c r="Y110" s="257">
        <f>'Pseudo-load coefficients'!Y298</f>
        <v>0.11708227435901354</v>
      </c>
    </row>
    <row r="111" spans="3:25" x14ac:dyDescent="0.25">
      <c r="C111" s="75"/>
      <c r="E111" s="75"/>
      <c r="F111" s="256" t="s">
        <v>196</v>
      </c>
      <c r="G111" s="94" t="s">
        <v>283</v>
      </c>
      <c r="J111" s="257">
        <f>'Pseudo-load coefficients'!J299</f>
        <v>5.5583820060049118E-2</v>
      </c>
      <c r="K111" s="257">
        <f>'Pseudo-load coefficients'!K299</f>
        <v>5.5583820060049118E-2</v>
      </c>
      <c r="L111" s="257">
        <f>'Pseudo-load coefficients'!L299</f>
        <v>5.9125789755965545E-2</v>
      </c>
      <c r="M111" s="257">
        <f>'Pseudo-load coefficients'!M299</f>
        <v>5.9125789755965545E-2</v>
      </c>
      <c r="N111" s="257">
        <f>'Pseudo-load coefficients'!N299</f>
        <v>4.4962724421954529E-2</v>
      </c>
      <c r="O111" s="257">
        <f>'Pseudo-load coefficients'!O299</f>
        <v>4.207986036264269E-2</v>
      </c>
      <c r="P111" s="257">
        <f>'Pseudo-load coefficients'!P299</f>
        <v>3.9083936786336718E-2</v>
      </c>
      <c r="Q111" s="257">
        <f>'Pseudo-load coefficients'!Q299</f>
        <v>4.1515671246696674E-2</v>
      </c>
      <c r="R111" s="257">
        <f>'Pseudo-load coefficients'!R299</f>
        <v>3.5427612785478964E-2</v>
      </c>
      <c r="S111" s="257">
        <f>'Pseudo-load coefficients'!S299</f>
        <v>3.5427612785478964E-2</v>
      </c>
      <c r="T111" s="257">
        <f>'Pseudo-load coefficients'!T299</f>
        <v>3.5427612785478964E-2</v>
      </c>
      <c r="U111" s="257">
        <f>'Pseudo-load coefficients'!U299</f>
        <v>3.5427612785478964E-2</v>
      </c>
      <c r="V111" s="257">
        <f>'Pseudo-load coefficients'!V299</f>
        <v>3.5427612785478964E-2</v>
      </c>
      <c r="W111" s="257">
        <f>'Pseudo-load coefficients'!W299</f>
        <v>3.5427612785478964E-2</v>
      </c>
      <c r="X111" s="257">
        <f>'Pseudo-load coefficients'!X299</f>
        <v>3.5427612785478964E-2</v>
      </c>
      <c r="Y111" s="257">
        <f>'Pseudo-load coefficients'!Y299</f>
        <v>3.5427612785478964E-2</v>
      </c>
    </row>
    <row r="112" spans="3:25" x14ac:dyDescent="0.25">
      <c r="C112" s="75"/>
      <c r="E112" s="75"/>
      <c r="F112" s="256" t="s">
        <v>197</v>
      </c>
      <c r="G112" s="94" t="s">
        <v>283</v>
      </c>
      <c r="J112" s="257">
        <f>'Pseudo-load coefficients'!J300</f>
        <v>0.18369513378164037</v>
      </c>
      <c r="K112" s="257">
        <f>'Pseudo-load coefficients'!K300</f>
        <v>0.18369513378164037</v>
      </c>
      <c r="L112" s="257">
        <f>'Pseudo-load coefficients'!L300</f>
        <v>0.19540074517069159</v>
      </c>
      <c r="M112" s="257">
        <f>'Pseudo-load coefficients'!M300</f>
        <v>0.19540074517069159</v>
      </c>
      <c r="N112" s="257">
        <f>'Pseudo-load coefficients'!N300</f>
        <v>0.14859420725230857</v>
      </c>
      <c r="O112" s="257">
        <f>'Pseudo-load coefficients'!O300</f>
        <v>0.13906682862886274</v>
      </c>
      <c r="P112" s="257">
        <f>'Pseudo-load coefficients'!P300</f>
        <v>0.12916580740443903</v>
      </c>
      <c r="Q112" s="257">
        <f>'Pseudo-load coefficients'!Q300</f>
        <v>0.13720227892681125</v>
      </c>
      <c r="R112" s="257">
        <f>'Pseudo-load coefficients'!R300</f>
        <v>0.11708227435901354</v>
      </c>
      <c r="S112" s="257">
        <f>'Pseudo-load coefficients'!S300</f>
        <v>0.11708227435901354</v>
      </c>
      <c r="T112" s="257">
        <f>'Pseudo-load coefficients'!T300</f>
        <v>0.11708227435901354</v>
      </c>
      <c r="U112" s="257">
        <f>'Pseudo-load coefficients'!U300</f>
        <v>0.11708227435901354</v>
      </c>
      <c r="V112" s="257">
        <f>'Pseudo-load coefficients'!V300</f>
        <v>0.11708227435901354</v>
      </c>
      <c r="W112" s="257">
        <f>'Pseudo-load coefficients'!W300</f>
        <v>0.11708227435901354</v>
      </c>
      <c r="X112" s="257">
        <f>'Pseudo-load coefficients'!X300</f>
        <v>0.11708227435901354</v>
      </c>
      <c r="Y112" s="257">
        <f>'Pseudo-load coefficients'!Y300</f>
        <v>0.11708227435901354</v>
      </c>
    </row>
    <row r="113" spans="2:27" x14ac:dyDescent="0.25">
      <c r="C113" s="75"/>
      <c r="E113" s="75"/>
      <c r="F113" s="256" t="s">
        <v>198</v>
      </c>
      <c r="G113" s="94" t="s">
        <v>283</v>
      </c>
      <c r="J113" s="257">
        <f>'Pseudo-load coefficients'!J301</f>
        <v>0.18369513378164037</v>
      </c>
      <c r="K113" s="257">
        <f>'Pseudo-load coefficients'!K301</f>
        <v>0.18369513378164037</v>
      </c>
      <c r="L113" s="257">
        <f>'Pseudo-load coefficients'!L301</f>
        <v>0.19540074517069159</v>
      </c>
      <c r="M113" s="257">
        <f>'Pseudo-load coefficients'!M301</f>
        <v>0.19540074517069159</v>
      </c>
      <c r="N113" s="257">
        <f>'Pseudo-load coefficients'!N301</f>
        <v>0.14859420725230857</v>
      </c>
      <c r="O113" s="257">
        <f>'Pseudo-load coefficients'!O301</f>
        <v>0.13906682862886274</v>
      </c>
      <c r="P113" s="257">
        <f>'Pseudo-load coefficients'!P301</f>
        <v>0.12916580740443903</v>
      </c>
      <c r="Q113" s="257">
        <f>'Pseudo-load coefficients'!Q301</f>
        <v>0.13720227892681125</v>
      </c>
      <c r="R113" s="257">
        <f>'Pseudo-load coefficients'!R301</f>
        <v>0.11708227435901354</v>
      </c>
      <c r="S113" s="257">
        <f>'Pseudo-load coefficients'!S301</f>
        <v>0.11708227435901354</v>
      </c>
      <c r="T113" s="257">
        <f>'Pseudo-load coefficients'!T301</f>
        <v>0.11708227435901354</v>
      </c>
      <c r="U113" s="257">
        <f>'Pseudo-load coefficients'!U301</f>
        <v>0.11708227435901354</v>
      </c>
      <c r="V113" s="257">
        <f>'Pseudo-load coefficients'!V301</f>
        <v>0.11708227435901354</v>
      </c>
      <c r="W113" s="257">
        <f>'Pseudo-load coefficients'!W301</f>
        <v>0.11708227435901354</v>
      </c>
      <c r="X113" s="257">
        <f>'Pseudo-load coefficients'!X301</f>
        <v>0.11708227435901354</v>
      </c>
      <c r="Y113" s="257">
        <f>'Pseudo-load coefficients'!Y301</f>
        <v>0.11708227435901354</v>
      </c>
    </row>
    <row r="114" spans="2:27" x14ac:dyDescent="0.25">
      <c r="C114" s="75"/>
      <c r="E114" s="75"/>
      <c r="F114" s="258" t="s">
        <v>199</v>
      </c>
      <c r="G114" s="101" t="s">
        <v>283</v>
      </c>
      <c r="H114" s="96"/>
      <c r="I114" s="96"/>
      <c r="J114" s="259">
        <f>'Pseudo-load coefficients'!J302</f>
        <v>0.18369513378164037</v>
      </c>
      <c r="K114" s="259">
        <f>'Pseudo-load coefficients'!K302</f>
        <v>0.18369513378164037</v>
      </c>
      <c r="L114" s="259">
        <f>'Pseudo-load coefficients'!L302</f>
        <v>0.19540074517069159</v>
      </c>
      <c r="M114" s="259">
        <f>'Pseudo-load coefficients'!M302</f>
        <v>0.19540074517069159</v>
      </c>
      <c r="N114" s="259">
        <f>'Pseudo-load coefficients'!N302</f>
        <v>0.14859420725230857</v>
      </c>
      <c r="O114" s="259">
        <f>'Pseudo-load coefficients'!O302</f>
        <v>0.13906682862886274</v>
      </c>
      <c r="P114" s="259">
        <f>'Pseudo-load coefficients'!P302</f>
        <v>0.12916580740443903</v>
      </c>
      <c r="Q114" s="259">
        <f>'Pseudo-load coefficients'!Q302</f>
        <v>0.13720227892681125</v>
      </c>
      <c r="R114" s="259">
        <f>'Pseudo-load coefficients'!R302</f>
        <v>0.11708227435901354</v>
      </c>
      <c r="S114" s="259">
        <f>'Pseudo-load coefficients'!S302</f>
        <v>0.11708227435901354</v>
      </c>
      <c r="T114" s="259">
        <f>'Pseudo-load coefficients'!T302</f>
        <v>0.11708227435901354</v>
      </c>
      <c r="U114" s="259">
        <f>'Pseudo-load coefficients'!U302</f>
        <v>0.11708227435901354</v>
      </c>
      <c r="V114" s="259">
        <f>'Pseudo-load coefficients'!V302</f>
        <v>0.11708227435901354</v>
      </c>
      <c r="W114" s="259">
        <f>'Pseudo-load coefficients'!W302</f>
        <v>0.11708227435901354</v>
      </c>
      <c r="X114" s="259">
        <f>'Pseudo-load coefficients'!X302</f>
        <v>0.11708227435901354</v>
      </c>
      <c r="Y114" s="259">
        <f>'Pseudo-load coefficients'!Y302</f>
        <v>0.11708227435901354</v>
      </c>
    </row>
    <row r="115" spans="2:27" x14ac:dyDescent="0.2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25">
      <c r="B116" s="85" t="s">
        <v>576</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25">
      <c r="J117" s="106"/>
      <c r="K117" s="106"/>
      <c r="L117" s="106"/>
      <c r="M117" s="106"/>
      <c r="N117" s="106"/>
      <c r="O117" s="106"/>
      <c r="P117" s="106"/>
      <c r="Q117" s="106"/>
      <c r="R117" s="106"/>
      <c r="S117" s="106"/>
      <c r="T117" s="106"/>
      <c r="U117" s="106"/>
      <c r="V117" s="106"/>
      <c r="W117" s="106"/>
      <c r="X117" s="106"/>
      <c r="Y117" s="106"/>
    </row>
    <row r="118" spans="2:27" x14ac:dyDescent="0.25">
      <c r="C118" s="93" t="str">
        <f ca="1">INDEX('Version control'!$H$41:$H$64,MATCH($A$1,'Version control'!$F$41:$F$64,0),1)&amp;"-B: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2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25">
      <c r="D120" s="86" t="s">
        <v>577</v>
      </c>
      <c r="E120" s="75"/>
      <c r="F120" s="75"/>
      <c r="J120" s="261"/>
      <c r="K120" s="261"/>
      <c r="L120" s="261"/>
      <c r="M120" s="261"/>
      <c r="N120" s="261"/>
      <c r="O120" s="261"/>
      <c r="P120" s="261"/>
      <c r="Q120" s="261"/>
      <c r="R120" s="261"/>
      <c r="S120" s="261"/>
      <c r="T120" s="261"/>
      <c r="U120" s="261"/>
      <c r="V120" s="261"/>
      <c r="W120" s="261"/>
      <c r="X120" s="261"/>
      <c r="Y120" s="261"/>
    </row>
    <row r="121" spans="2:27" x14ac:dyDescent="0.25">
      <c r="D121" s="75"/>
      <c r="E121" s="75"/>
      <c r="F121" s="75"/>
      <c r="I121" s="3" t="s">
        <v>154</v>
      </c>
      <c r="J121" s="261"/>
      <c r="K121" s="261"/>
      <c r="L121" s="261"/>
      <c r="M121" s="261"/>
      <c r="N121" s="261"/>
      <c r="O121" s="261"/>
      <c r="P121" s="261"/>
      <c r="Q121" s="261"/>
      <c r="R121" s="261"/>
      <c r="S121" s="261"/>
      <c r="T121" s="261"/>
      <c r="U121" s="261"/>
      <c r="V121" s="261"/>
      <c r="W121" s="261"/>
      <c r="X121" s="261"/>
      <c r="Y121" s="261"/>
      <c r="AA121" t="s">
        <v>572</v>
      </c>
    </row>
    <row r="122" spans="2:27" x14ac:dyDescent="0.25">
      <c r="E122" s="75" t="s">
        <v>578</v>
      </c>
      <c r="J122" s="106"/>
      <c r="K122" s="106"/>
      <c r="L122" s="106"/>
      <c r="M122" s="106"/>
      <c r="N122" s="106"/>
      <c r="O122" s="106"/>
      <c r="P122" s="106"/>
      <c r="Q122" s="106"/>
      <c r="R122" s="106"/>
      <c r="S122" s="106"/>
      <c r="T122" s="106"/>
      <c r="U122" s="106"/>
      <c r="V122" s="106"/>
      <c r="W122" s="106"/>
      <c r="X122" s="106"/>
      <c r="Y122" s="106"/>
    </row>
    <row r="123" spans="2:27" x14ac:dyDescent="0.25">
      <c r="E123" s="75"/>
      <c r="F123" s="255" t="s">
        <v>189</v>
      </c>
      <c r="G123" s="95" t="s">
        <v>269</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25">
      <c r="E124" s="75"/>
      <c r="F124" s="256" t="s">
        <v>191</v>
      </c>
      <c r="G124" t="s">
        <v>269</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25">
      <c r="E125" s="75"/>
      <c r="F125" s="256" t="s">
        <v>192</v>
      </c>
      <c r="G125" t="s">
        <v>269</v>
      </c>
      <c r="H125" s="268"/>
      <c r="I125" s="268"/>
      <c r="J125" s="269">
        <f t="shared" ref="J125:Y125" si="2">hundred * $H20 * J57 / $H45 * J$78 * (1 - J69) / hours_in_year</f>
        <v>0.37497395460835181</v>
      </c>
      <c r="K125" s="269">
        <f t="shared" si="2"/>
        <v>0.37497395460835181</v>
      </c>
      <c r="L125" s="269">
        <f t="shared" si="2"/>
        <v>0.30396314559706311</v>
      </c>
      <c r="M125" s="269">
        <f t="shared" si="2"/>
        <v>0.30396314559706311</v>
      </c>
      <c r="N125" s="269">
        <f t="shared" si="2"/>
        <v>0.26021870631456623</v>
      </c>
      <c r="O125" s="269">
        <f t="shared" si="2"/>
        <v>0.22877617899905506</v>
      </c>
      <c r="P125" s="269">
        <f t="shared" si="2"/>
        <v>0.20056657660976449</v>
      </c>
      <c r="Q125" s="269">
        <f t="shared" si="2"/>
        <v>0.35471912986991189</v>
      </c>
      <c r="R125" s="269">
        <f t="shared" si="2"/>
        <v>-0.1787455474969297</v>
      </c>
      <c r="S125" s="269">
        <f t="shared" si="2"/>
        <v>-0.17638920317964438</v>
      </c>
      <c r="T125" s="269">
        <f t="shared" si="2"/>
        <v>-0.1787455474969297</v>
      </c>
      <c r="U125" s="269">
        <f t="shared" si="2"/>
        <v>-0.1787455474969297</v>
      </c>
      <c r="V125" s="269">
        <f t="shared" si="2"/>
        <v>-0.17638920317964438</v>
      </c>
      <c r="W125" s="269">
        <f t="shared" si="2"/>
        <v>-0.17638920317964438</v>
      </c>
      <c r="X125" s="269">
        <f t="shared" si="2"/>
        <v>-0.17403285886235906</v>
      </c>
      <c r="Y125" s="269">
        <f t="shared" si="2"/>
        <v>-0.17403285886235906</v>
      </c>
      <c r="Z125" s="268"/>
      <c r="AA125" s="268"/>
    </row>
    <row r="126" spans="2:27" x14ac:dyDescent="0.25">
      <c r="E126" s="75"/>
      <c r="F126" s="256" t="s">
        <v>193</v>
      </c>
      <c r="G126" t="s">
        <v>269</v>
      </c>
      <c r="H126" s="268"/>
      <c r="I126" s="268"/>
      <c r="J126" s="269">
        <f t="shared" ref="J126:Y126" si="3">hundred * $H21 * J58 / $H46 * J$78 * (1 - J70) / hours_in_year</f>
        <v>5.3711823535653964E-2</v>
      </c>
      <c r="K126" s="269">
        <f t="shared" si="3"/>
        <v>5.3711823535653964E-2</v>
      </c>
      <c r="L126" s="269">
        <f t="shared" si="3"/>
        <v>4.3540130286393253E-2</v>
      </c>
      <c r="M126" s="269">
        <f t="shared" si="3"/>
        <v>4.3540130286393253E-2</v>
      </c>
      <c r="N126" s="269">
        <f t="shared" si="3"/>
        <v>3.7274112141581897E-2</v>
      </c>
      <c r="O126" s="269">
        <f t="shared" si="3"/>
        <v>3.2770238051314342E-2</v>
      </c>
      <c r="P126" s="269">
        <f t="shared" si="3"/>
        <v>2.8729452906311133E-2</v>
      </c>
      <c r="Q126" s="269">
        <f t="shared" si="3"/>
        <v>5.0810492499921131E-2</v>
      </c>
      <c r="R126" s="269">
        <f t="shared" si="3"/>
        <v>-2.5603776440864045E-2</v>
      </c>
      <c r="S126" s="269">
        <f t="shared" si="3"/>
        <v>-2.5266250197764142E-2</v>
      </c>
      <c r="T126" s="269">
        <f t="shared" si="3"/>
        <v>-2.5603776440864045E-2</v>
      </c>
      <c r="U126" s="269">
        <f t="shared" si="3"/>
        <v>-2.5603776440864045E-2</v>
      </c>
      <c r="V126" s="269">
        <f t="shared" si="3"/>
        <v>-2.5266250197764142E-2</v>
      </c>
      <c r="W126" s="269">
        <f t="shared" si="3"/>
        <v>-2.5266250197764142E-2</v>
      </c>
      <c r="X126" s="269">
        <f t="shared" si="3"/>
        <v>-2.492872395466424E-2</v>
      </c>
      <c r="Y126" s="269">
        <f t="shared" si="3"/>
        <v>-2.492872395466424E-2</v>
      </c>
      <c r="Z126" s="268"/>
      <c r="AA126" s="268"/>
    </row>
    <row r="127" spans="2:27" x14ac:dyDescent="0.25">
      <c r="E127" s="75"/>
      <c r="F127" s="256" t="s">
        <v>194</v>
      </c>
      <c r="G127" t="s">
        <v>269</v>
      </c>
      <c r="H127" s="268"/>
      <c r="I127" s="268"/>
      <c r="J127" s="269">
        <f t="shared" ref="J127:Y127" si="4">hundred * $H22 * J59 / $H47 * J$78 * (1 - J71) / hours_in_year</f>
        <v>0.1717511171786433</v>
      </c>
      <c r="K127" s="269">
        <f t="shared" si="4"/>
        <v>0.1717511171786433</v>
      </c>
      <c r="L127" s="269">
        <f t="shared" si="4"/>
        <v>0.1392256960672314</v>
      </c>
      <c r="M127" s="269">
        <f t="shared" si="4"/>
        <v>0.1392256960672314</v>
      </c>
      <c r="N127" s="269">
        <f t="shared" si="4"/>
        <v>0.11918922093399333</v>
      </c>
      <c r="O127" s="269">
        <f t="shared" si="4"/>
        <v>0.10478744948562839</v>
      </c>
      <c r="P127" s="269">
        <f t="shared" si="4"/>
        <v>9.186647013231182E-2</v>
      </c>
      <c r="Q127" s="269">
        <f t="shared" si="4"/>
        <v>0.16247370274937137</v>
      </c>
      <c r="R127" s="269">
        <f t="shared" si="4"/>
        <v>-8.1871679608709946E-2</v>
      </c>
      <c r="S127" s="269">
        <f t="shared" si="4"/>
        <v>-8.079239193025238E-2</v>
      </c>
      <c r="T127" s="269">
        <f t="shared" si="4"/>
        <v>-8.1871679608709946E-2</v>
      </c>
      <c r="U127" s="269">
        <f t="shared" si="4"/>
        <v>-8.1871679608709946E-2</v>
      </c>
      <c r="V127" s="269">
        <f t="shared" si="4"/>
        <v>-8.079239193025238E-2</v>
      </c>
      <c r="W127" s="269">
        <f t="shared" si="4"/>
        <v>-8.079239193025238E-2</v>
      </c>
      <c r="X127" s="269">
        <f t="shared" si="4"/>
        <v>-7.97131042517948E-2</v>
      </c>
      <c r="Y127" s="269">
        <f t="shared" si="4"/>
        <v>-7.97131042517948E-2</v>
      </c>
      <c r="Z127" s="268"/>
      <c r="AA127" s="268"/>
    </row>
    <row r="128" spans="2:27" x14ac:dyDescent="0.25">
      <c r="E128" s="75"/>
      <c r="F128" s="256" t="s">
        <v>195</v>
      </c>
      <c r="G128" t="s">
        <v>269</v>
      </c>
      <c r="H128" s="268"/>
      <c r="I128" s="268"/>
      <c r="J128" s="269">
        <f t="shared" ref="J128:Y128" si="5">hundred * $H23 * J60 / $H48 * J$78 * (1 - J72) / hours_in_year</f>
        <v>0.13584811851371115</v>
      </c>
      <c r="K128" s="269">
        <f t="shared" si="5"/>
        <v>0.13584811851371115</v>
      </c>
      <c r="L128" s="269">
        <f t="shared" si="5"/>
        <v>0.11012183891545023</v>
      </c>
      <c r="M128" s="269">
        <f t="shared" si="5"/>
        <v>0.11012183891545023</v>
      </c>
      <c r="N128" s="269">
        <f t="shared" si="5"/>
        <v>9.427380547491078E-2</v>
      </c>
      <c r="O128" s="269">
        <f t="shared" si="5"/>
        <v>8.2882592499626914E-2</v>
      </c>
      <c r="P128" s="269">
        <f t="shared" si="5"/>
        <v>7.2662625588571311E-2</v>
      </c>
      <c r="Q128" s="269">
        <f t="shared" si="5"/>
        <v>0.12851006263616099</v>
      </c>
      <c r="R128" s="269">
        <f t="shared" si="5"/>
        <v>-6.4757154521633678E-2</v>
      </c>
      <c r="S128" s="269">
        <f t="shared" si="5"/>
        <v>-6.3903482051480304E-2</v>
      </c>
      <c r="T128" s="269">
        <f t="shared" si="5"/>
        <v>-6.4757154521633678E-2</v>
      </c>
      <c r="U128" s="269">
        <f t="shared" si="5"/>
        <v>-6.4757154521633678E-2</v>
      </c>
      <c r="V128" s="269">
        <f t="shared" si="5"/>
        <v>-6.3903482051480304E-2</v>
      </c>
      <c r="W128" s="269">
        <f t="shared" si="5"/>
        <v>-6.3903482051480304E-2</v>
      </c>
      <c r="X128" s="269">
        <f t="shared" si="5"/>
        <v>-6.3049809581326943E-2</v>
      </c>
      <c r="Y128" s="269">
        <f t="shared" si="5"/>
        <v>-6.3049809581326943E-2</v>
      </c>
      <c r="Z128" s="268"/>
      <c r="AA128" s="268"/>
    </row>
    <row r="129" spans="4:27" x14ac:dyDescent="0.25">
      <c r="E129" s="75"/>
      <c r="F129" s="256" t="s">
        <v>196</v>
      </c>
      <c r="G129" t="s">
        <v>269</v>
      </c>
      <c r="H129" s="268"/>
      <c r="I129" s="268"/>
      <c r="J129" s="269">
        <f t="shared" ref="J129:Y129" si="6">hundred * $H24 * J61 / $H49 * J$78 * (1 - J73) / hours_in_year</f>
        <v>0</v>
      </c>
      <c r="K129" s="269">
        <f t="shared" si="6"/>
        <v>0</v>
      </c>
      <c r="L129" s="269">
        <f t="shared" si="6"/>
        <v>0</v>
      </c>
      <c r="M129" s="269">
        <f t="shared" si="6"/>
        <v>0</v>
      </c>
      <c r="N129" s="269">
        <f t="shared" si="6"/>
        <v>0</v>
      </c>
      <c r="O129" s="269">
        <f t="shared" si="6"/>
        <v>0</v>
      </c>
      <c r="P129" s="269">
        <f t="shared" si="6"/>
        <v>0</v>
      </c>
      <c r="Q129" s="269">
        <f t="shared" si="6"/>
        <v>0</v>
      </c>
      <c r="R129" s="269">
        <f t="shared" si="6"/>
        <v>0</v>
      </c>
      <c r="S129" s="269">
        <f t="shared" si="6"/>
        <v>0</v>
      </c>
      <c r="T129" s="269">
        <f t="shared" si="6"/>
        <v>0</v>
      </c>
      <c r="U129" s="269">
        <f t="shared" si="6"/>
        <v>0</v>
      </c>
      <c r="V129" s="269">
        <f t="shared" si="6"/>
        <v>0</v>
      </c>
      <c r="W129" s="269">
        <f t="shared" si="6"/>
        <v>0</v>
      </c>
      <c r="X129" s="269">
        <f t="shared" si="6"/>
        <v>0</v>
      </c>
      <c r="Y129" s="269">
        <f t="shared" si="6"/>
        <v>0</v>
      </c>
      <c r="Z129" s="268"/>
      <c r="AA129" s="268"/>
    </row>
    <row r="130" spans="4:27" x14ac:dyDescent="0.25">
      <c r="E130" s="75"/>
      <c r="F130" s="256" t="s">
        <v>197</v>
      </c>
      <c r="G130" t="s">
        <v>269</v>
      </c>
      <c r="H130" s="268"/>
      <c r="I130" s="268"/>
      <c r="J130" s="269">
        <f t="shared" ref="J130:Y130" si="7">hundred * $H25 * J62 / $H50 * J$78 * (1 - J74) / hours_in_year</f>
        <v>0.62558177038208396</v>
      </c>
      <c r="K130" s="269">
        <f t="shared" si="7"/>
        <v>0.62558177038208396</v>
      </c>
      <c r="L130" s="269">
        <f t="shared" si="7"/>
        <v>0.50711202849309212</v>
      </c>
      <c r="M130" s="269">
        <f t="shared" si="7"/>
        <v>0.50711202849309212</v>
      </c>
      <c r="N130" s="269">
        <f t="shared" si="7"/>
        <v>0.43413169630095727</v>
      </c>
      <c r="O130" s="269">
        <f t="shared" si="7"/>
        <v>0.38167506121581096</v>
      </c>
      <c r="P130" s="269">
        <f t="shared" si="7"/>
        <v>0.33461202446996768</v>
      </c>
      <c r="Q130" s="269">
        <f t="shared" si="7"/>
        <v>0.59178995907645182</v>
      </c>
      <c r="R130" s="269">
        <f t="shared" si="7"/>
        <v>-0.29820726126921671</v>
      </c>
      <c r="S130" s="269">
        <f t="shared" si="7"/>
        <v>-0.29427609209994265</v>
      </c>
      <c r="T130" s="269">
        <f t="shared" si="7"/>
        <v>-0.29820726126921671</v>
      </c>
      <c r="U130" s="269">
        <f t="shared" si="7"/>
        <v>-0.29820726126921671</v>
      </c>
      <c r="V130" s="269">
        <f t="shared" si="7"/>
        <v>-0.29427609209994265</v>
      </c>
      <c r="W130" s="269">
        <f t="shared" si="7"/>
        <v>-0.29427609209994265</v>
      </c>
      <c r="X130" s="269">
        <f t="shared" si="7"/>
        <v>0</v>
      </c>
      <c r="Y130" s="269">
        <f t="shared" si="7"/>
        <v>0</v>
      </c>
      <c r="Z130" s="268"/>
      <c r="AA130" s="268"/>
    </row>
    <row r="131" spans="4:27" x14ac:dyDescent="0.25">
      <c r="E131" s="75"/>
      <c r="F131" s="256" t="s">
        <v>198</v>
      </c>
      <c r="G131" t="s">
        <v>269</v>
      </c>
      <c r="H131" s="268"/>
      <c r="I131" s="268"/>
      <c r="J131" s="269">
        <f t="shared" ref="J131:Y131" si="8">hundred * $H26 * J63 / $H51 * J$78 * (1 - J75) / hours_in_year</f>
        <v>0.25666682951905317</v>
      </c>
      <c r="K131" s="269">
        <f t="shared" si="8"/>
        <v>0.25666682951905317</v>
      </c>
      <c r="L131" s="269">
        <f t="shared" si="8"/>
        <v>0.20806046903317071</v>
      </c>
      <c r="M131" s="269">
        <f t="shared" si="8"/>
        <v>0.20806046903317071</v>
      </c>
      <c r="N131" s="269">
        <f t="shared" si="8"/>
        <v>0.17811773193972585</v>
      </c>
      <c r="O131" s="269">
        <f t="shared" si="8"/>
        <v>0.15659556033565375</v>
      </c>
      <c r="P131" s="269">
        <f t="shared" si="8"/>
        <v>0</v>
      </c>
      <c r="Q131" s="269">
        <f t="shared" si="8"/>
        <v>0.24280255552298488</v>
      </c>
      <c r="R131" s="269">
        <f t="shared" si="8"/>
        <v>-0.12234997231901727</v>
      </c>
      <c r="S131" s="269">
        <f t="shared" si="8"/>
        <v>0</v>
      </c>
      <c r="T131" s="269">
        <f t="shared" si="8"/>
        <v>-0.12234997231901727</v>
      </c>
      <c r="U131" s="269">
        <f t="shared" si="8"/>
        <v>-0.12234997231901727</v>
      </c>
      <c r="V131" s="269">
        <f t="shared" si="8"/>
        <v>0</v>
      </c>
      <c r="W131" s="269">
        <f t="shared" si="8"/>
        <v>0</v>
      </c>
      <c r="X131" s="269">
        <f t="shared" si="8"/>
        <v>0</v>
      </c>
      <c r="Y131" s="269">
        <f t="shared" si="8"/>
        <v>0</v>
      </c>
      <c r="Z131" s="268"/>
      <c r="AA131" s="268"/>
    </row>
    <row r="132" spans="4:27" x14ac:dyDescent="0.25">
      <c r="E132" s="75"/>
      <c r="F132" s="258" t="s">
        <v>199</v>
      </c>
      <c r="G132" s="96" t="s">
        <v>269</v>
      </c>
      <c r="H132" s="270"/>
      <c r="I132" s="270"/>
      <c r="J132" s="271">
        <f t="shared" ref="J132:Y132" si="9">hundred * $H27 * J64 / $H52 * J$78 * (1 - J76) / hours_in_year</f>
        <v>0.63340369972077271</v>
      </c>
      <c r="K132" s="271">
        <f t="shared" si="9"/>
        <v>0.63340369972077271</v>
      </c>
      <c r="L132" s="271">
        <f t="shared" si="9"/>
        <v>0.51345267753606116</v>
      </c>
      <c r="M132" s="271">
        <f t="shared" si="9"/>
        <v>0.51345267753606116</v>
      </c>
      <c r="N132" s="271">
        <f t="shared" si="9"/>
        <v>0.439559839531661</v>
      </c>
      <c r="O132" s="271">
        <f t="shared" si="9"/>
        <v>0</v>
      </c>
      <c r="P132" s="271">
        <f t="shared" si="9"/>
        <v>0</v>
      </c>
      <c r="Q132" s="271">
        <f t="shared" si="9"/>
        <v>0.59918937424869112</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25">
      <c r="E133" s="75"/>
      <c r="F133" s="256"/>
      <c r="J133" s="106"/>
      <c r="K133" s="106"/>
      <c r="L133" s="106"/>
      <c r="M133" s="106"/>
      <c r="N133" s="106"/>
      <c r="O133" s="106"/>
      <c r="P133" s="106"/>
      <c r="Q133" s="106"/>
      <c r="R133" s="106"/>
      <c r="S133" s="106"/>
      <c r="T133" s="106"/>
      <c r="U133" s="106"/>
      <c r="V133" s="106"/>
      <c r="W133" s="106"/>
      <c r="X133" s="106"/>
      <c r="Y133" s="106"/>
    </row>
    <row r="134" spans="4:27" x14ac:dyDescent="0.25">
      <c r="E134" s="75" t="s">
        <v>579</v>
      </c>
      <c r="J134" s="106"/>
      <c r="K134" s="106"/>
      <c r="L134" s="106"/>
      <c r="M134" s="106"/>
      <c r="N134" s="106"/>
      <c r="O134" s="106"/>
      <c r="P134" s="106"/>
      <c r="Q134" s="106"/>
      <c r="R134" s="106"/>
      <c r="S134" s="106"/>
      <c r="T134" s="106"/>
      <c r="U134" s="106"/>
      <c r="V134" s="106"/>
      <c r="W134" s="106"/>
      <c r="X134" s="106"/>
      <c r="Y134" s="106"/>
    </row>
    <row r="135" spans="4:27" x14ac:dyDescent="0.25">
      <c r="D135" s="75"/>
      <c r="E135" s="75"/>
      <c r="F135" s="255" t="s">
        <v>189</v>
      </c>
      <c r="G135" s="95" t="s">
        <v>269</v>
      </c>
      <c r="H135" s="266"/>
      <c r="I135" s="266"/>
      <c r="J135" s="267">
        <f t="shared" ref="J135:Y135" si="10">hundred * $H30 * J55 / $H43 * J$78 / hours_in_year</f>
        <v>0.13186795317670644</v>
      </c>
      <c r="K135" s="267">
        <f t="shared" si="10"/>
        <v>0.13186795317670644</v>
      </c>
      <c r="L135" s="267">
        <f t="shared" si="10"/>
        <v>0.10689541862421702</v>
      </c>
      <c r="M135" s="267">
        <f t="shared" si="10"/>
        <v>0.10689541862421702</v>
      </c>
      <c r="N135" s="267">
        <f t="shared" si="10"/>
        <v>9.1511711035591095E-2</v>
      </c>
      <c r="O135" s="267">
        <f t="shared" si="10"/>
        <v>8.0454245126712759E-2</v>
      </c>
      <c r="P135" s="267">
        <f t="shared" si="10"/>
        <v>7.053370936339598E-2</v>
      </c>
      <c r="Q135" s="267">
        <f t="shared" si="10"/>
        <v>0.1247448923683878</v>
      </c>
      <c r="R135" s="267">
        <f t="shared" si="10"/>
        <v>-6.2859857859964785E-2</v>
      </c>
      <c r="S135" s="267">
        <f t="shared" si="10"/>
        <v>-6.2031196833562237E-2</v>
      </c>
      <c r="T135" s="267">
        <f t="shared" si="10"/>
        <v>-6.2859857859964785E-2</v>
      </c>
      <c r="U135" s="267">
        <f t="shared" si="10"/>
        <v>-6.2859857859964785E-2</v>
      </c>
      <c r="V135" s="267">
        <f t="shared" si="10"/>
        <v>-6.2031196833562237E-2</v>
      </c>
      <c r="W135" s="267">
        <f t="shared" si="10"/>
        <v>-6.2031196833562237E-2</v>
      </c>
      <c r="X135" s="267">
        <f t="shared" si="10"/>
        <v>-6.1202535807159689E-2</v>
      </c>
      <c r="Y135" s="267">
        <f t="shared" si="10"/>
        <v>-6.1202535807159689E-2</v>
      </c>
      <c r="Z135" s="268"/>
      <c r="AA135" s="268"/>
    </row>
    <row r="136" spans="4:27" x14ac:dyDescent="0.25">
      <c r="D136" s="75"/>
      <c r="E136" s="75"/>
      <c r="F136" s="256" t="s">
        <v>191</v>
      </c>
      <c r="G136" t="s">
        <v>269</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25">
      <c r="D137" s="75"/>
      <c r="E137" s="75"/>
      <c r="F137" s="256" t="s">
        <v>192</v>
      </c>
      <c r="G137" t="s">
        <v>269</v>
      </c>
      <c r="H137" s="268"/>
      <c r="I137" s="268"/>
      <c r="J137" s="269">
        <f t="shared" ref="J137:Y137" si="12">hundred * $H32 * J57 / $H45 * J$78 / hours_in_year</f>
        <v>0.26909172878010457</v>
      </c>
      <c r="K137" s="269">
        <f t="shared" si="12"/>
        <v>0.26909172878010457</v>
      </c>
      <c r="L137" s="269">
        <f t="shared" si="12"/>
        <v>0.21813239914111768</v>
      </c>
      <c r="M137" s="269">
        <f t="shared" si="12"/>
        <v>0.21813239914111768</v>
      </c>
      <c r="N137" s="269">
        <f t="shared" si="12"/>
        <v>0.18674017403754187</v>
      </c>
      <c r="O137" s="269">
        <f t="shared" si="12"/>
        <v>0.16417614278000098</v>
      </c>
      <c r="P137" s="269">
        <f t="shared" si="12"/>
        <v>0.1439321482789373</v>
      </c>
      <c r="Q137" s="269">
        <f t="shared" si="12"/>
        <v>0.25455630375119126</v>
      </c>
      <c r="R137" s="269">
        <f t="shared" si="12"/>
        <v>-0.1282727714727091</v>
      </c>
      <c r="S137" s="269">
        <f t="shared" si="12"/>
        <v>-0.12658179331770161</v>
      </c>
      <c r="T137" s="269">
        <f t="shared" si="12"/>
        <v>-0.1282727714727091</v>
      </c>
      <c r="U137" s="269">
        <f t="shared" si="12"/>
        <v>-0.1282727714727091</v>
      </c>
      <c r="V137" s="269">
        <f t="shared" si="12"/>
        <v>-0.12658179331770161</v>
      </c>
      <c r="W137" s="269">
        <f t="shared" si="12"/>
        <v>-0.12658179331770161</v>
      </c>
      <c r="X137" s="269">
        <f t="shared" si="12"/>
        <v>-0.12489081516269412</v>
      </c>
      <c r="Y137" s="269">
        <f t="shared" si="12"/>
        <v>-0.12489081516269412</v>
      </c>
      <c r="Z137" s="268"/>
      <c r="AA137" s="268"/>
    </row>
    <row r="138" spans="4:27" x14ac:dyDescent="0.25">
      <c r="D138" s="75"/>
      <c r="E138" s="75"/>
      <c r="F138" s="256" t="s">
        <v>193</v>
      </c>
      <c r="G138" t="s">
        <v>269</v>
      </c>
      <c r="H138" s="268"/>
      <c r="I138" s="268"/>
      <c r="J138" s="269">
        <f t="shared" ref="J138:Y138" si="13">hundred * $H33 * J58 / $H46 * J$78 / hours_in_year</f>
        <v>3.8545096995435714E-2</v>
      </c>
      <c r="K138" s="269">
        <f t="shared" si="13"/>
        <v>3.8545096995435714E-2</v>
      </c>
      <c r="L138" s="269">
        <f t="shared" si="13"/>
        <v>3.1245607291081941E-2</v>
      </c>
      <c r="M138" s="269">
        <f t="shared" si="13"/>
        <v>3.1245607291081941E-2</v>
      </c>
      <c r="N138" s="269">
        <f t="shared" si="13"/>
        <v>2.6748938564007545E-2</v>
      </c>
      <c r="O138" s="269">
        <f t="shared" si="13"/>
        <v>2.3516833373064712E-2</v>
      </c>
      <c r="P138" s="269">
        <f t="shared" si="13"/>
        <v>2.0617053676542662E-2</v>
      </c>
      <c r="Q138" s="269">
        <f t="shared" si="13"/>
        <v>3.6463021228375678E-2</v>
      </c>
      <c r="R138" s="269">
        <f t="shared" si="13"/>
        <v>-1.8373981395501334E-2</v>
      </c>
      <c r="S138" s="269">
        <f t="shared" si="13"/>
        <v>-1.8131763185014499E-2</v>
      </c>
      <c r="T138" s="269">
        <f t="shared" si="13"/>
        <v>-1.8373981395501334E-2</v>
      </c>
      <c r="U138" s="269">
        <f t="shared" si="13"/>
        <v>-1.8373981395501334E-2</v>
      </c>
      <c r="V138" s="269">
        <f t="shared" si="13"/>
        <v>-1.8131763185014499E-2</v>
      </c>
      <c r="W138" s="269">
        <f t="shared" si="13"/>
        <v>-1.8131763185014499E-2</v>
      </c>
      <c r="X138" s="269">
        <f t="shared" si="13"/>
        <v>-1.7889544974527664E-2</v>
      </c>
      <c r="Y138" s="269">
        <f t="shared" si="13"/>
        <v>-1.7889544974527664E-2</v>
      </c>
      <c r="Z138" s="268"/>
      <c r="AA138" s="268"/>
    </row>
    <row r="139" spans="4:27" x14ac:dyDescent="0.25">
      <c r="D139" s="75"/>
      <c r="E139" s="75"/>
      <c r="F139" s="256" t="s">
        <v>194</v>
      </c>
      <c r="G139" t="s">
        <v>269</v>
      </c>
      <c r="H139" s="268"/>
      <c r="I139" s="268"/>
      <c r="J139" s="269">
        <f t="shared" ref="J139:Y139" si="14">hundred * $H34 * J59 / $H47 * J$78 / hours_in_year</f>
        <v>0.12325337393043045</v>
      </c>
      <c r="K139" s="269">
        <f t="shared" si="14"/>
        <v>0.12325337393043045</v>
      </c>
      <c r="L139" s="269">
        <f t="shared" si="14"/>
        <v>9.9912227995875444E-2</v>
      </c>
      <c r="M139" s="269">
        <f t="shared" si="14"/>
        <v>9.9912227995875444E-2</v>
      </c>
      <c r="N139" s="269">
        <f t="shared" si="14"/>
        <v>8.5533496710674575E-2</v>
      </c>
      <c r="O139" s="269">
        <f t="shared" si="14"/>
        <v>7.5198385354515979E-2</v>
      </c>
      <c r="P139" s="269">
        <f t="shared" si="14"/>
        <v>6.5925931550764358E-2</v>
      </c>
      <c r="Q139" s="269">
        <f t="shared" si="14"/>
        <v>0.11659564355555745</v>
      </c>
      <c r="R139" s="269">
        <f t="shared" si="14"/>
        <v>-5.8753392157728006E-2</v>
      </c>
      <c r="S139" s="269">
        <f t="shared" si="14"/>
        <v>-5.7978865330789969E-2</v>
      </c>
      <c r="T139" s="269">
        <f t="shared" si="14"/>
        <v>-5.8753392157728006E-2</v>
      </c>
      <c r="U139" s="269">
        <f t="shared" si="14"/>
        <v>-5.8753392157728006E-2</v>
      </c>
      <c r="V139" s="269">
        <f t="shared" si="14"/>
        <v>-5.7978865330789969E-2</v>
      </c>
      <c r="W139" s="269">
        <f t="shared" si="14"/>
        <v>-5.7978865330789969E-2</v>
      </c>
      <c r="X139" s="269">
        <f t="shared" si="14"/>
        <v>-5.7204338503851933E-2</v>
      </c>
      <c r="Y139" s="269">
        <f t="shared" si="14"/>
        <v>-5.7204338503851933E-2</v>
      </c>
      <c r="Z139" s="268"/>
      <c r="AA139" s="268"/>
    </row>
    <row r="140" spans="4:27" x14ac:dyDescent="0.25">
      <c r="D140" s="75"/>
      <c r="E140" s="75"/>
      <c r="F140" s="256" t="s">
        <v>195</v>
      </c>
      <c r="G140" t="s">
        <v>269</v>
      </c>
      <c r="H140" s="268"/>
      <c r="I140" s="268"/>
      <c r="J140" s="269">
        <f t="shared" ref="J140:Y140" si="15">hundred * $H35 * J60 / $H48 * J$78 / hours_in_year</f>
        <v>9.7488384494758315E-2</v>
      </c>
      <c r="K140" s="269">
        <f t="shared" si="15"/>
        <v>9.7488384494758315E-2</v>
      </c>
      <c r="L140" s="269">
        <f t="shared" si="15"/>
        <v>7.9026491429660159E-2</v>
      </c>
      <c r="M140" s="269">
        <f t="shared" si="15"/>
        <v>7.9026491429660159E-2</v>
      </c>
      <c r="N140" s="269">
        <f t="shared" si="15"/>
        <v>6.7653502282363581E-2</v>
      </c>
      <c r="O140" s="269">
        <f t="shared" si="15"/>
        <v>5.9478851337278385E-2</v>
      </c>
      <c r="P140" s="269">
        <f t="shared" si="15"/>
        <v>5.2144719111898059E-2</v>
      </c>
      <c r="Q140" s="269">
        <f t="shared" si="15"/>
        <v>9.2222391703239259E-2</v>
      </c>
      <c r="R140" s="269">
        <f t="shared" si="15"/>
        <v>-4.647153341438677E-2</v>
      </c>
      <c r="S140" s="269">
        <f t="shared" si="15"/>
        <v>-4.5858914329827999E-2</v>
      </c>
      <c r="T140" s="269">
        <f t="shared" si="15"/>
        <v>-4.647153341438677E-2</v>
      </c>
      <c r="U140" s="269">
        <f t="shared" si="15"/>
        <v>-4.647153341438677E-2</v>
      </c>
      <c r="V140" s="269">
        <f t="shared" si="15"/>
        <v>-4.5858914329827999E-2</v>
      </c>
      <c r="W140" s="269">
        <f t="shared" si="15"/>
        <v>-4.5858914329827999E-2</v>
      </c>
      <c r="X140" s="269">
        <f t="shared" si="15"/>
        <v>-4.524629524526922E-2</v>
      </c>
      <c r="Y140" s="269">
        <f t="shared" si="15"/>
        <v>-4.524629524526922E-2</v>
      </c>
      <c r="Z140" s="268"/>
      <c r="AA140" s="268"/>
    </row>
    <row r="141" spans="4:27" x14ac:dyDescent="0.25">
      <c r="D141" s="75"/>
      <c r="E141" s="75"/>
      <c r="F141" s="256" t="s">
        <v>196</v>
      </c>
      <c r="G141" t="s">
        <v>269</v>
      </c>
      <c r="H141" s="268"/>
      <c r="I141" s="268"/>
      <c r="J141" s="269">
        <f t="shared" ref="J141:Y141" si="16">hundred * $H36 * J61 / $H49 * J$78 / hours_in_year</f>
        <v>0</v>
      </c>
      <c r="K141" s="269">
        <f t="shared" si="16"/>
        <v>0</v>
      </c>
      <c r="L141" s="269">
        <f t="shared" si="16"/>
        <v>0</v>
      </c>
      <c r="M141" s="269">
        <f t="shared" si="16"/>
        <v>0</v>
      </c>
      <c r="N141" s="269">
        <f t="shared" si="16"/>
        <v>0</v>
      </c>
      <c r="O141" s="269">
        <f t="shared" si="16"/>
        <v>0</v>
      </c>
      <c r="P141" s="269">
        <f t="shared" si="16"/>
        <v>0</v>
      </c>
      <c r="Q141" s="269">
        <f t="shared" si="16"/>
        <v>0</v>
      </c>
      <c r="R141" s="269">
        <f t="shared" si="16"/>
        <v>0</v>
      </c>
      <c r="S141" s="269">
        <f t="shared" si="16"/>
        <v>0</v>
      </c>
      <c r="T141" s="269">
        <f t="shared" si="16"/>
        <v>0</v>
      </c>
      <c r="U141" s="269">
        <f t="shared" si="16"/>
        <v>0</v>
      </c>
      <c r="V141" s="269">
        <f t="shared" si="16"/>
        <v>0</v>
      </c>
      <c r="W141" s="269">
        <f t="shared" si="16"/>
        <v>0</v>
      </c>
      <c r="X141" s="269">
        <f t="shared" si="16"/>
        <v>0</v>
      </c>
      <c r="Y141" s="269">
        <f t="shared" si="16"/>
        <v>0</v>
      </c>
      <c r="Z141" s="268"/>
      <c r="AA141" s="268"/>
    </row>
    <row r="142" spans="4:27" x14ac:dyDescent="0.25">
      <c r="D142" s="75"/>
      <c r="E142" s="75"/>
      <c r="F142" s="256" t="s">
        <v>197</v>
      </c>
      <c r="G142" t="s">
        <v>269</v>
      </c>
      <c r="H142" s="268"/>
      <c r="I142" s="268"/>
      <c r="J142" s="269">
        <f t="shared" ref="J142:Y142" si="17">hundred * $H37 * J62 / $H50 * J$78 / hours_in_year</f>
        <v>0.44893486071921429</v>
      </c>
      <c r="K142" s="269">
        <f t="shared" si="17"/>
        <v>0.44893486071921429</v>
      </c>
      <c r="L142" s="269">
        <f t="shared" si="17"/>
        <v>0.36391768216253711</v>
      </c>
      <c r="M142" s="269">
        <f t="shared" si="17"/>
        <v>0.36391768216253711</v>
      </c>
      <c r="N142" s="269">
        <f t="shared" si="17"/>
        <v>0.31154496796418818</v>
      </c>
      <c r="O142" s="269">
        <f t="shared" si="17"/>
        <v>0.27390062907725821</v>
      </c>
      <c r="P142" s="269">
        <f t="shared" si="17"/>
        <v>0.24012688622408321</v>
      </c>
      <c r="Q142" s="269">
        <f t="shared" si="17"/>
        <v>0.42468491799361602</v>
      </c>
      <c r="R142" s="269">
        <f t="shared" si="17"/>
        <v>-0.21400181661557605</v>
      </c>
      <c r="S142" s="269">
        <f t="shared" si="17"/>
        <v>-0.21118070038900538</v>
      </c>
      <c r="T142" s="269">
        <f t="shared" si="17"/>
        <v>-0.21400181661557605</v>
      </c>
      <c r="U142" s="269">
        <f t="shared" si="17"/>
        <v>-0.21400181661557605</v>
      </c>
      <c r="V142" s="269">
        <f t="shared" si="17"/>
        <v>-0.21118070038900538</v>
      </c>
      <c r="W142" s="269">
        <f t="shared" si="17"/>
        <v>-0.21118070038900538</v>
      </c>
      <c r="X142" s="269">
        <f t="shared" si="17"/>
        <v>0</v>
      </c>
      <c r="Y142" s="269">
        <f t="shared" si="17"/>
        <v>0</v>
      </c>
      <c r="Z142" s="268"/>
      <c r="AA142" s="268"/>
    </row>
    <row r="143" spans="4:27" x14ac:dyDescent="0.25">
      <c r="D143" s="75"/>
      <c r="E143" s="75"/>
      <c r="F143" s="256" t="s">
        <v>198</v>
      </c>
      <c r="G143" t="s">
        <v>269</v>
      </c>
      <c r="H143" s="268"/>
      <c r="I143" s="268"/>
      <c r="J143" s="269">
        <f t="shared" ref="J143:Y143" si="18">hundred * $H38 * J63 / $H51 * J$78 / hours_in_year</f>
        <v>0.18419124855732591</v>
      </c>
      <c r="K143" s="269">
        <f t="shared" si="18"/>
        <v>0.18419124855732591</v>
      </c>
      <c r="L143" s="269">
        <f t="shared" si="18"/>
        <v>0.14930997370580654</v>
      </c>
      <c r="M143" s="269">
        <f t="shared" si="18"/>
        <v>0.14930997370580654</v>
      </c>
      <c r="N143" s="269">
        <f t="shared" si="18"/>
        <v>0.12782223358449898</v>
      </c>
      <c r="O143" s="269">
        <f t="shared" si="18"/>
        <v>0.1123773252305553</v>
      </c>
      <c r="P143" s="269">
        <f t="shared" si="18"/>
        <v>0</v>
      </c>
      <c r="Q143" s="269">
        <f t="shared" si="18"/>
        <v>0.17424186030773475</v>
      </c>
      <c r="R143" s="269">
        <f t="shared" si="18"/>
        <v>-8.7801739728589082E-2</v>
      </c>
      <c r="S143" s="269">
        <f t="shared" si="18"/>
        <v>0</v>
      </c>
      <c r="T143" s="269">
        <f t="shared" si="18"/>
        <v>-8.7801739728589082E-2</v>
      </c>
      <c r="U143" s="269">
        <f t="shared" si="18"/>
        <v>-8.7801739728589082E-2</v>
      </c>
      <c r="V143" s="269">
        <f t="shared" si="18"/>
        <v>0</v>
      </c>
      <c r="W143" s="269">
        <f t="shared" si="18"/>
        <v>0</v>
      </c>
      <c r="X143" s="269">
        <f t="shared" si="18"/>
        <v>0</v>
      </c>
      <c r="Y143" s="269">
        <f t="shared" si="18"/>
        <v>0</v>
      </c>
      <c r="Z143" s="268"/>
      <c r="AA143" s="268"/>
    </row>
    <row r="144" spans="4:27" x14ac:dyDescent="0.25">
      <c r="D144" s="75"/>
      <c r="E144" s="75"/>
      <c r="F144" s="258" t="s">
        <v>199</v>
      </c>
      <c r="G144" s="96" t="s">
        <v>269</v>
      </c>
      <c r="H144" s="270"/>
      <c r="I144" s="270"/>
      <c r="J144" s="271">
        <f t="shared" ref="J144:Y144" si="19">hundred * $H39 * J64 / $H52 * J$78 / hours_in_year</f>
        <v>0.45454809455125988</v>
      </c>
      <c r="K144" s="271">
        <f t="shared" si="19"/>
        <v>0.45454809455125988</v>
      </c>
      <c r="L144" s="271">
        <f t="shared" si="19"/>
        <v>0.36846790809580898</v>
      </c>
      <c r="M144" s="271">
        <f t="shared" si="19"/>
        <v>0.36846790809580898</v>
      </c>
      <c r="N144" s="271">
        <f t="shared" si="19"/>
        <v>0.31544035437186996</v>
      </c>
      <c r="O144" s="271">
        <f t="shared" si="19"/>
        <v>0</v>
      </c>
      <c r="P144" s="271">
        <f t="shared" si="19"/>
        <v>0</v>
      </c>
      <c r="Q144" s="271">
        <f t="shared" si="19"/>
        <v>0.42999494391992121</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2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25">
      <c r="C146" s="93" t="str">
        <f ca="1">INDEX('Version control'!$H$41:$H$64,MATCH($A$1,'Version control'!$F$41:$F$64,0),1)&amp;"-C: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2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25">
      <c r="D148" s="86" t="s">
        <v>580</v>
      </c>
      <c r="E148" s="75"/>
      <c r="F148" s="75"/>
      <c r="J148" s="261"/>
      <c r="K148" s="261"/>
      <c r="L148" s="261"/>
      <c r="M148" s="261"/>
      <c r="N148" s="261"/>
      <c r="O148" s="261"/>
      <c r="P148" s="261"/>
      <c r="Q148" s="261"/>
      <c r="R148" s="261"/>
      <c r="S148" s="261"/>
      <c r="T148" s="261"/>
      <c r="U148" s="261"/>
      <c r="V148" s="261"/>
      <c r="W148" s="261"/>
      <c r="X148" s="261"/>
      <c r="Y148" s="261"/>
    </row>
    <row r="149" spans="3:27" x14ac:dyDescent="0.25">
      <c r="D149" s="86" t="s">
        <v>581</v>
      </c>
      <c r="E149" s="75"/>
      <c r="F149" s="75"/>
      <c r="J149" s="261"/>
      <c r="K149" s="261"/>
      <c r="L149" s="261"/>
      <c r="M149" s="261"/>
      <c r="N149" s="261"/>
      <c r="O149" s="261"/>
      <c r="P149" s="261"/>
      <c r="Q149" s="261"/>
      <c r="R149" s="261"/>
      <c r="S149" s="261"/>
      <c r="T149" s="261"/>
      <c r="U149" s="261"/>
      <c r="V149" s="261"/>
      <c r="W149" s="261"/>
      <c r="X149" s="261"/>
      <c r="Y149" s="261"/>
    </row>
    <row r="150" spans="3:27" x14ac:dyDescent="0.25">
      <c r="D150" s="75"/>
      <c r="E150" s="75"/>
      <c r="F150" s="75"/>
      <c r="I150" s="3" t="s">
        <v>154</v>
      </c>
      <c r="J150" s="261"/>
      <c r="K150" s="261"/>
      <c r="L150" s="261"/>
      <c r="M150" s="261"/>
      <c r="N150" s="261"/>
      <c r="O150" s="261"/>
      <c r="P150" s="261"/>
      <c r="Q150" s="261"/>
      <c r="R150" s="261"/>
      <c r="S150" s="261"/>
      <c r="T150" s="261"/>
      <c r="U150" s="261"/>
      <c r="V150" s="261"/>
      <c r="W150" s="261"/>
      <c r="X150" s="261"/>
      <c r="Y150" s="261"/>
      <c r="AA150" t="s">
        <v>582</v>
      </c>
    </row>
    <row r="151" spans="3:27" x14ac:dyDescent="0.25">
      <c r="E151" s="75" t="s">
        <v>578</v>
      </c>
      <c r="J151" s="261"/>
      <c r="K151" s="261"/>
      <c r="L151" s="261"/>
      <c r="M151" s="261"/>
      <c r="N151" s="261"/>
      <c r="O151" s="261"/>
      <c r="P151" s="261"/>
      <c r="Q151" s="261"/>
      <c r="R151" s="261"/>
      <c r="S151" s="261"/>
      <c r="T151" s="261"/>
      <c r="U151" s="261"/>
      <c r="V151" s="261"/>
      <c r="W151" s="261"/>
      <c r="X151" s="261"/>
      <c r="Y151" s="261"/>
    </row>
    <row r="152" spans="3:27" x14ac:dyDescent="0.25">
      <c r="E152" s="75"/>
      <c r="F152" s="255" t="s">
        <v>189</v>
      </c>
      <c r="G152" s="95" t="s">
        <v>269</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25">
      <c r="E153" s="75"/>
      <c r="F153" s="256" t="s">
        <v>191</v>
      </c>
      <c r="G153" t="s">
        <v>269</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25">
      <c r="E154" s="75"/>
      <c r="F154" s="256" t="s">
        <v>192</v>
      </c>
      <c r="G154" t="s">
        <v>269</v>
      </c>
      <c r="H154" s="268"/>
      <c r="I154" s="268"/>
      <c r="J154" s="269">
        <f t="shared" ref="J154:Y154" si="22">hundred * $H20 * J57 / $H45 * J83 * (1 - J69) / hours_in_year</f>
        <v>3.73452048891926</v>
      </c>
      <c r="K154" s="269">
        <f t="shared" si="22"/>
        <v>3.73452048891926</v>
      </c>
      <c r="L154" s="269">
        <f t="shared" si="22"/>
        <v>3.9724954677213793</v>
      </c>
      <c r="M154" s="269">
        <f t="shared" si="22"/>
        <v>3.9724954677213793</v>
      </c>
      <c r="N154" s="269">
        <f t="shared" si="22"/>
        <v>3.0209189546529194</v>
      </c>
      <c r="O154" s="269">
        <f t="shared" si="22"/>
        <v>2.7899570111421332</v>
      </c>
      <c r="P154" s="269">
        <f t="shared" si="22"/>
        <v>2.556705936482734</v>
      </c>
      <c r="Q154" s="269">
        <f t="shared" si="22"/>
        <v>8.3456390656286406</v>
      </c>
      <c r="R154" s="269">
        <f t="shared" si="22"/>
        <v>-2.3802816301206953</v>
      </c>
      <c r="S154" s="269">
        <f t="shared" si="22"/>
        <v>-2.3489031528874658</v>
      </c>
      <c r="T154" s="269">
        <f t="shared" si="22"/>
        <v>-2.3802816301206953</v>
      </c>
      <c r="U154" s="269">
        <f t="shared" si="22"/>
        <v>-2.3802816301206953</v>
      </c>
      <c r="V154" s="269">
        <f t="shared" si="22"/>
        <v>-2.3489031528874658</v>
      </c>
      <c r="W154" s="269">
        <f t="shared" si="22"/>
        <v>-2.3489031528874658</v>
      </c>
      <c r="X154" s="269">
        <f t="shared" si="22"/>
        <v>-2.3175246756542367</v>
      </c>
      <c r="Y154" s="269">
        <f t="shared" si="22"/>
        <v>-2.3175246756542367</v>
      </c>
      <c r="Z154" s="268"/>
      <c r="AA154" s="268"/>
    </row>
    <row r="155" spans="3:27" x14ac:dyDescent="0.25">
      <c r="E155" s="75"/>
      <c r="F155" s="256" t="s">
        <v>193</v>
      </c>
      <c r="G155" t="s">
        <v>269</v>
      </c>
      <c r="H155" s="268"/>
      <c r="I155" s="268"/>
      <c r="J155" s="269">
        <f t="shared" ref="J155:Y155" si="23">hundred * $H21 * J58 / $H46 * J84 * (1 - J70) / hours_in_year</f>
        <v>0.5349382351118841</v>
      </c>
      <c r="K155" s="269">
        <f t="shared" si="23"/>
        <v>0.5349382351118841</v>
      </c>
      <c r="L155" s="269">
        <f t="shared" si="23"/>
        <v>0.56902612284443577</v>
      </c>
      <c r="M155" s="269">
        <f t="shared" si="23"/>
        <v>0.56902612284443577</v>
      </c>
      <c r="N155" s="269">
        <f t="shared" si="23"/>
        <v>0.43272089651481049</v>
      </c>
      <c r="O155" s="269">
        <f t="shared" si="23"/>
        <v>0.3996375663238908</v>
      </c>
      <c r="P155" s="269">
        <f t="shared" si="23"/>
        <v>0.36622633760350476</v>
      </c>
      <c r="Q155" s="269">
        <f t="shared" si="23"/>
        <v>1.1954416760852047</v>
      </c>
      <c r="R155" s="269">
        <f t="shared" si="23"/>
        <v>-0.34095505917400581</v>
      </c>
      <c r="S155" s="269">
        <f t="shared" si="23"/>
        <v>-0.33646035971220151</v>
      </c>
      <c r="T155" s="269">
        <f t="shared" si="23"/>
        <v>-0.34095505917400581</v>
      </c>
      <c r="U155" s="269">
        <f t="shared" si="23"/>
        <v>-0.34095505917400581</v>
      </c>
      <c r="V155" s="269">
        <f t="shared" si="23"/>
        <v>-0.33646035971220151</v>
      </c>
      <c r="W155" s="269">
        <f t="shared" si="23"/>
        <v>-0.33646035971220151</v>
      </c>
      <c r="X155" s="269">
        <f t="shared" si="23"/>
        <v>-0.33196566025039737</v>
      </c>
      <c r="Y155" s="269">
        <f t="shared" si="23"/>
        <v>-0.33196566025039737</v>
      </c>
      <c r="Z155" s="268"/>
      <c r="AA155" s="268"/>
    </row>
    <row r="156" spans="3:27" x14ac:dyDescent="0.25">
      <c r="E156" s="75"/>
      <c r="F156" s="256" t="s">
        <v>194</v>
      </c>
      <c r="G156" t="s">
        <v>269</v>
      </c>
      <c r="H156" s="268"/>
      <c r="I156" s="268"/>
      <c r="J156" s="269">
        <f t="shared" ref="J156:Y156" si="24">hundred * $H22 * J59 / $H47 * J85 * (1 - J71) / hours_in_year</f>
        <v>1.156873405471248</v>
      </c>
      <c r="K156" s="269">
        <f t="shared" si="24"/>
        <v>1.156873405471248</v>
      </c>
      <c r="L156" s="269">
        <f t="shared" si="24"/>
        <v>1.2305928896622234</v>
      </c>
      <c r="M156" s="269">
        <f t="shared" si="24"/>
        <v>1.2305928896622234</v>
      </c>
      <c r="N156" s="269">
        <f t="shared" si="24"/>
        <v>0.93581513586322251</v>
      </c>
      <c r="O156" s="269">
        <f t="shared" si="24"/>
        <v>0.86426813781718825</v>
      </c>
      <c r="P156" s="269">
        <f t="shared" si="24"/>
        <v>0.79201201661723808</v>
      </c>
      <c r="Q156" s="269">
        <f t="shared" si="24"/>
        <v>2.5567564746531457</v>
      </c>
      <c r="R156" s="269">
        <f t="shared" si="24"/>
        <v>-0.73735959505078963</v>
      </c>
      <c r="S156" s="269">
        <f t="shared" si="24"/>
        <v>-0.72763922374126888</v>
      </c>
      <c r="T156" s="269">
        <f t="shared" si="24"/>
        <v>-0.73735959505078963</v>
      </c>
      <c r="U156" s="269">
        <f t="shared" si="24"/>
        <v>-0.73735959505078963</v>
      </c>
      <c r="V156" s="269">
        <f t="shared" si="24"/>
        <v>-0.72763922374126888</v>
      </c>
      <c r="W156" s="269">
        <f t="shared" si="24"/>
        <v>-0.72763922374126888</v>
      </c>
      <c r="X156" s="269">
        <f t="shared" si="24"/>
        <v>-0.71791885243174802</v>
      </c>
      <c r="Y156" s="269">
        <f t="shared" si="24"/>
        <v>-0.71791885243174802</v>
      </c>
      <c r="Z156" s="268"/>
      <c r="AA156" s="268"/>
    </row>
    <row r="157" spans="3:27" x14ac:dyDescent="0.25">
      <c r="E157" s="75"/>
      <c r="F157" s="256" t="s">
        <v>195</v>
      </c>
      <c r="G157" t="s">
        <v>269</v>
      </c>
      <c r="H157" s="268"/>
      <c r="I157" s="268"/>
      <c r="J157" s="269">
        <f t="shared" ref="J157:Y157" si="25">hundred * $H23 * J60 / $H48 * J86 * (1 - J72) / hours_in_year</f>
        <v>0.91503961123206545</v>
      </c>
      <c r="K157" s="269">
        <f t="shared" si="25"/>
        <v>0.91503961123206545</v>
      </c>
      <c r="L157" s="269">
        <f t="shared" si="25"/>
        <v>0.97334871215470287</v>
      </c>
      <c r="M157" s="269">
        <f t="shared" si="25"/>
        <v>0.97334871215470287</v>
      </c>
      <c r="N157" s="269">
        <f t="shared" si="25"/>
        <v>0.74019154909741569</v>
      </c>
      <c r="O157" s="269">
        <f t="shared" si="25"/>
        <v>0.68360079598022705</v>
      </c>
      <c r="P157" s="269">
        <f t="shared" si="25"/>
        <v>0.62644915541242707</v>
      </c>
      <c r="Q157" s="269">
        <f t="shared" si="25"/>
        <v>2.022289940729237</v>
      </c>
      <c r="R157" s="269">
        <f t="shared" si="25"/>
        <v>-0.58322132223159362</v>
      </c>
      <c r="S157" s="269">
        <f t="shared" si="25"/>
        <v>-0.57553290555434089</v>
      </c>
      <c r="T157" s="269">
        <f t="shared" si="25"/>
        <v>-0.58322132223159362</v>
      </c>
      <c r="U157" s="269">
        <f t="shared" si="25"/>
        <v>-0.58322132223159362</v>
      </c>
      <c r="V157" s="269">
        <f t="shared" si="25"/>
        <v>-0.57553290555434089</v>
      </c>
      <c r="W157" s="269">
        <f t="shared" si="25"/>
        <v>-0.57553290555434089</v>
      </c>
      <c r="X157" s="269">
        <f t="shared" si="25"/>
        <v>-0.56784448887708816</v>
      </c>
      <c r="Y157" s="269">
        <f t="shared" si="25"/>
        <v>-0.56784448887708816</v>
      </c>
      <c r="Z157" s="268"/>
      <c r="AA157" s="268"/>
    </row>
    <row r="158" spans="3:27" x14ac:dyDescent="0.25">
      <c r="E158" s="75"/>
      <c r="F158" s="256" t="s">
        <v>196</v>
      </c>
      <c r="G158" t="s">
        <v>269</v>
      </c>
      <c r="H158" s="268"/>
      <c r="I158" s="268"/>
      <c r="J158" s="269">
        <f t="shared" ref="J158:Y158" si="26">hundred * $H24 * J61 / $H49 * J87 * (1 - J73) / hours_in_year</f>
        <v>0</v>
      </c>
      <c r="K158" s="269">
        <f t="shared" si="26"/>
        <v>0</v>
      </c>
      <c r="L158" s="269">
        <f t="shared" si="26"/>
        <v>0</v>
      </c>
      <c r="M158" s="269">
        <f t="shared" si="26"/>
        <v>0</v>
      </c>
      <c r="N158" s="269">
        <f t="shared" si="26"/>
        <v>0</v>
      </c>
      <c r="O158" s="269">
        <f t="shared" si="26"/>
        <v>0</v>
      </c>
      <c r="P158" s="269">
        <f t="shared" si="26"/>
        <v>0</v>
      </c>
      <c r="Q158" s="269">
        <f t="shared" si="26"/>
        <v>0</v>
      </c>
      <c r="R158" s="269">
        <f t="shared" si="26"/>
        <v>0</v>
      </c>
      <c r="S158" s="269">
        <f t="shared" si="26"/>
        <v>0</v>
      </c>
      <c r="T158" s="269">
        <f t="shared" si="26"/>
        <v>0</v>
      </c>
      <c r="U158" s="269">
        <f t="shared" si="26"/>
        <v>0</v>
      </c>
      <c r="V158" s="269">
        <f t="shared" si="26"/>
        <v>0</v>
      </c>
      <c r="W158" s="269">
        <f t="shared" si="26"/>
        <v>0</v>
      </c>
      <c r="X158" s="269">
        <f t="shared" si="26"/>
        <v>0</v>
      </c>
      <c r="Y158" s="269">
        <f t="shared" si="26"/>
        <v>0</v>
      </c>
      <c r="Z158" s="268"/>
      <c r="AA158" s="268"/>
    </row>
    <row r="159" spans="3:27" x14ac:dyDescent="0.25">
      <c r="E159" s="75"/>
      <c r="F159" s="256" t="s">
        <v>197</v>
      </c>
      <c r="G159" t="s">
        <v>269</v>
      </c>
      <c r="H159" s="268"/>
      <c r="I159" s="268"/>
      <c r="J159" s="269">
        <f t="shared" ref="J159:Y159" si="27">hundred * $H25 * J62 / $H50 * J88 * (1 - J74) / hours_in_year</f>
        <v>4.2137653890768751</v>
      </c>
      <c r="K159" s="269">
        <f t="shared" si="27"/>
        <v>4.2137653890768751</v>
      </c>
      <c r="L159" s="269">
        <f t="shared" si="27"/>
        <v>4.4822793072942231</v>
      </c>
      <c r="M159" s="269">
        <f t="shared" si="27"/>
        <v>4.4822793072942231</v>
      </c>
      <c r="N159" s="269">
        <f t="shared" si="27"/>
        <v>3.4085885382320034</v>
      </c>
      <c r="O159" s="269">
        <f t="shared" si="27"/>
        <v>3.1479876266431308</v>
      </c>
      <c r="P159" s="269">
        <f t="shared" si="27"/>
        <v>2.8848038234531277</v>
      </c>
      <c r="Q159" s="269">
        <f t="shared" si="27"/>
        <v>9.3126628118856765</v>
      </c>
      <c r="R159" s="269">
        <f t="shared" si="27"/>
        <v>-2.6857392746988666</v>
      </c>
      <c r="S159" s="269">
        <f t="shared" si="27"/>
        <v>-2.6503340488553788</v>
      </c>
      <c r="T159" s="269">
        <f t="shared" si="27"/>
        <v>-2.6857392746988666</v>
      </c>
      <c r="U159" s="269">
        <f t="shared" si="27"/>
        <v>-2.6857392746988666</v>
      </c>
      <c r="V159" s="269">
        <f t="shared" si="27"/>
        <v>-2.6503340488553788</v>
      </c>
      <c r="W159" s="269">
        <f t="shared" si="27"/>
        <v>-2.6503340488553788</v>
      </c>
      <c r="X159" s="269">
        <f t="shared" si="27"/>
        <v>0</v>
      </c>
      <c r="Y159" s="269">
        <f t="shared" si="27"/>
        <v>0</v>
      </c>
      <c r="Z159" s="268"/>
      <c r="AA159" s="268"/>
    </row>
    <row r="160" spans="3:27" x14ac:dyDescent="0.25">
      <c r="E160" s="75"/>
      <c r="F160" s="256" t="s">
        <v>198</v>
      </c>
      <c r="G160" t="s">
        <v>269</v>
      </c>
      <c r="H160" s="268"/>
      <c r="I160" s="268"/>
      <c r="J160" s="269">
        <f t="shared" ref="J160:Y160" si="28">hundred * $H26 * J63 / $H51 * J89 * (1 - J75) / hours_in_year</f>
        <v>1.7288448192646617</v>
      </c>
      <c r="K160" s="269">
        <f t="shared" si="28"/>
        <v>1.7288448192646617</v>
      </c>
      <c r="L160" s="269">
        <f t="shared" si="28"/>
        <v>1.8390120577193432</v>
      </c>
      <c r="M160" s="269">
        <f t="shared" si="28"/>
        <v>1.8390120577193432</v>
      </c>
      <c r="N160" s="269">
        <f t="shared" si="28"/>
        <v>1.3984928184666419</v>
      </c>
      <c r="O160" s="269">
        <f t="shared" si="28"/>
        <v>1.2915721680991634</v>
      </c>
      <c r="P160" s="269">
        <f t="shared" si="28"/>
        <v>0</v>
      </c>
      <c r="Q160" s="269">
        <f t="shared" si="28"/>
        <v>3.8208460531815098</v>
      </c>
      <c r="R160" s="269">
        <f t="shared" si="28"/>
        <v>-1.1019185935209304</v>
      </c>
      <c r="S160" s="269">
        <f t="shared" si="28"/>
        <v>0</v>
      </c>
      <c r="T160" s="269">
        <f t="shared" si="28"/>
        <v>-1.1019185935209304</v>
      </c>
      <c r="U160" s="269">
        <f t="shared" si="28"/>
        <v>-1.1019185935209304</v>
      </c>
      <c r="V160" s="269">
        <f t="shared" si="28"/>
        <v>0</v>
      </c>
      <c r="W160" s="269">
        <f t="shared" si="28"/>
        <v>0</v>
      </c>
      <c r="X160" s="269">
        <f t="shared" si="28"/>
        <v>0</v>
      </c>
      <c r="Y160" s="269">
        <f t="shared" si="28"/>
        <v>0</v>
      </c>
      <c r="Z160" s="268"/>
      <c r="AA160" s="268"/>
    </row>
    <row r="161" spans="3:27" x14ac:dyDescent="0.25">
      <c r="E161" s="75"/>
      <c r="F161" s="258" t="s">
        <v>199</v>
      </c>
      <c r="G161" s="96" t="s">
        <v>269</v>
      </c>
      <c r="H161" s="270"/>
      <c r="I161" s="270"/>
      <c r="J161" s="271">
        <f t="shared" ref="J161:Y161" si="29">hundred * $H27 * J64 / $H52 * J90 * (1 - J76) / hours_in_year</f>
        <v>4.2664519868705426</v>
      </c>
      <c r="K161" s="271">
        <f t="shared" si="29"/>
        <v>4.2664519868705426</v>
      </c>
      <c r="L161" s="271">
        <f t="shared" si="29"/>
        <v>4.5383232549887156</v>
      </c>
      <c r="M161" s="271">
        <f t="shared" si="29"/>
        <v>4.5383232549887156</v>
      </c>
      <c r="N161" s="271">
        <f t="shared" si="29"/>
        <v>3.451207648879091</v>
      </c>
      <c r="O161" s="271">
        <f t="shared" si="29"/>
        <v>0</v>
      </c>
      <c r="P161" s="271">
        <f t="shared" si="29"/>
        <v>0</v>
      </c>
      <c r="Q161" s="271">
        <f t="shared" si="29"/>
        <v>9.4291032101170913</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25">
      <c r="E162" s="75"/>
      <c r="F162" s="256"/>
      <c r="J162" s="261"/>
      <c r="K162" s="261"/>
      <c r="L162" s="261"/>
      <c r="M162" s="261"/>
      <c r="N162" s="261"/>
      <c r="O162" s="261"/>
      <c r="P162" s="261"/>
      <c r="Q162" s="261"/>
      <c r="R162" s="261"/>
      <c r="S162" s="261"/>
      <c r="T162" s="261"/>
      <c r="U162" s="261"/>
      <c r="V162" s="261"/>
      <c r="W162" s="261"/>
      <c r="X162" s="261"/>
      <c r="Y162" s="261"/>
    </row>
    <row r="163" spans="3:27" x14ac:dyDescent="0.25">
      <c r="E163" s="75" t="s">
        <v>579</v>
      </c>
      <c r="J163" s="261"/>
      <c r="K163" s="261"/>
      <c r="L163" s="261"/>
      <c r="M163" s="261"/>
      <c r="N163" s="261"/>
      <c r="O163" s="261"/>
      <c r="P163" s="261"/>
      <c r="Q163" s="261"/>
      <c r="R163" s="261"/>
      <c r="S163" s="261"/>
      <c r="T163" s="261"/>
      <c r="U163" s="261"/>
      <c r="V163" s="261"/>
      <c r="W163" s="261"/>
      <c r="X163" s="261"/>
      <c r="Y163" s="261"/>
    </row>
    <row r="164" spans="3:27" x14ac:dyDescent="0.25">
      <c r="D164" s="75"/>
      <c r="E164" s="75"/>
      <c r="F164" s="255" t="s">
        <v>189</v>
      </c>
      <c r="G164" s="95" t="s">
        <v>269</v>
      </c>
      <c r="H164" s="266"/>
      <c r="I164" s="266"/>
      <c r="J164" s="267">
        <f t="shared" ref="J164:Y164" si="30">hundred * $H30 * J55 / $H43 * J81 / hours_in_year</f>
        <v>1.6550590728205479</v>
      </c>
      <c r="K164" s="267">
        <f t="shared" si="30"/>
        <v>1.6550590728205479</v>
      </c>
      <c r="L164" s="267">
        <f t="shared" si="30"/>
        <v>1.7605244595922527</v>
      </c>
      <c r="M164" s="267">
        <f t="shared" si="30"/>
        <v>1.7605244595922527</v>
      </c>
      <c r="N164" s="267">
        <f t="shared" si="30"/>
        <v>1.3388062373707263</v>
      </c>
      <c r="O164" s="267">
        <f t="shared" si="30"/>
        <v>1.2364488768426509</v>
      </c>
      <c r="P164" s="267">
        <f t="shared" si="30"/>
        <v>1.1330770226767364</v>
      </c>
      <c r="Q164" s="267">
        <f t="shared" si="30"/>
        <v>3.9285938653359938</v>
      </c>
      <c r="R164" s="267">
        <f t="shared" si="30"/>
        <v>-1.0548895686844664</v>
      </c>
      <c r="S164" s="267">
        <f t="shared" si="30"/>
        <v>-1.0409833031839177</v>
      </c>
      <c r="T164" s="267">
        <f t="shared" si="30"/>
        <v>-1.0548895686844664</v>
      </c>
      <c r="U164" s="267">
        <f t="shared" si="30"/>
        <v>-1.0548895686844664</v>
      </c>
      <c r="V164" s="267">
        <f t="shared" si="30"/>
        <v>-1.0409833031839177</v>
      </c>
      <c r="W164" s="267">
        <f t="shared" si="30"/>
        <v>-1.0409833031839177</v>
      </c>
      <c r="X164" s="267">
        <f t="shared" si="30"/>
        <v>-1.0270770376833691</v>
      </c>
      <c r="Y164" s="267">
        <f t="shared" si="30"/>
        <v>-1.0270770376833691</v>
      </c>
      <c r="Z164" s="268"/>
      <c r="AA164" s="268"/>
    </row>
    <row r="165" spans="3:27" x14ac:dyDescent="0.25">
      <c r="D165" s="75"/>
      <c r="E165" s="75"/>
      <c r="F165" s="256" t="s">
        <v>191</v>
      </c>
      <c r="G165" t="s">
        <v>269</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25">
      <c r="D166" s="75"/>
      <c r="E166" s="75"/>
      <c r="F166" s="256" t="s">
        <v>192</v>
      </c>
      <c r="G166" t="s">
        <v>269</v>
      </c>
      <c r="H166" s="268"/>
      <c r="I166" s="268"/>
      <c r="J166" s="269">
        <f t="shared" ref="J166:Y166" si="32">hundred * $H32 * J57 / $H45 * J83 / hours_in_year</f>
        <v>2.6799956695062206</v>
      </c>
      <c r="K166" s="269">
        <f t="shared" si="32"/>
        <v>2.6799956695062206</v>
      </c>
      <c r="L166" s="269">
        <f t="shared" si="32"/>
        <v>2.8507731266209571</v>
      </c>
      <c r="M166" s="269">
        <f t="shared" si="32"/>
        <v>2.8507731266209571</v>
      </c>
      <c r="N166" s="269">
        <f t="shared" si="32"/>
        <v>2.1678953805236758</v>
      </c>
      <c r="O166" s="269">
        <f t="shared" si="32"/>
        <v>2.0021506723968301</v>
      </c>
      <c r="P166" s="269">
        <f t="shared" si="32"/>
        <v>1.8347632201523878</v>
      </c>
      <c r="Q166" s="269">
        <f t="shared" si="32"/>
        <v>5.9890624837940889</v>
      </c>
      <c r="R166" s="269">
        <f t="shared" si="32"/>
        <v>-1.7081562358156304</v>
      </c>
      <c r="S166" s="269">
        <f t="shared" si="32"/>
        <v>-1.6856381686768178</v>
      </c>
      <c r="T166" s="269">
        <f t="shared" si="32"/>
        <v>-1.7081562358156304</v>
      </c>
      <c r="U166" s="269">
        <f t="shared" si="32"/>
        <v>-1.7081562358156304</v>
      </c>
      <c r="V166" s="269">
        <f t="shared" si="32"/>
        <v>-1.6856381686768178</v>
      </c>
      <c r="W166" s="269">
        <f t="shared" si="32"/>
        <v>-1.6856381686768178</v>
      </c>
      <c r="X166" s="269">
        <f t="shared" si="32"/>
        <v>-1.663120101538005</v>
      </c>
      <c r="Y166" s="269">
        <f t="shared" si="32"/>
        <v>-1.663120101538005</v>
      </c>
      <c r="Z166" s="268"/>
      <c r="AA166" s="268"/>
    </row>
    <row r="167" spans="3:27" x14ac:dyDescent="0.25">
      <c r="D167" s="75"/>
      <c r="E167" s="75"/>
      <c r="F167" s="256" t="s">
        <v>193</v>
      </c>
      <c r="G167" t="s">
        <v>269</v>
      </c>
      <c r="H167" s="268"/>
      <c r="I167" s="268"/>
      <c r="J167" s="269">
        <f t="shared" ref="J167:Y167" si="33">hundred * $H33 * J58 / $H46 * J84 / hours_in_year</f>
        <v>0.38388654120573079</v>
      </c>
      <c r="K167" s="269">
        <f t="shared" si="33"/>
        <v>0.38388654120573079</v>
      </c>
      <c r="L167" s="269">
        <f t="shared" si="33"/>
        <v>0.40834895660200843</v>
      </c>
      <c r="M167" s="269">
        <f t="shared" si="33"/>
        <v>0.40834895660200843</v>
      </c>
      <c r="N167" s="269">
        <f t="shared" si="33"/>
        <v>0.31053253883744153</v>
      </c>
      <c r="O167" s="269">
        <f t="shared" si="33"/>
        <v>0.28679102184547894</v>
      </c>
      <c r="P167" s="269">
        <f t="shared" si="33"/>
        <v>0.2628141957578467</v>
      </c>
      <c r="Q167" s="269">
        <f t="shared" si="33"/>
        <v>0.85788216306794285</v>
      </c>
      <c r="R167" s="269">
        <f t="shared" si="33"/>
        <v>-0.24467882417402578</v>
      </c>
      <c r="S167" s="269">
        <f t="shared" si="33"/>
        <v>-0.2414533029513927</v>
      </c>
      <c r="T167" s="269">
        <f t="shared" si="33"/>
        <v>-0.24467882417402578</v>
      </c>
      <c r="U167" s="269">
        <f t="shared" si="33"/>
        <v>-0.24467882417402578</v>
      </c>
      <c r="V167" s="269">
        <f t="shared" si="33"/>
        <v>-0.2414533029513927</v>
      </c>
      <c r="W167" s="269">
        <f t="shared" si="33"/>
        <v>-0.2414533029513927</v>
      </c>
      <c r="X167" s="269">
        <f t="shared" si="33"/>
        <v>-0.23822778172875961</v>
      </c>
      <c r="Y167" s="269">
        <f t="shared" si="33"/>
        <v>-0.23822778172875961</v>
      </c>
      <c r="Z167" s="268"/>
      <c r="AA167" s="268"/>
    </row>
    <row r="168" spans="3:27" x14ac:dyDescent="0.25">
      <c r="D168" s="75"/>
      <c r="E168" s="75"/>
      <c r="F168" s="256" t="s">
        <v>194</v>
      </c>
      <c r="G168" t="s">
        <v>269</v>
      </c>
      <c r="H168" s="268"/>
      <c r="I168" s="268"/>
      <c r="J168" s="269">
        <f t="shared" ref="J168:Y168" si="34">hundred * $H34 * J59 / $H47 * J85 / hours_in_year</f>
        <v>0.83020450042492444</v>
      </c>
      <c r="K168" s="269">
        <f t="shared" si="34"/>
        <v>0.83020450042492444</v>
      </c>
      <c r="L168" s="269">
        <f t="shared" si="34"/>
        <v>0.8831076506355745</v>
      </c>
      <c r="M168" s="269">
        <f t="shared" si="34"/>
        <v>0.8831076506355745</v>
      </c>
      <c r="N168" s="269">
        <f t="shared" si="34"/>
        <v>0.67156694387225102</v>
      </c>
      <c r="O168" s="269">
        <f t="shared" si="34"/>
        <v>0.62022283008348678</v>
      </c>
      <c r="P168" s="269">
        <f t="shared" si="34"/>
        <v>0.56836982981591488</v>
      </c>
      <c r="Q168" s="269">
        <f t="shared" si="34"/>
        <v>1.8347994877477194</v>
      </c>
      <c r="R168" s="269">
        <f t="shared" si="34"/>
        <v>-0.52914973353830763</v>
      </c>
      <c r="S168" s="269">
        <f t="shared" si="34"/>
        <v>-0.52217412499825455</v>
      </c>
      <c r="T168" s="269">
        <f t="shared" si="34"/>
        <v>-0.52914973353830763</v>
      </c>
      <c r="U168" s="269">
        <f t="shared" si="34"/>
        <v>-0.52914973353830763</v>
      </c>
      <c r="V168" s="269">
        <f t="shared" si="34"/>
        <v>-0.52217412499825455</v>
      </c>
      <c r="W168" s="269">
        <f t="shared" si="34"/>
        <v>-0.52217412499825455</v>
      </c>
      <c r="X168" s="269">
        <f t="shared" si="34"/>
        <v>-0.51519851645820147</v>
      </c>
      <c r="Y168" s="269">
        <f t="shared" si="34"/>
        <v>-0.51519851645820147</v>
      </c>
      <c r="Z168" s="268"/>
      <c r="AA168" s="268"/>
    </row>
    <row r="169" spans="3:27" x14ac:dyDescent="0.25">
      <c r="D169" s="75"/>
      <c r="E169" s="75"/>
      <c r="F169" s="256" t="s">
        <v>195</v>
      </c>
      <c r="G169" t="s">
        <v>269</v>
      </c>
      <c r="H169" s="268"/>
      <c r="I169" s="268"/>
      <c r="J169" s="269">
        <f t="shared" ref="J169:Y169" si="35">hundred * $H35 * J60 / $H48 * J86 / hours_in_year</f>
        <v>0.65665785013225819</v>
      </c>
      <c r="K169" s="269">
        <f t="shared" si="35"/>
        <v>0.65665785013225819</v>
      </c>
      <c r="L169" s="269">
        <f t="shared" si="35"/>
        <v>0.69850208111964585</v>
      </c>
      <c r="M169" s="269">
        <f t="shared" si="35"/>
        <v>0.69850208111964585</v>
      </c>
      <c r="N169" s="269">
        <f t="shared" si="35"/>
        <v>0.53118202245028912</v>
      </c>
      <c r="O169" s="269">
        <f t="shared" si="35"/>
        <v>0.49057092559376847</v>
      </c>
      <c r="P169" s="269">
        <f t="shared" si="35"/>
        <v>0.44955732031797974</v>
      </c>
      <c r="Q169" s="269">
        <f t="shared" si="35"/>
        <v>1.4512514524210769</v>
      </c>
      <c r="R169" s="269">
        <f t="shared" si="35"/>
        <v>-0.41853582610727386</v>
      </c>
      <c r="S169" s="269">
        <f t="shared" si="35"/>
        <v>-0.41301840467083151</v>
      </c>
      <c r="T169" s="269">
        <f t="shared" si="35"/>
        <v>-0.41853582610727386</v>
      </c>
      <c r="U169" s="269">
        <f t="shared" si="35"/>
        <v>-0.41853582610727386</v>
      </c>
      <c r="V169" s="269">
        <f t="shared" si="35"/>
        <v>-0.41301840467083151</v>
      </c>
      <c r="W169" s="269">
        <f t="shared" si="35"/>
        <v>-0.41301840467083151</v>
      </c>
      <c r="X169" s="269">
        <f t="shared" si="35"/>
        <v>-0.40750098323438905</v>
      </c>
      <c r="Y169" s="269">
        <f t="shared" si="35"/>
        <v>-0.40750098323438905</v>
      </c>
      <c r="Z169" s="268"/>
      <c r="AA169" s="268"/>
    </row>
    <row r="170" spans="3:27" x14ac:dyDescent="0.25">
      <c r="D170" s="75"/>
      <c r="E170" s="75"/>
      <c r="F170" s="256" t="s">
        <v>196</v>
      </c>
      <c r="G170" t="s">
        <v>269</v>
      </c>
      <c r="H170" s="268"/>
      <c r="I170" s="268"/>
      <c r="J170" s="269">
        <f t="shared" ref="J170:Y170" si="36">hundred * $H36 * J61 / $H49 * J87 / hours_in_year</f>
        <v>0</v>
      </c>
      <c r="K170" s="269">
        <f t="shared" si="36"/>
        <v>0</v>
      </c>
      <c r="L170" s="269">
        <f t="shared" si="36"/>
        <v>0</v>
      </c>
      <c r="M170" s="269">
        <f t="shared" si="36"/>
        <v>0</v>
      </c>
      <c r="N170" s="269">
        <f t="shared" si="36"/>
        <v>0</v>
      </c>
      <c r="O170" s="269">
        <f t="shared" si="36"/>
        <v>0</v>
      </c>
      <c r="P170" s="269">
        <f t="shared" si="36"/>
        <v>0</v>
      </c>
      <c r="Q170" s="269">
        <f t="shared" si="36"/>
        <v>0</v>
      </c>
      <c r="R170" s="269">
        <f t="shared" si="36"/>
        <v>0</v>
      </c>
      <c r="S170" s="269">
        <f t="shared" si="36"/>
        <v>0</v>
      </c>
      <c r="T170" s="269">
        <f t="shared" si="36"/>
        <v>0</v>
      </c>
      <c r="U170" s="269">
        <f t="shared" si="36"/>
        <v>0</v>
      </c>
      <c r="V170" s="269">
        <f t="shared" si="36"/>
        <v>0</v>
      </c>
      <c r="W170" s="269">
        <f t="shared" si="36"/>
        <v>0</v>
      </c>
      <c r="X170" s="269">
        <f t="shared" si="36"/>
        <v>0</v>
      </c>
      <c r="Y170" s="269">
        <f t="shared" si="36"/>
        <v>0</v>
      </c>
      <c r="Z170" s="268"/>
      <c r="AA170" s="268"/>
    </row>
    <row r="171" spans="3:27" x14ac:dyDescent="0.25">
      <c r="D171" s="75"/>
      <c r="E171" s="75"/>
      <c r="F171" s="256" t="s">
        <v>197</v>
      </c>
      <c r="G171" t="s">
        <v>269</v>
      </c>
      <c r="H171" s="268"/>
      <c r="I171" s="268"/>
      <c r="J171" s="269">
        <f t="shared" ref="J171:Y171" si="37">hundred * $H37 * J62 / $H50 * J88 / hours_in_year</f>
        <v>3.0239151260646278</v>
      </c>
      <c r="K171" s="269">
        <f t="shared" si="37"/>
        <v>3.0239151260646278</v>
      </c>
      <c r="L171" s="269">
        <f t="shared" si="37"/>
        <v>3.2166081746527455</v>
      </c>
      <c r="M171" s="269">
        <f t="shared" si="37"/>
        <v>3.2166081746527455</v>
      </c>
      <c r="N171" s="269">
        <f t="shared" si="37"/>
        <v>2.4460978454114479</v>
      </c>
      <c r="O171" s="269">
        <f t="shared" si="37"/>
        <v>2.2590833902491827</v>
      </c>
      <c r="P171" s="269">
        <f t="shared" si="37"/>
        <v>2.0702153803062235</v>
      </c>
      <c r="Q171" s="269">
        <f t="shared" si="37"/>
        <v>6.6830255936413003</v>
      </c>
      <c r="R171" s="269">
        <f t="shared" si="37"/>
        <v>-1.9273611289514487</v>
      </c>
      <c r="S171" s="269">
        <f t="shared" si="37"/>
        <v>-1.9019533551234638</v>
      </c>
      <c r="T171" s="269">
        <f t="shared" si="37"/>
        <v>-1.9273611289514487</v>
      </c>
      <c r="U171" s="269">
        <f t="shared" si="37"/>
        <v>-1.9273611289514487</v>
      </c>
      <c r="V171" s="269">
        <f t="shared" si="37"/>
        <v>-1.9019533551234638</v>
      </c>
      <c r="W171" s="269">
        <f t="shared" si="37"/>
        <v>-1.9019533551234638</v>
      </c>
      <c r="X171" s="269">
        <f t="shared" si="37"/>
        <v>0</v>
      </c>
      <c r="Y171" s="269">
        <f t="shared" si="37"/>
        <v>0</v>
      </c>
      <c r="Z171" s="268"/>
      <c r="AA171" s="268"/>
    </row>
    <row r="172" spans="3:27" x14ac:dyDescent="0.25">
      <c r="D172" s="75"/>
      <c r="E172" s="75"/>
      <c r="F172" s="256" t="s">
        <v>198</v>
      </c>
      <c r="G172" t="s">
        <v>269</v>
      </c>
      <c r="H172" s="268"/>
      <c r="I172" s="268"/>
      <c r="J172" s="269">
        <f t="shared" ref="J172:Y172" si="38">hundred * $H38 * J63 / $H51 * J89 / hours_in_year</f>
        <v>1.2406670796491988</v>
      </c>
      <c r="K172" s="269">
        <f t="shared" si="38"/>
        <v>1.2406670796491988</v>
      </c>
      <c r="L172" s="269">
        <f t="shared" si="38"/>
        <v>1.3197261510496741</v>
      </c>
      <c r="M172" s="269">
        <f t="shared" si="38"/>
        <v>1.3197261510496741</v>
      </c>
      <c r="N172" s="269">
        <f t="shared" si="38"/>
        <v>1.0035973047802922</v>
      </c>
      <c r="O172" s="269">
        <f t="shared" si="38"/>
        <v>0.92686807520025716</v>
      </c>
      <c r="P172" s="269">
        <f t="shared" si="38"/>
        <v>0</v>
      </c>
      <c r="Q172" s="269">
        <f t="shared" si="38"/>
        <v>2.7419452930460979</v>
      </c>
      <c r="R172" s="269">
        <f t="shared" si="38"/>
        <v>-0.79076740040569204</v>
      </c>
      <c r="S172" s="269">
        <f t="shared" si="38"/>
        <v>0</v>
      </c>
      <c r="T172" s="269">
        <f t="shared" si="38"/>
        <v>-0.79076740040569204</v>
      </c>
      <c r="U172" s="269">
        <f t="shared" si="38"/>
        <v>-0.79076740040569204</v>
      </c>
      <c r="V172" s="269">
        <f t="shared" si="38"/>
        <v>0</v>
      </c>
      <c r="W172" s="269">
        <f t="shared" si="38"/>
        <v>0</v>
      </c>
      <c r="X172" s="269">
        <f t="shared" si="38"/>
        <v>0</v>
      </c>
      <c r="Y172" s="269">
        <f t="shared" si="38"/>
        <v>0</v>
      </c>
      <c r="Z172" s="268"/>
      <c r="AA172" s="268"/>
    </row>
    <row r="173" spans="3:27" x14ac:dyDescent="0.25">
      <c r="D173" s="75"/>
      <c r="E173" s="75"/>
      <c r="F173" s="258" t="s">
        <v>199</v>
      </c>
      <c r="G173" s="96" t="s">
        <v>269</v>
      </c>
      <c r="H173" s="270"/>
      <c r="I173" s="270"/>
      <c r="J173" s="271">
        <f t="shared" ref="J173:Y173" si="39">hundred * $H39 * J64 / $H52 * J90 / hours_in_year</f>
        <v>3.0617244925808915</v>
      </c>
      <c r="K173" s="271">
        <f t="shared" si="39"/>
        <v>3.0617244925808915</v>
      </c>
      <c r="L173" s="271">
        <f t="shared" si="39"/>
        <v>3.2568268687445103</v>
      </c>
      <c r="M173" s="271">
        <f t="shared" si="39"/>
        <v>3.2568268687445103</v>
      </c>
      <c r="N173" s="271">
        <f t="shared" si="39"/>
        <v>2.476682503418091</v>
      </c>
      <c r="O173" s="271">
        <f t="shared" si="39"/>
        <v>0</v>
      </c>
      <c r="P173" s="271">
        <f t="shared" si="39"/>
        <v>0</v>
      </c>
      <c r="Q173" s="271">
        <f t="shared" si="39"/>
        <v>6.7665864588023519</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2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25">
      <c r="C175" s="93" t="str">
        <f ca="1">INDEX('Version control'!$H$41:$H$64,MATCH($A$1,'Version control'!$F$41:$F$64,0),1)&amp;"-D: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2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25">
      <c r="D177" s="86" t="s">
        <v>583</v>
      </c>
      <c r="E177" s="75"/>
      <c r="F177" s="75"/>
      <c r="J177" s="261"/>
      <c r="K177" s="261"/>
      <c r="L177" s="261"/>
      <c r="M177" s="261"/>
      <c r="N177" s="261"/>
      <c r="O177" s="261"/>
      <c r="P177" s="261"/>
      <c r="Q177" s="261"/>
      <c r="R177" s="261"/>
      <c r="S177" s="261"/>
      <c r="T177" s="261"/>
      <c r="U177" s="261"/>
      <c r="V177" s="261"/>
      <c r="W177" s="261"/>
      <c r="X177" s="261"/>
      <c r="Y177" s="261"/>
    </row>
    <row r="178" spans="4:27" x14ac:dyDescent="0.25">
      <c r="D178" s="86" t="s">
        <v>581</v>
      </c>
      <c r="E178" s="75"/>
      <c r="F178" s="75"/>
      <c r="J178" s="261"/>
      <c r="K178" s="261"/>
      <c r="L178" s="261"/>
      <c r="M178" s="261"/>
      <c r="N178" s="261"/>
      <c r="O178" s="261"/>
      <c r="P178" s="261"/>
      <c r="Q178" s="261"/>
      <c r="R178" s="261"/>
      <c r="S178" s="261"/>
      <c r="T178" s="261"/>
      <c r="U178" s="261"/>
      <c r="V178" s="261"/>
      <c r="W178" s="261"/>
      <c r="X178" s="261"/>
      <c r="Y178" s="261"/>
    </row>
    <row r="179" spans="4:27" x14ac:dyDescent="0.25">
      <c r="D179" s="75"/>
      <c r="E179" s="75"/>
      <c r="F179" s="75"/>
      <c r="I179" s="3" t="s">
        <v>154</v>
      </c>
      <c r="J179" s="261"/>
      <c r="K179" s="261"/>
      <c r="L179" s="261"/>
      <c r="M179" s="261"/>
      <c r="N179" s="261"/>
      <c r="O179" s="261"/>
      <c r="P179" s="261"/>
      <c r="Q179" s="261"/>
      <c r="R179" s="261"/>
      <c r="S179" s="261"/>
      <c r="T179" s="261"/>
      <c r="U179" s="261"/>
      <c r="V179" s="261"/>
      <c r="W179" s="261"/>
      <c r="X179" s="261"/>
      <c r="Y179" s="261"/>
      <c r="AA179" t="s">
        <v>582</v>
      </c>
    </row>
    <row r="180" spans="4:27" x14ac:dyDescent="0.25">
      <c r="E180" s="75" t="s">
        <v>578</v>
      </c>
      <c r="J180" s="261"/>
      <c r="K180" s="261"/>
      <c r="L180" s="261"/>
      <c r="M180" s="261"/>
      <c r="N180" s="261"/>
      <c r="O180" s="261"/>
      <c r="P180" s="261"/>
      <c r="Q180" s="261"/>
      <c r="R180" s="261"/>
      <c r="S180" s="261"/>
      <c r="T180" s="261"/>
      <c r="U180" s="261"/>
      <c r="V180" s="261"/>
      <c r="W180" s="261"/>
      <c r="X180" s="261"/>
      <c r="Y180" s="261"/>
    </row>
    <row r="181" spans="4:27" x14ac:dyDescent="0.25">
      <c r="E181" s="75"/>
      <c r="F181" s="255" t="s">
        <v>189</v>
      </c>
      <c r="G181" s="95" t="s">
        <v>269</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25">
      <c r="E182" s="75"/>
      <c r="F182" s="256" t="s">
        <v>191</v>
      </c>
      <c r="G182" t="s">
        <v>269</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25">
      <c r="E183" s="75"/>
      <c r="F183" s="256" t="s">
        <v>192</v>
      </c>
      <c r="G183" t="s">
        <v>269</v>
      </c>
      <c r="H183" s="268"/>
      <c r="I183" s="268"/>
      <c r="J183" s="269">
        <f t="shared" ref="J183:Y183" si="42">hundred * $H20 * J57 / $H45 * J95 * (1 - J69) / hours_in_year</f>
        <v>0.13345372558973559</v>
      </c>
      <c r="K183" s="269">
        <f t="shared" si="42"/>
        <v>0.13345372558973559</v>
      </c>
      <c r="L183" s="269">
        <f t="shared" si="42"/>
        <v>0.14195780197986724</v>
      </c>
      <c r="M183" s="269">
        <f t="shared" si="42"/>
        <v>0.14195780197986724</v>
      </c>
      <c r="N183" s="269">
        <f t="shared" si="42"/>
        <v>0.10795305324988345</v>
      </c>
      <c r="O183" s="269">
        <f t="shared" si="42"/>
        <v>9.9699588870074851E-2</v>
      </c>
      <c r="P183" s="269">
        <f t="shared" si="42"/>
        <v>9.1364321998874828E-2</v>
      </c>
      <c r="Q183" s="269">
        <f t="shared" si="42"/>
        <v>0.14346617079691032</v>
      </c>
      <c r="R183" s="269">
        <f t="shared" si="42"/>
        <v>-8.5059769369304844E-2</v>
      </c>
      <c r="S183" s="269">
        <f t="shared" si="42"/>
        <v>-8.3938454142214194E-2</v>
      </c>
      <c r="T183" s="269">
        <f t="shared" si="42"/>
        <v>-8.5059769369304844E-2</v>
      </c>
      <c r="U183" s="269">
        <f t="shared" si="42"/>
        <v>-8.5059769369304844E-2</v>
      </c>
      <c r="V183" s="269">
        <f t="shared" si="42"/>
        <v>-8.3938454142214194E-2</v>
      </c>
      <c r="W183" s="269">
        <f t="shared" si="42"/>
        <v>-8.3938454142214194E-2</v>
      </c>
      <c r="X183" s="269">
        <f t="shared" si="42"/>
        <v>-8.2817138915123545E-2</v>
      </c>
      <c r="Y183" s="269">
        <f t="shared" si="42"/>
        <v>-8.2817138915123545E-2</v>
      </c>
      <c r="Z183" s="268"/>
      <c r="AA183" s="268"/>
    </row>
    <row r="184" spans="4:27" x14ac:dyDescent="0.25">
      <c r="E184" s="75"/>
      <c r="F184" s="256" t="s">
        <v>193</v>
      </c>
      <c r="G184" t="s">
        <v>269</v>
      </c>
      <c r="H184" s="268"/>
      <c r="I184" s="268"/>
      <c r="J184" s="269">
        <f t="shared" ref="J184:Y184" si="43">hundred * $H21 * J58 / $H46 * J96 * (1 - J70) / hours_in_year</f>
        <v>1.9116108921586984E-2</v>
      </c>
      <c r="K184" s="269">
        <f t="shared" si="43"/>
        <v>1.9116108921586984E-2</v>
      </c>
      <c r="L184" s="269">
        <f t="shared" si="43"/>
        <v>2.0334245394232269E-2</v>
      </c>
      <c r="M184" s="269">
        <f t="shared" si="43"/>
        <v>2.0334245394232269E-2</v>
      </c>
      <c r="N184" s="269">
        <f t="shared" si="43"/>
        <v>1.5463354921141098E-2</v>
      </c>
      <c r="O184" s="269">
        <f t="shared" si="43"/>
        <v>1.4281116483303175E-2</v>
      </c>
      <c r="P184" s="269">
        <f t="shared" si="43"/>
        <v>1.3087160535679859E-2</v>
      </c>
      <c r="Q184" s="269">
        <f t="shared" si="43"/>
        <v>2.055030637322032E-2</v>
      </c>
      <c r="R184" s="269">
        <f t="shared" si="43"/>
        <v>-1.2184087097780969E-2</v>
      </c>
      <c r="S184" s="269">
        <f t="shared" si="43"/>
        <v>-1.2023468247151088E-2</v>
      </c>
      <c r="T184" s="269">
        <f t="shared" si="43"/>
        <v>-1.2184087097780969E-2</v>
      </c>
      <c r="U184" s="269">
        <f t="shared" si="43"/>
        <v>-1.2184087097780969E-2</v>
      </c>
      <c r="V184" s="269">
        <f t="shared" si="43"/>
        <v>-1.2023468247151088E-2</v>
      </c>
      <c r="W184" s="269">
        <f t="shared" si="43"/>
        <v>-1.2023468247151088E-2</v>
      </c>
      <c r="X184" s="269">
        <f t="shared" si="43"/>
        <v>-1.1862849396521208E-2</v>
      </c>
      <c r="Y184" s="269">
        <f t="shared" si="43"/>
        <v>-1.1862849396521208E-2</v>
      </c>
      <c r="Z184" s="268"/>
      <c r="AA184" s="268"/>
    </row>
    <row r="185" spans="4:27" x14ac:dyDescent="0.25">
      <c r="E185" s="75"/>
      <c r="F185" s="256" t="s">
        <v>194</v>
      </c>
      <c r="G185" t="s">
        <v>269</v>
      </c>
      <c r="H185" s="268"/>
      <c r="I185" s="268"/>
      <c r="J185" s="269">
        <f t="shared" ref="J185:Y185" si="44">hundred * $H22 * J59 / $H47 * J97 * (1 - J71) / hours_in_year</f>
        <v>0.13044449642677292</v>
      </c>
      <c r="K185" s="269">
        <f t="shared" si="44"/>
        <v>0.13044449642677292</v>
      </c>
      <c r="L185" s="269">
        <f t="shared" si="44"/>
        <v>0.1387568156024532</v>
      </c>
      <c r="M185" s="269">
        <f t="shared" si="44"/>
        <v>0.1387568156024532</v>
      </c>
      <c r="N185" s="269">
        <f t="shared" si="44"/>
        <v>0.10551883513693933</v>
      </c>
      <c r="O185" s="269">
        <f t="shared" si="44"/>
        <v>9.7451476956844807E-2</v>
      </c>
      <c r="P185" s="269">
        <f t="shared" si="44"/>
        <v>8.9304160838155081E-2</v>
      </c>
      <c r="Q185" s="269">
        <f t="shared" si="44"/>
        <v>0.10562842500374749</v>
      </c>
      <c r="R185" s="269">
        <f t="shared" si="44"/>
        <v>-8.3141768673184319E-2</v>
      </c>
      <c r="S185" s="269">
        <f t="shared" si="44"/>
        <v>-8.2045737824385276E-2</v>
      </c>
      <c r="T185" s="269">
        <f t="shared" si="44"/>
        <v>-8.3141768673184319E-2</v>
      </c>
      <c r="U185" s="269">
        <f t="shared" si="44"/>
        <v>-8.3141768673184319E-2</v>
      </c>
      <c r="V185" s="269">
        <f t="shared" si="44"/>
        <v>-8.2045737824385276E-2</v>
      </c>
      <c r="W185" s="269">
        <f t="shared" si="44"/>
        <v>-8.2045737824385276E-2</v>
      </c>
      <c r="X185" s="269">
        <f t="shared" si="44"/>
        <v>-8.0949706975586247E-2</v>
      </c>
      <c r="Y185" s="269">
        <f t="shared" si="44"/>
        <v>-8.0949706975586247E-2</v>
      </c>
      <c r="Z185" s="268"/>
      <c r="AA185" s="268"/>
    </row>
    <row r="186" spans="4:27" x14ac:dyDescent="0.25">
      <c r="E186" s="75"/>
      <c r="F186" s="256" t="s">
        <v>195</v>
      </c>
      <c r="G186" t="s">
        <v>269</v>
      </c>
      <c r="H186" s="268"/>
      <c r="I186" s="268"/>
      <c r="J186" s="269">
        <f t="shared" ref="J186:Y186" si="45">hundred * $H23 * J60 / $H48 * J98 * (1 - J72) / hours_in_year</f>
        <v>0.10317626866795788</v>
      </c>
      <c r="K186" s="269">
        <f t="shared" si="45"/>
        <v>0.10317626866795788</v>
      </c>
      <c r="L186" s="269">
        <f t="shared" si="45"/>
        <v>0.10975097361923387</v>
      </c>
      <c r="M186" s="269">
        <f t="shared" si="45"/>
        <v>0.10975097361923387</v>
      </c>
      <c r="N186" s="269">
        <f t="shared" si="45"/>
        <v>8.3461088676366008E-2</v>
      </c>
      <c r="O186" s="269">
        <f t="shared" si="45"/>
        <v>7.7080137867166193E-2</v>
      </c>
      <c r="P186" s="269">
        <f t="shared" si="45"/>
        <v>7.0635943594419673E-2</v>
      </c>
      <c r="Q186" s="269">
        <f t="shared" si="45"/>
        <v>8.3547769784813028E-2</v>
      </c>
      <c r="R186" s="269">
        <f t="shared" si="45"/>
        <v>-6.5761743094843478E-2</v>
      </c>
      <c r="S186" s="269">
        <f t="shared" si="45"/>
        <v>-6.4894827460824825E-2</v>
      </c>
      <c r="T186" s="269">
        <f t="shared" si="45"/>
        <v>-6.5761743094843478E-2</v>
      </c>
      <c r="U186" s="269">
        <f t="shared" si="45"/>
        <v>-6.5761743094843478E-2</v>
      </c>
      <c r="V186" s="269">
        <f t="shared" si="45"/>
        <v>-6.4894827460824825E-2</v>
      </c>
      <c r="W186" s="269">
        <f t="shared" si="45"/>
        <v>-6.4894827460824825E-2</v>
      </c>
      <c r="X186" s="269">
        <f t="shared" si="45"/>
        <v>-6.4027911826806158E-2</v>
      </c>
      <c r="Y186" s="269">
        <f t="shared" si="45"/>
        <v>-6.4027911826806158E-2</v>
      </c>
      <c r="Z186" s="268"/>
      <c r="AA186" s="268"/>
    </row>
    <row r="187" spans="4:27" x14ac:dyDescent="0.25">
      <c r="E187" s="75"/>
      <c r="F187" s="256" t="s">
        <v>196</v>
      </c>
      <c r="G187" t="s">
        <v>269</v>
      </c>
      <c r="H187" s="268"/>
      <c r="I187" s="268"/>
      <c r="J187" s="269">
        <f t="shared" ref="J187:Y187" si="46">hundred * $H24 * J61 / $H49 * J99 * (1 - J73) / hours_in_year</f>
        <v>0</v>
      </c>
      <c r="K187" s="269">
        <f t="shared" si="46"/>
        <v>0</v>
      </c>
      <c r="L187" s="269">
        <f t="shared" si="46"/>
        <v>0</v>
      </c>
      <c r="M187" s="269">
        <f t="shared" si="46"/>
        <v>0</v>
      </c>
      <c r="N187" s="269">
        <f t="shared" si="46"/>
        <v>0</v>
      </c>
      <c r="O187" s="269">
        <f t="shared" si="46"/>
        <v>0</v>
      </c>
      <c r="P187" s="269">
        <f t="shared" si="46"/>
        <v>0</v>
      </c>
      <c r="Q187" s="269">
        <f t="shared" si="46"/>
        <v>0</v>
      </c>
      <c r="R187" s="269">
        <f t="shared" si="46"/>
        <v>0</v>
      </c>
      <c r="S187" s="269">
        <f t="shared" si="46"/>
        <v>0</v>
      </c>
      <c r="T187" s="269">
        <f t="shared" si="46"/>
        <v>0</v>
      </c>
      <c r="U187" s="269">
        <f t="shared" si="46"/>
        <v>0</v>
      </c>
      <c r="V187" s="269">
        <f t="shared" si="46"/>
        <v>0</v>
      </c>
      <c r="W187" s="269">
        <f t="shared" si="46"/>
        <v>0</v>
      </c>
      <c r="X187" s="269">
        <f t="shared" si="46"/>
        <v>0</v>
      </c>
      <c r="Y187" s="269">
        <f t="shared" si="46"/>
        <v>0</v>
      </c>
      <c r="Z187" s="268"/>
      <c r="AA187" s="268"/>
    </row>
    <row r="188" spans="4:27" x14ac:dyDescent="0.25">
      <c r="E188" s="75"/>
      <c r="F188" s="256" t="s">
        <v>197</v>
      </c>
      <c r="G188" t="s">
        <v>269</v>
      </c>
      <c r="H188" s="268"/>
      <c r="I188" s="268"/>
      <c r="J188" s="269">
        <f t="shared" ref="J188:Y188" si="47">hundred * $H25 * J62 / $H50 * J100 * (1 - J74) / hours_in_year</f>
        <v>0.47512761693643996</v>
      </c>
      <c r="K188" s="269">
        <f t="shared" si="47"/>
        <v>0.47512761693643996</v>
      </c>
      <c r="L188" s="269">
        <f t="shared" si="47"/>
        <v>0.5054041905699862</v>
      </c>
      <c r="M188" s="269">
        <f t="shared" si="47"/>
        <v>0.5054041905699862</v>
      </c>
      <c r="N188" s="269">
        <f t="shared" si="47"/>
        <v>0.38433904115431256</v>
      </c>
      <c r="O188" s="269">
        <f t="shared" si="47"/>
        <v>0.3549547070346073</v>
      </c>
      <c r="P188" s="269">
        <f t="shared" si="47"/>
        <v>0.32527913621377208</v>
      </c>
      <c r="Q188" s="269">
        <f t="shared" si="47"/>
        <v>0.38473820841459005</v>
      </c>
      <c r="R188" s="269">
        <f t="shared" si="47"/>
        <v>-0.30283340040908835</v>
      </c>
      <c r="S188" s="269">
        <f t="shared" si="47"/>
        <v>-0.29884124635473125</v>
      </c>
      <c r="T188" s="269">
        <f t="shared" si="47"/>
        <v>-0.30283340040908835</v>
      </c>
      <c r="U188" s="269">
        <f t="shared" si="47"/>
        <v>-0.30283340040908835</v>
      </c>
      <c r="V188" s="269">
        <f t="shared" si="47"/>
        <v>-0.29884124635473125</v>
      </c>
      <c r="W188" s="269">
        <f t="shared" si="47"/>
        <v>-0.29884124635473125</v>
      </c>
      <c r="X188" s="269">
        <f t="shared" si="47"/>
        <v>0</v>
      </c>
      <c r="Y188" s="269">
        <f t="shared" si="47"/>
        <v>0</v>
      </c>
      <c r="Z188" s="268"/>
      <c r="AA188" s="268"/>
    </row>
    <row r="189" spans="4:27" x14ac:dyDescent="0.25">
      <c r="E189" s="75"/>
      <c r="F189" s="256" t="s">
        <v>198</v>
      </c>
      <c r="G189" t="s">
        <v>269</v>
      </c>
      <c r="H189" s="268"/>
      <c r="I189" s="268"/>
      <c r="J189" s="269">
        <f t="shared" ref="J189:Y189" si="48">hundred * $H26 * J63 / $H51 * J101 * (1 - J75) / hours_in_year</f>
        <v>0.19493774408026091</v>
      </c>
      <c r="K189" s="269">
        <f t="shared" si="48"/>
        <v>0.19493774408026091</v>
      </c>
      <c r="L189" s="269">
        <f t="shared" si="48"/>
        <v>0.20735976871578732</v>
      </c>
      <c r="M189" s="269">
        <f t="shared" si="48"/>
        <v>0.20735976871578732</v>
      </c>
      <c r="N189" s="269">
        <f t="shared" si="48"/>
        <v>0.15768855139947577</v>
      </c>
      <c r="O189" s="269">
        <f t="shared" si="48"/>
        <v>0.14563259927122416</v>
      </c>
      <c r="P189" s="269">
        <f t="shared" si="48"/>
        <v>0</v>
      </c>
      <c r="Q189" s="269">
        <f t="shared" si="48"/>
        <v>0.15785232374706296</v>
      </c>
      <c r="R189" s="269">
        <f t="shared" si="48"/>
        <v>-0.12424800791110245</v>
      </c>
      <c r="S189" s="269">
        <f t="shared" si="48"/>
        <v>0</v>
      </c>
      <c r="T189" s="269">
        <f t="shared" si="48"/>
        <v>-0.12424800791110245</v>
      </c>
      <c r="U189" s="269">
        <f t="shared" si="48"/>
        <v>-0.12424800791110245</v>
      </c>
      <c r="V189" s="269">
        <f t="shared" si="48"/>
        <v>0</v>
      </c>
      <c r="W189" s="269">
        <f t="shared" si="48"/>
        <v>0</v>
      </c>
      <c r="X189" s="269">
        <f t="shared" si="48"/>
        <v>0</v>
      </c>
      <c r="Y189" s="269">
        <f t="shared" si="48"/>
        <v>0</v>
      </c>
      <c r="Z189" s="268"/>
      <c r="AA189" s="268"/>
    </row>
    <row r="190" spans="4:27" x14ac:dyDescent="0.25">
      <c r="E190" s="75"/>
      <c r="F190" s="258" t="s">
        <v>199</v>
      </c>
      <c r="G190" s="96" t="s">
        <v>269</v>
      </c>
      <c r="H190" s="270"/>
      <c r="I190" s="270"/>
      <c r="J190" s="271">
        <f t="shared" ref="J190:Y190" si="49">hundred * $H27 * J64 / $H52 * J102 * (1 - J76) / hours_in_year</f>
        <v>0.48106835054232255</v>
      </c>
      <c r="K190" s="271">
        <f t="shared" si="49"/>
        <v>0.48106835054232255</v>
      </c>
      <c r="L190" s="271">
        <f t="shared" si="49"/>
        <v>0.51172348574973714</v>
      </c>
      <c r="M190" s="271">
        <f t="shared" si="49"/>
        <v>0.51172348574973714</v>
      </c>
      <c r="N190" s="271">
        <f t="shared" si="49"/>
        <v>0.38914460449445321</v>
      </c>
      <c r="O190" s="271">
        <f t="shared" si="49"/>
        <v>0</v>
      </c>
      <c r="P190" s="271">
        <f t="shared" si="49"/>
        <v>0</v>
      </c>
      <c r="Q190" s="271">
        <f t="shared" si="49"/>
        <v>0.38954876272194228</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25">
      <c r="E191" s="75"/>
      <c r="F191" s="256"/>
      <c r="J191" s="261"/>
      <c r="K191" s="261"/>
      <c r="L191" s="261"/>
      <c r="M191" s="261"/>
      <c r="N191" s="261"/>
      <c r="O191" s="261"/>
      <c r="P191" s="261"/>
      <c r="Q191" s="261"/>
      <c r="R191" s="261"/>
      <c r="S191" s="261"/>
      <c r="T191" s="261"/>
      <c r="U191" s="261"/>
      <c r="V191" s="261"/>
      <c r="W191" s="261"/>
      <c r="X191" s="261"/>
      <c r="Y191" s="261"/>
    </row>
    <row r="192" spans="4:27" x14ac:dyDescent="0.25">
      <c r="E192" s="75" t="s">
        <v>579</v>
      </c>
      <c r="J192" s="261"/>
      <c r="K192" s="261"/>
      <c r="L192" s="261"/>
      <c r="M192" s="261"/>
      <c r="N192" s="261"/>
      <c r="O192" s="261"/>
      <c r="P192" s="261"/>
      <c r="Q192" s="261"/>
      <c r="R192" s="261"/>
      <c r="S192" s="261"/>
      <c r="T192" s="261"/>
      <c r="U192" s="261"/>
      <c r="V192" s="261"/>
      <c r="W192" s="261"/>
      <c r="X192" s="261"/>
      <c r="Y192" s="261"/>
    </row>
    <row r="193" spans="3:27" x14ac:dyDescent="0.25">
      <c r="D193" s="75"/>
      <c r="E193" s="75"/>
      <c r="F193" s="255" t="s">
        <v>189</v>
      </c>
      <c r="G193" s="95" t="s">
        <v>269</v>
      </c>
      <c r="H193" s="266"/>
      <c r="I193" s="266"/>
      <c r="J193" s="267">
        <f t="shared" ref="J193:Y193" si="50">hundred * $H30 * J55 / $H43 * J93 / hours_in_year</f>
        <v>0</v>
      </c>
      <c r="K193" s="267">
        <f t="shared" si="50"/>
        <v>0</v>
      </c>
      <c r="L193" s="267">
        <f t="shared" si="50"/>
        <v>0</v>
      </c>
      <c r="M193" s="267">
        <f t="shared" si="50"/>
        <v>0</v>
      </c>
      <c r="N193" s="267">
        <f t="shared" si="50"/>
        <v>0</v>
      </c>
      <c r="O193" s="267">
        <f t="shared" si="50"/>
        <v>0</v>
      </c>
      <c r="P193" s="267">
        <f t="shared" si="50"/>
        <v>0</v>
      </c>
      <c r="Q193" s="267">
        <f t="shared" si="50"/>
        <v>1.4672467057096598E-2</v>
      </c>
      <c r="R193" s="267">
        <f t="shared" si="50"/>
        <v>0</v>
      </c>
      <c r="S193" s="267">
        <f t="shared" si="50"/>
        <v>0</v>
      </c>
      <c r="T193" s="267">
        <f t="shared" si="50"/>
        <v>0</v>
      </c>
      <c r="U193" s="267">
        <f t="shared" si="50"/>
        <v>0</v>
      </c>
      <c r="V193" s="267">
        <f t="shared" si="50"/>
        <v>0</v>
      </c>
      <c r="W193" s="267">
        <f t="shared" si="50"/>
        <v>0</v>
      </c>
      <c r="X193" s="267">
        <f t="shared" si="50"/>
        <v>0</v>
      </c>
      <c r="Y193" s="267">
        <f t="shared" si="50"/>
        <v>0</v>
      </c>
      <c r="Z193" s="268"/>
      <c r="AA193" s="268"/>
    </row>
    <row r="194" spans="3:27" x14ac:dyDescent="0.25">
      <c r="D194" s="75"/>
      <c r="E194" s="75"/>
      <c r="F194" s="256" t="s">
        <v>191</v>
      </c>
      <c r="G194" t="s">
        <v>269</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25">
      <c r="D195" s="75"/>
      <c r="E195" s="75"/>
      <c r="F195" s="256" t="s">
        <v>192</v>
      </c>
      <c r="G195" t="s">
        <v>269</v>
      </c>
      <c r="H195" s="268"/>
      <c r="I195" s="268"/>
      <c r="J195" s="269">
        <f t="shared" ref="J195:Y195" si="52">hundred * $H32 * J57 / $H45 * J95 / hours_in_year</f>
        <v>9.5770101602378796E-2</v>
      </c>
      <c r="K195" s="269">
        <f t="shared" si="52"/>
        <v>9.5770101602378796E-2</v>
      </c>
      <c r="L195" s="269">
        <f t="shared" si="52"/>
        <v>0.10187286311254484</v>
      </c>
      <c r="M195" s="269">
        <f t="shared" si="52"/>
        <v>0.10187286311254484</v>
      </c>
      <c r="N195" s="269">
        <f t="shared" si="52"/>
        <v>7.7470110574594048E-2</v>
      </c>
      <c r="O195" s="269">
        <f t="shared" si="52"/>
        <v>7.1547195206492248E-2</v>
      </c>
      <c r="P195" s="269">
        <f t="shared" si="52"/>
        <v>6.5565576097619899E-2</v>
      </c>
      <c r="Q195" s="269">
        <f t="shared" si="52"/>
        <v>0.10295531048689664</v>
      </c>
      <c r="R195" s="269">
        <f t="shared" si="52"/>
        <v>-6.1041253953571045E-2</v>
      </c>
      <c r="S195" s="269">
        <f t="shared" si="52"/>
        <v>-6.0236566989964636E-2</v>
      </c>
      <c r="T195" s="269">
        <f t="shared" si="52"/>
        <v>-6.1041253953571045E-2</v>
      </c>
      <c r="U195" s="269">
        <f t="shared" si="52"/>
        <v>-6.1041253953571045E-2</v>
      </c>
      <c r="V195" s="269">
        <f t="shared" si="52"/>
        <v>-6.0236566989964636E-2</v>
      </c>
      <c r="W195" s="269">
        <f t="shared" si="52"/>
        <v>-6.0236566989964636E-2</v>
      </c>
      <c r="X195" s="269">
        <f t="shared" si="52"/>
        <v>-5.9431880026358228E-2</v>
      </c>
      <c r="Y195" s="269">
        <f t="shared" si="52"/>
        <v>-5.9431880026358228E-2</v>
      </c>
      <c r="Z195" s="268"/>
      <c r="AA195" s="268"/>
    </row>
    <row r="196" spans="3:27" x14ac:dyDescent="0.25">
      <c r="D196" s="75"/>
      <c r="E196" s="75"/>
      <c r="F196" s="256" t="s">
        <v>193</v>
      </c>
      <c r="G196" t="s">
        <v>269</v>
      </c>
      <c r="H196" s="268"/>
      <c r="I196" s="268"/>
      <c r="J196" s="269">
        <f t="shared" ref="J196:Y196" si="53">hundred * $H33 * J58 / $H46 * J96 / hours_in_year</f>
        <v>1.3718250918604062E-2</v>
      </c>
      <c r="K196" s="269">
        <f t="shared" si="53"/>
        <v>1.3718250918604062E-2</v>
      </c>
      <c r="L196" s="269">
        <f t="shared" si="53"/>
        <v>1.4592419498276712E-2</v>
      </c>
      <c r="M196" s="269">
        <f t="shared" si="53"/>
        <v>1.4592419498276712E-2</v>
      </c>
      <c r="N196" s="269">
        <f t="shared" si="53"/>
        <v>1.1096933153174036E-2</v>
      </c>
      <c r="O196" s="269">
        <f t="shared" si="53"/>
        <v>1.0248526000734944E-2</v>
      </c>
      <c r="P196" s="269">
        <f t="shared" si="53"/>
        <v>9.3917100376934137E-3</v>
      </c>
      <c r="Q196" s="269">
        <f t="shared" si="53"/>
        <v>1.4747470860226748E-2</v>
      </c>
      <c r="R196" s="269">
        <f t="shared" si="53"/>
        <v>-8.7436394460347986E-3</v>
      </c>
      <c r="S196" s="269">
        <f t="shared" si="53"/>
        <v>-8.628374895898747E-3</v>
      </c>
      <c r="T196" s="269">
        <f t="shared" si="53"/>
        <v>-8.7436394460347986E-3</v>
      </c>
      <c r="U196" s="269">
        <f t="shared" si="53"/>
        <v>-8.7436394460347986E-3</v>
      </c>
      <c r="V196" s="269">
        <f t="shared" si="53"/>
        <v>-8.628374895898747E-3</v>
      </c>
      <c r="W196" s="269">
        <f t="shared" si="53"/>
        <v>-8.628374895898747E-3</v>
      </c>
      <c r="X196" s="269">
        <f t="shared" si="53"/>
        <v>-8.5131103457626953E-3</v>
      </c>
      <c r="Y196" s="269">
        <f t="shared" si="53"/>
        <v>-8.5131103457626953E-3</v>
      </c>
      <c r="Z196" s="268"/>
      <c r="AA196" s="268"/>
    </row>
    <row r="197" spans="3:27" x14ac:dyDescent="0.25">
      <c r="D197" s="75"/>
      <c r="E197" s="75"/>
      <c r="F197" s="256" t="s">
        <v>194</v>
      </c>
      <c r="G197" t="s">
        <v>269</v>
      </c>
      <c r="H197" s="268"/>
      <c r="I197" s="268"/>
      <c r="J197" s="269">
        <f t="shared" ref="J197:Y197" si="54">hundred * $H34 * J59 / $H47 * J97 / hours_in_year</f>
        <v>9.3610595141182334E-2</v>
      </c>
      <c r="K197" s="269">
        <f t="shared" si="54"/>
        <v>9.3610595141182334E-2</v>
      </c>
      <c r="L197" s="269">
        <f t="shared" si="54"/>
        <v>9.9575746346129521E-2</v>
      </c>
      <c r="M197" s="269">
        <f t="shared" si="54"/>
        <v>9.9575746346129521E-2</v>
      </c>
      <c r="N197" s="269">
        <f t="shared" si="54"/>
        <v>7.572324802003573E-2</v>
      </c>
      <c r="O197" s="269">
        <f t="shared" si="54"/>
        <v>6.9933887631959332E-2</v>
      </c>
      <c r="P197" s="269">
        <f t="shared" si="54"/>
        <v>6.4087147205451306E-2</v>
      </c>
      <c r="Q197" s="269">
        <f t="shared" si="54"/>
        <v>7.5801892753499925E-2</v>
      </c>
      <c r="R197" s="269">
        <f t="shared" si="54"/>
        <v>-5.9664843360841789E-2</v>
      </c>
      <c r="S197" s="269">
        <f t="shared" si="54"/>
        <v>-5.8878301169644244E-2</v>
      </c>
      <c r="T197" s="269">
        <f t="shared" si="54"/>
        <v>-5.9664843360841789E-2</v>
      </c>
      <c r="U197" s="269">
        <f t="shared" si="54"/>
        <v>-5.9664843360841789E-2</v>
      </c>
      <c r="V197" s="269">
        <f t="shared" si="54"/>
        <v>-5.8878301169644244E-2</v>
      </c>
      <c r="W197" s="269">
        <f t="shared" si="54"/>
        <v>-5.8878301169644244E-2</v>
      </c>
      <c r="X197" s="269">
        <f t="shared" si="54"/>
        <v>-5.8091758978446706E-2</v>
      </c>
      <c r="Y197" s="269">
        <f t="shared" si="54"/>
        <v>-5.8091758978446706E-2</v>
      </c>
      <c r="Z197" s="268"/>
      <c r="AA197" s="268"/>
    </row>
    <row r="198" spans="3:27" x14ac:dyDescent="0.25">
      <c r="D198" s="75"/>
      <c r="E198" s="75"/>
      <c r="F198" s="256" t="s">
        <v>195</v>
      </c>
      <c r="G198" t="s">
        <v>269</v>
      </c>
      <c r="H198" s="268"/>
      <c r="I198" s="268"/>
      <c r="J198" s="269">
        <f t="shared" ref="J198:Y198" si="55">hundred * $H35 * J60 / $H48 * J98 / hours_in_year</f>
        <v>7.404215723179973E-2</v>
      </c>
      <c r="K198" s="269">
        <f t="shared" si="55"/>
        <v>7.404215723179973E-2</v>
      </c>
      <c r="L198" s="269">
        <f t="shared" si="55"/>
        <v>7.8760348188304533E-2</v>
      </c>
      <c r="M198" s="269">
        <f t="shared" si="55"/>
        <v>7.8760348188304533E-2</v>
      </c>
      <c r="N198" s="269">
        <f t="shared" si="55"/>
        <v>5.9893996267688279E-2</v>
      </c>
      <c r="O198" s="269">
        <f t="shared" si="55"/>
        <v>5.5314848667152132E-2</v>
      </c>
      <c r="P198" s="269">
        <f t="shared" si="55"/>
        <v>5.0690315799904323E-2</v>
      </c>
      <c r="Q198" s="269">
        <f t="shared" si="55"/>
        <v>5.9956201039614222E-2</v>
      </c>
      <c r="R198" s="269">
        <f t="shared" si="55"/>
        <v>-4.7192454087824236E-2</v>
      </c>
      <c r="S198" s="269">
        <f t="shared" si="55"/>
        <v>-4.657033134090377E-2</v>
      </c>
      <c r="T198" s="269">
        <f t="shared" si="55"/>
        <v>-4.7192454087824236E-2</v>
      </c>
      <c r="U198" s="269">
        <f t="shared" si="55"/>
        <v>-4.7192454087824236E-2</v>
      </c>
      <c r="V198" s="269">
        <f t="shared" si="55"/>
        <v>-4.657033134090377E-2</v>
      </c>
      <c r="W198" s="269">
        <f t="shared" si="55"/>
        <v>-4.657033134090377E-2</v>
      </c>
      <c r="X198" s="269">
        <f t="shared" si="55"/>
        <v>-4.5948208593983297E-2</v>
      </c>
      <c r="Y198" s="269">
        <f t="shared" si="55"/>
        <v>-4.5948208593983297E-2</v>
      </c>
      <c r="Z198" s="268"/>
      <c r="AA198" s="268"/>
    </row>
    <row r="199" spans="3:27" x14ac:dyDescent="0.25">
      <c r="D199" s="75"/>
      <c r="E199" s="75"/>
      <c r="F199" s="256" t="s">
        <v>196</v>
      </c>
      <c r="G199" t="s">
        <v>269</v>
      </c>
      <c r="H199" s="268"/>
      <c r="I199" s="268"/>
      <c r="J199" s="269">
        <f t="shared" ref="J199:Y199" si="56">hundred * $H36 * J61 / $H49 * J99 / hours_in_year</f>
        <v>0</v>
      </c>
      <c r="K199" s="269">
        <f t="shared" si="56"/>
        <v>0</v>
      </c>
      <c r="L199" s="269">
        <f t="shared" si="56"/>
        <v>0</v>
      </c>
      <c r="M199" s="269">
        <f t="shared" si="56"/>
        <v>0</v>
      </c>
      <c r="N199" s="269">
        <f t="shared" si="56"/>
        <v>0</v>
      </c>
      <c r="O199" s="269">
        <f t="shared" si="56"/>
        <v>0</v>
      </c>
      <c r="P199" s="269">
        <f t="shared" si="56"/>
        <v>0</v>
      </c>
      <c r="Q199" s="269">
        <f t="shared" si="56"/>
        <v>0</v>
      </c>
      <c r="R199" s="269">
        <f t="shared" si="56"/>
        <v>0</v>
      </c>
      <c r="S199" s="269">
        <f t="shared" si="56"/>
        <v>0</v>
      </c>
      <c r="T199" s="269">
        <f t="shared" si="56"/>
        <v>0</v>
      </c>
      <c r="U199" s="269">
        <f t="shared" si="56"/>
        <v>0</v>
      </c>
      <c r="V199" s="269">
        <f t="shared" si="56"/>
        <v>0</v>
      </c>
      <c r="W199" s="269">
        <f t="shared" si="56"/>
        <v>0</v>
      </c>
      <c r="X199" s="269">
        <f t="shared" si="56"/>
        <v>0</v>
      </c>
      <c r="Y199" s="269">
        <f t="shared" si="56"/>
        <v>0</v>
      </c>
      <c r="Z199" s="268"/>
      <c r="AA199" s="268"/>
    </row>
    <row r="200" spans="3:27" x14ac:dyDescent="0.25">
      <c r="D200" s="75"/>
      <c r="E200" s="75"/>
      <c r="F200" s="256" t="s">
        <v>197</v>
      </c>
      <c r="G200" t="s">
        <v>269</v>
      </c>
      <c r="H200" s="268"/>
      <c r="I200" s="268"/>
      <c r="J200" s="269">
        <f t="shared" ref="J200:Y200" si="57">hundred * $H37 * J62 / $H50 * J100 / hours_in_year</f>
        <v>0.34096477971686368</v>
      </c>
      <c r="K200" s="269">
        <f t="shared" si="57"/>
        <v>0.34096477971686368</v>
      </c>
      <c r="L200" s="269">
        <f t="shared" si="57"/>
        <v>0.36269209021526494</v>
      </c>
      <c r="M200" s="269">
        <f t="shared" si="57"/>
        <v>0.36269209021526494</v>
      </c>
      <c r="N200" s="269">
        <f t="shared" si="57"/>
        <v>0.27581237510195383</v>
      </c>
      <c r="O200" s="269">
        <f t="shared" si="57"/>
        <v>0.25472536047027788</v>
      </c>
      <c r="P200" s="269">
        <f t="shared" si="57"/>
        <v>0.23342934628962489</v>
      </c>
      <c r="Q200" s="269">
        <f t="shared" si="57"/>
        <v>0.2760988286191125</v>
      </c>
      <c r="R200" s="269">
        <f t="shared" si="57"/>
        <v>-0.21732166260334759</v>
      </c>
      <c r="S200" s="269">
        <f t="shared" si="57"/>
        <v>-0.21445678192872722</v>
      </c>
      <c r="T200" s="269">
        <f t="shared" si="57"/>
        <v>-0.21732166260334759</v>
      </c>
      <c r="U200" s="269">
        <f t="shared" si="57"/>
        <v>-0.21732166260334759</v>
      </c>
      <c r="V200" s="269">
        <f t="shared" si="57"/>
        <v>-0.21445678192872722</v>
      </c>
      <c r="W200" s="269">
        <f t="shared" si="57"/>
        <v>-0.21445678192872722</v>
      </c>
      <c r="X200" s="269">
        <f t="shared" si="57"/>
        <v>0</v>
      </c>
      <c r="Y200" s="269">
        <f t="shared" si="57"/>
        <v>0</v>
      </c>
      <c r="Z200" s="268"/>
      <c r="AA200" s="268"/>
    </row>
    <row r="201" spans="3:27" x14ac:dyDescent="0.25">
      <c r="D201" s="75"/>
      <c r="E201" s="75"/>
      <c r="F201" s="256" t="s">
        <v>198</v>
      </c>
      <c r="G201" t="s">
        <v>269</v>
      </c>
      <c r="H201" s="268"/>
      <c r="I201" s="268"/>
      <c r="J201" s="269">
        <f t="shared" ref="J201:Y201" si="58">hundred * $H38 * J63 / $H51 * J101 / hours_in_year</f>
        <v>0.13989274165412297</v>
      </c>
      <c r="K201" s="269">
        <f t="shared" si="58"/>
        <v>0.13989274165412297</v>
      </c>
      <c r="L201" s="269">
        <f t="shared" si="58"/>
        <v>0.14880713168852988</v>
      </c>
      <c r="M201" s="269">
        <f t="shared" si="58"/>
        <v>0.14880713168852988</v>
      </c>
      <c r="N201" s="269">
        <f t="shared" si="58"/>
        <v>0.11316168598759044</v>
      </c>
      <c r="O201" s="269">
        <f t="shared" si="58"/>
        <v>0.10450999975602319</v>
      </c>
      <c r="P201" s="269">
        <f t="shared" si="58"/>
        <v>0</v>
      </c>
      <c r="Q201" s="269">
        <f t="shared" si="58"/>
        <v>0.1132792135747655</v>
      </c>
      <c r="R201" s="269">
        <f t="shared" si="58"/>
        <v>-8.9163822807916099E-2</v>
      </c>
      <c r="S201" s="269">
        <f t="shared" si="58"/>
        <v>0</v>
      </c>
      <c r="T201" s="269">
        <f t="shared" si="58"/>
        <v>-8.9163822807916099E-2</v>
      </c>
      <c r="U201" s="269">
        <f t="shared" si="58"/>
        <v>-8.9163822807916099E-2</v>
      </c>
      <c r="V201" s="269">
        <f t="shared" si="58"/>
        <v>0</v>
      </c>
      <c r="W201" s="269">
        <f t="shared" si="58"/>
        <v>0</v>
      </c>
      <c r="X201" s="269">
        <f t="shared" si="58"/>
        <v>0</v>
      </c>
      <c r="Y201" s="269">
        <f t="shared" si="58"/>
        <v>0</v>
      </c>
      <c r="Z201" s="268"/>
      <c r="AA201" s="268"/>
    </row>
    <row r="202" spans="3:27" x14ac:dyDescent="0.25">
      <c r="D202" s="75"/>
      <c r="E202" s="75"/>
      <c r="F202" s="258" t="s">
        <v>199</v>
      </c>
      <c r="G202" s="96" t="s">
        <v>269</v>
      </c>
      <c r="H202" s="270"/>
      <c r="I202" s="270"/>
      <c r="J202" s="271">
        <f t="shared" ref="J202:Y202" si="59">hundred * $H39 * J64 / $H52 * J102 / hours_in_year</f>
        <v>0.34522801522051</v>
      </c>
      <c r="K202" s="271">
        <f t="shared" si="59"/>
        <v>0.34522801522051</v>
      </c>
      <c r="L202" s="271">
        <f t="shared" si="59"/>
        <v>0.36722699202295722</v>
      </c>
      <c r="M202" s="271">
        <f t="shared" si="59"/>
        <v>0.36722699202295722</v>
      </c>
      <c r="N202" s="271">
        <f t="shared" si="59"/>
        <v>0.27926098088128415</v>
      </c>
      <c r="O202" s="271">
        <f t="shared" si="59"/>
        <v>0</v>
      </c>
      <c r="P202" s="271">
        <f t="shared" si="59"/>
        <v>0</v>
      </c>
      <c r="Q202" s="271">
        <f t="shared" si="59"/>
        <v>0.27955101605519195</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2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25">
      <c r="C204" s="93" t="str">
        <f ca="1">INDEX('Version control'!$H$41:$H$64,MATCH($A$1,'Version control'!$F$41:$F$64,0),1)&amp;"-E: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2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25">
      <c r="C206" s="86" t="s">
        <v>584</v>
      </c>
      <c r="D206" s="75"/>
      <c r="E206" s="75"/>
      <c r="I206" s="3" t="s">
        <v>154</v>
      </c>
      <c r="J206" s="261"/>
      <c r="K206" s="261"/>
      <c r="L206" s="261"/>
      <c r="M206" s="261"/>
      <c r="N206" s="261"/>
      <c r="O206" s="261"/>
      <c r="P206" s="261"/>
      <c r="Q206" s="261"/>
      <c r="R206" s="261"/>
      <c r="S206" s="261"/>
      <c r="T206" s="261"/>
      <c r="U206" s="261"/>
      <c r="V206" s="261"/>
      <c r="W206" s="261"/>
      <c r="X206" s="261"/>
      <c r="Y206" s="261"/>
      <c r="AA206" t="s">
        <v>582</v>
      </c>
    </row>
    <row r="207" spans="3:27" x14ac:dyDescent="0.25">
      <c r="C207" s="86" t="s">
        <v>585</v>
      </c>
      <c r="D207" s="75"/>
      <c r="E207" s="75"/>
      <c r="J207" s="261"/>
      <c r="K207" s="261"/>
      <c r="L207" s="261"/>
      <c r="M207" s="261"/>
      <c r="N207" s="261"/>
      <c r="O207" s="261"/>
      <c r="P207" s="261"/>
      <c r="Q207" s="261"/>
      <c r="R207" s="261"/>
      <c r="S207" s="261"/>
      <c r="T207" s="261"/>
      <c r="U207" s="261"/>
      <c r="V207" s="261"/>
      <c r="W207" s="261"/>
      <c r="X207" s="261"/>
      <c r="Y207" s="261"/>
    </row>
    <row r="208" spans="3:27" x14ac:dyDescent="0.25">
      <c r="C208" s="75"/>
      <c r="D208" s="75"/>
      <c r="E208" s="75"/>
    </row>
    <row r="209" spans="3:27" x14ac:dyDescent="0.25">
      <c r="E209" s="75" t="s">
        <v>578</v>
      </c>
      <c r="J209" s="261"/>
      <c r="K209" s="261"/>
      <c r="L209" s="261"/>
      <c r="M209" s="261"/>
      <c r="N209" s="261"/>
      <c r="O209" s="261"/>
      <c r="P209" s="261"/>
      <c r="Q209" s="261"/>
      <c r="R209" s="261"/>
      <c r="S209" s="261"/>
      <c r="T209" s="261"/>
      <c r="U209" s="261"/>
      <c r="V209" s="261"/>
      <c r="W209" s="261"/>
      <c r="X209" s="261"/>
      <c r="Y209" s="261"/>
    </row>
    <row r="210" spans="3:27" x14ac:dyDescent="0.25">
      <c r="E210" s="75"/>
      <c r="F210" s="255" t="s">
        <v>189</v>
      </c>
      <c r="G210" s="95" t="s">
        <v>269</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25">
      <c r="E211" s="75"/>
      <c r="F211" s="256" t="s">
        <v>191</v>
      </c>
      <c r="G211" t="s">
        <v>269</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25">
      <c r="E212" s="75"/>
      <c r="F212" s="256" t="s">
        <v>192</v>
      </c>
      <c r="G212" t="s">
        <v>269</v>
      </c>
      <c r="H212" s="268"/>
      <c r="I212" s="268"/>
      <c r="J212" s="269">
        <f t="shared" ref="J212:Y212" si="62">hundred * $H20 * J57 / $H45 * J107 * (1 - J69) / hours_in_year</f>
        <v>9.9353603486043024E-3</v>
      </c>
      <c r="K212" s="269">
        <f t="shared" si="62"/>
        <v>9.9353603486043024E-3</v>
      </c>
      <c r="L212" s="269">
        <f t="shared" si="62"/>
        <v>1.056847166111842E-2</v>
      </c>
      <c r="M212" s="269">
        <f t="shared" si="62"/>
        <v>1.056847166111842E-2</v>
      </c>
      <c r="N212" s="269">
        <f t="shared" si="62"/>
        <v>8.0368867937558337E-3</v>
      </c>
      <c r="O212" s="269">
        <f t="shared" si="62"/>
        <v>7.4224330392772455E-3</v>
      </c>
      <c r="P212" s="269">
        <f t="shared" si="62"/>
        <v>6.8018892545219012E-3</v>
      </c>
      <c r="Q212" s="269">
        <f t="shared" si="62"/>
        <v>7.4207413866933386E-3</v>
      </c>
      <c r="R212" s="269">
        <f t="shared" si="62"/>
        <v>-6.3325280438496639E-3</v>
      </c>
      <c r="S212" s="269">
        <f t="shared" si="62"/>
        <v>-6.2490483897876155E-3</v>
      </c>
      <c r="T212" s="269">
        <f t="shared" si="62"/>
        <v>-6.3325280438496639E-3</v>
      </c>
      <c r="U212" s="269">
        <f t="shared" si="62"/>
        <v>-6.3325280438496639E-3</v>
      </c>
      <c r="V212" s="269">
        <f t="shared" si="62"/>
        <v>-6.2490483897876155E-3</v>
      </c>
      <c r="W212" s="269">
        <f t="shared" si="62"/>
        <v>-6.2490483897876155E-3</v>
      </c>
      <c r="X212" s="269">
        <f t="shared" si="62"/>
        <v>-6.1655687357255679E-3</v>
      </c>
      <c r="Y212" s="269">
        <f t="shared" si="62"/>
        <v>-6.1655687357255679E-3</v>
      </c>
      <c r="Z212" s="268"/>
      <c r="AA212" s="268"/>
    </row>
    <row r="213" spans="3:27" x14ac:dyDescent="0.25">
      <c r="E213" s="75"/>
      <c r="F213" s="256" t="s">
        <v>193</v>
      </c>
      <c r="G213" t="s">
        <v>269</v>
      </c>
      <c r="H213" s="268"/>
      <c r="I213" s="268"/>
      <c r="J213" s="269">
        <f t="shared" ref="J213:Y213" si="63">hundred * $H21 * J58 / $H46 * J108 * (1 - J70) / hours_in_year</f>
        <v>1.4231557025467122E-3</v>
      </c>
      <c r="K213" s="269">
        <f t="shared" si="63"/>
        <v>1.4231557025467122E-3</v>
      </c>
      <c r="L213" s="269">
        <f t="shared" si="63"/>
        <v>1.5138435028012713E-3</v>
      </c>
      <c r="M213" s="269">
        <f t="shared" si="63"/>
        <v>1.5138435028012713E-3</v>
      </c>
      <c r="N213" s="269">
        <f t="shared" si="63"/>
        <v>1.151215544271902E-3</v>
      </c>
      <c r="O213" s="269">
        <f t="shared" si="63"/>
        <v>1.0632002802095084E-3</v>
      </c>
      <c r="P213" s="269">
        <f t="shared" si="63"/>
        <v>9.7431267120813504E-4</v>
      </c>
      <c r="Q213" s="269">
        <f t="shared" si="63"/>
        <v>1.0629579653928293E-3</v>
      </c>
      <c r="R213" s="269">
        <f t="shared" si="63"/>
        <v>-9.0708067759290019E-4</v>
      </c>
      <c r="S213" s="269">
        <f t="shared" si="63"/>
        <v>-8.9512292854741933E-4</v>
      </c>
      <c r="T213" s="269">
        <f t="shared" si="63"/>
        <v>-9.0708067759290019E-4</v>
      </c>
      <c r="U213" s="269">
        <f t="shared" si="63"/>
        <v>-9.0708067759290019E-4</v>
      </c>
      <c r="V213" s="269">
        <f t="shared" si="63"/>
        <v>-8.9512292854741933E-4</v>
      </c>
      <c r="W213" s="269">
        <f t="shared" si="63"/>
        <v>-8.9512292854741933E-4</v>
      </c>
      <c r="X213" s="269">
        <f t="shared" si="63"/>
        <v>-8.8316517950193859E-4</v>
      </c>
      <c r="Y213" s="269">
        <f t="shared" si="63"/>
        <v>-8.8316517950193859E-4</v>
      </c>
      <c r="Z213" s="268"/>
      <c r="AA213" s="268"/>
    </row>
    <row r="214" spans="3:27" x14ac:dyDescent="0.25">
      <c r="E214" s="75"/>
      <c r="F214" s="256" t="s">
        <v>194</v>
      </c>
      <c r="G214" t="s">
        <v>269</v>
      </c>
      <c r="H214" s="268"/>
      <c r="I214" s="268"/>
      <c r="J214" s="269">
        <f t="shared" ref="J214:Y214" si="64">hundred * $H22 * J59 / $H47 * J109 * (1 - J71) / hours_in_year</f>
        <v>1.5039429138649573E-2</v>
      </c>
      <c r="K214" s="269">
        <f t="shared" si="64"/>
        <v>1.5039429138649573E-2</v>
      </c>
      <c r="L214" s="269">
        <f t="shared" si="64"/>
        <v>1.5997787203918042E-2</v>
      </c>
      <c r="M214" s="269">
        <f t="shared" si="64"/>
        <v>1.5997787203918042E-2</v>
      </c>
      <c r="N214" s="269">
        <f t="shared" si="64"/>
        <v>1.2165657327871253E-2</v>
      </c>
      <c r="O214" s="269">
        <f t="shared" si="64"/>
        <v>1.1235541723080321E-2</v>
      </c>
      <c r="P214" s="269">
        <f t="shared" si="64"/>
        <v>1.0296207471397298E-2</v>
      </c>
      <c r="Q214" s="269">
        <f t="shared" si="64"/>
        <v>1.1232981021880747E-2</v>
      </c>
      <c r="R214" s="269">
        <f t="shared" si="64"/>
        <v>-9.585722454180233E-3</v>
      </c>
      <c r="S214" s="269">
        <f t="shared" si="64"/>
        <v>-9.459356998098762E-3</v>
      </c>
      <c r="T214" s="269">
        <f t="shared" si="64"/>
        <v>-9.585722454180233E-3</v>
      </c>
      <c r="U214" s="269">
        <f t="shared" si="64"/>
        <v>-9.585722454180233E-3</v>
      </c>
      <c r="V214" s="269">
        <f t="shared" si="64"/>
        <v>-9.459356998098762E-3</v>
      </c>
      <c r="W214" s="269">
        <f t="shared" si="64"/>
        <v>-9.459356998098762E-3</v>
      </c>
      <c r="X214" s="269">
        <f t="shared" si="64"/>
        <v>-9.3329915420172892E-3</v>
      </c>
      <c r="Y214" s="269">
        <f t="shared" si="64"/>
        <v>-9.3329915420172892E-3</v>
      </c>
      <c r="Z214" s="268"/>
      <c r="AA214" s="268"/>
    </row>
    <row r="215" spans="3:27" x14ac:dyDescent="0.25">
      <c r="E215" s="75"/>
      <c r="F215" s="256" t="s">
        <v>195</v>
      </c>
      <c r="G215" t="s">
        <v>269</v>
      </c>
      <c r="H215" s="268"/>
      <c r="I215" s="268"/>
      <c r="J215" s="269">
        <f t="shared" ref="J215:Y215" si="65">hundred * $H23 * J60 / $H48 * J110 * (1 - J72) / hours_in_year</f>
        <v>1.1895574163169855E-2</v>
      </c>
      <c r="K215" s="269">
        <f t="shared" si="65"/>
        <v>1.1895574163169855E-2</v>
      </c>
      <c r="L215" s="269">
        <f t="shared" si="65"/>
        <v>1.2653596248660842E-2</v>
      </c>
      <c r="M215" s="269">
        <f t="shared" si="65"/>
        <v>1.2653596248660842E-2</v>
      </c>
      <c r="N215" s="269">
        <f t="shared" si="65"/>
        <v>9.622538040057407E-3</v>
      </c>
      <c r="O215" s="269">
        <f t="shared" si="65"/>
        <v>8.8868545872408181E-3</v>
      </c>
      <c r="P215" s="269">
        <f t="shared" si="65"/>
        <v>8.1438795612682312E-3</v>
      </c>
      <c r="Q215" s="269">
        <f t="shared" si="65"/>
        <v>8.884829177183801E-3</v>
      </c>
      <c r="R215" s="269">
        <f t="shared" si="65"/>
        <v>-7.5819149324109483E-3</v>
      </c>
      <c r="S215" s="269">
        <f t="shared" si="65"/>
        <v>-7.4819650180477145E-3</v>
      </c>
      <c r="T215" s="269">
        <f t="shared" si="65"/>
        <v>-7.5819149324109483E-3</v>
      </c>
      <c r="U215" s="269">
        <f t="shared" si="65"/>
        <v>-7.5819149324109483E-3</v>
      </c>
      <c r="V215" s="269">
        <f t="shared" si="65"/>
        <v>-7.4819650180477145E-3</v>
      </c>
      <c r="W215" s="269">
        <f t="shared" si="65"/>
        <v>-7.4819650180477145E-3</v>
      </c>
      <c r="X215" s="269">
        <f t="shared" si="65"/>
        <v>-7.3820151036844807E-3</v>
      </c>
      <c r="Y215" s="269">
        <f t="shared" si="65"/>
        <v>-7.3820151036844807E-3</v>
      </c>
      <c r="Z215" s="268"/>
      <c r="AA215" s="268"/>
    </row>
    <row r="216" spans="3:27" x14ac:dyDescent="0.25">
      <c r="E216" s="75"/>
      <c r="F216" s="256" t="s">
        <v>196</v>
      </c>
      <c r="G216" t="s">
        <v>269</v>
      </c>
      <c r="H216" s="268"/>
      <c r="I216" s="268"/>
      <c r="J216" s="269">
        <f t="shared" ref="J216:Y216" si="66">hundred * $H24 * J61 / $H49 * J111 * (1 - J73) / hours_in_year</f>
        <v>0</v>
      </c>
      <c r="K216" s="269">
        <f t="shared" si="66"/>
        <v>0</v>
      </c>
      <c r="L216" s="269">
        <f t="shared" si="66"/>
        <v>0</v>
      </c>
      <c r="M216" s="269">
        <f t="shared" si="66"/>
        <v>0</v>
      </c>
      <c r="N216" s="269">
        <f t="shared" si="66"/>
        <v>0</v>
      </c>
      <c r="O216" s="269">
        <f t="shared" si="66"/>
        <v>0</v>
      </c>
      <c r="P216" s="269">
        <f t="shared" si="66"/>
        <v>0</v>
      </c>
      <c r="Q216" s="269">
        <f t="shared" si="66"/>
        <v>0</v>
      </c>
      <c r="R216" s="269">
        <f t="shared" si="66"/>
        <v>0</v>
      </c>
      <c r="S216" s="269">
        <f t="shared" si="66"/>
        <v>0</v>
      </c>
      <c r="T216" s="269">
        <f t="shared" si="66"/>
        <v>0</v>
      </c>
      <c r="U216" s="269">
        <f t="shared" si="66"/>
        <v>0</v>
      </c>
      <c r="V216" s="269">
        <f t="shared" si="66"/>
        <v>0</v>
      </c>
      <c r="W216" s="269">
        <f t="shared" si="66"/>
        <v>0</v>
      </c>
      <c r="X216" s="269">
        <f t="shared" si="66"/>
        <v>0</v>
      </c>
      <c r="Y216" s="269">
        <f t="shared" si="66"/>
        <v>0</v>
      </c>
      <c r="Z216" s="268"/>
      <c r="AA216" s="268"/>
    </row>
    <row r="217" spans="3:27" x14ac:dyDescent="0.25">
      <c r="E217" s="75"/>
      <c r="F217" s="256" t="s">
        <v>197</v>
      </c>
      <c r="G217" t="s">
        <v>269</v>
      </c>
      <c r="H217" s="268"/>
      <c r="I217" s="268"/>
      <c r="J217" s="269">
        <f t="shared" ref="J217:Y217" si="67">hundred * $H25 * J62 / $H50 * J112 * (1 - J74) / hours_in_year</f>
        <v>5.4779222753505344E-2</v>
      </c>
      <c r="K217" s="269">
        <f t="shared" si="67"/>
        <v>5.4779222753505344E-2</v>
      </c>
      <c r="L217" s="269">
        <f t="shared" si="67"/>
        <v>5.8269921067316058E-2</v>
      </c>
      <c r="M217" s="269">
        <f t="shared" si="67"/>
        <v>5.8269921067316058E-2</v>
      </c>
      <c r="N217" s="269">
        <f t="shared" si="67"/>
        <v>4.4311871585181323E-2</v>
      </c>
      <c r="O217" s="269">
        <f t="shared" si="67"/>
        <v>4.092404286963415E-2</v>
      </c>
      <c r="P217" s="269">
        <f t="shared" si="67"/>
        <v>3.7502636396119442E-2</v>
      </c>
      <c r="Q217" s="269">
        <f t="shared" si="67"/>
        <v>4.0914715838659549E-2</v>
      </c>
      <c r="R217" s="269">
        <f t="shared" si="67"/>
        <v>-3.4914784379772461E-2</v>
      </c>
      <c r="S217" s="269">
        <f t="shared" si="67"/>
        <v>-3.4454514152543823E-2</v>
      </c>
      <c r="T217" s="269">
        <f t="shared" si="67"/>
        <v>-3.4914784379772461E-2</v>
      </c>
      <c r="U217" s="269">
        <f t="shared" si="67"/>
        <v>-3.4914784379772461E-2</v>
      </c>
      <c r="V217" s="269">
        <f t="shared" si="67"/>
        <v>-3.4454514152543823E-2</v>
      </c>
      <c r="W217" s="269">
        <f t="shared" si="67"/>
        <v>-3.4454514152543823E-2</v>
      </c>
      <c r="X217" s="269">
        <f t="shared" si="67"/>
        <v>0</v>
      </c>
      <c r="Y217" s="269">
        <f t="shared" si="67"/>
        <v>0</v>
      </c>
      <c r="Z217" s="268"/>
      <c r="AA217" s="268"/>
    </row>
    <row r="218" spans="3:27" x14ac:dyDescent="0.25">
      <c r="E218" s="75"/>
      <c r="F218" s="256" t="s">
        <v>198</v>
      </c>
      <c r="G218" t="s">
        <v>269</v>
      </c>
      <c r="H218" s="268"/>
      <c r="I218" s="268"/>
      <c r="J218" s="269">
        <f t="shared" ref="J218:Y218" si="68">hundred * $H26 * J63 / $H51 * J113 * (1 - J75) / hours_in_year</f>
        <v>2.2475094533321874E-2</v>
      </c>
      <c r="K218" s="269">
        <f t="shared" si="68"/>
        <v>2.2475094533321874E-2</v>
      </c>
      <c r="L218" s="269">
        <f t="shared" si="68"/>
        <v>2.3907275762749463E-2</v>
      </c>
      <c r="M218" s="269">
        <f t="shared" si="68"/>
        <v>2.3907275762749463E-2</v>
      </c>
      <c r="N218" s="269">
        <f t="shared" si="68"/>
        <v>1.8180497144086268E-2</v>
      </c>
      <c r="O218" s="269">
        <f t="shared" si="68"/>
        <v>1.6790521769896559E-2</v>
      </c>
      <c r="P218" s="269">
        <f t="shared" si="68"/>
        <v>0</v>
      </c>
      <c r="Q218" s="269">
        <f t="shared" si="68"/>
        <v>1.6786695028801441E-2</v>
      </c>
      <c r="R218" s="269">
        <f t="shared" si="68"/>
        <v>-1.4325013026872892E-2</v>
      </c>
      <c r="S218" s="269">
        <f t="shared" si="68"/>
        <v>0</v>
      </c>
      <c r="T218" s="269">
        <f t="shared" si="68"/>
        <v>-1.4325013026872892E-2</v>
      </c>
      <c r="U218" s="269">
        <f t="shared" si="68"/>
        <v>-1.4325013026872892E-2</v>
      </c>
      <c r="V218" s="269">
        <f t="shared" si="68"/>
        <v>0</v>
      </c>
      <c r="W218" s="269">
        <f t="shared" si="68"/>
        <v>0</v>
      </c>
      <c r="X218" s="269">
        <f t="shared" si="68"/>
        <v>0</v>
      </c>
      <c r="Y218" s="269">
        <f t="shared" si="68"/>
        <v>0</v>
      </c>
      <c r="Z218" s="268"/>
      <c r="AA218" s="268"/>
    </row>
    <row r="219" spans="3:27" x14ac:dyDescent="0.25">
      <c r="E219" s="75"/>
      <c r="F219" s="258" t="s">
        <v>199</v>
      </c>
      <c r="G219" s="96" t="s">
        <v>269</v>
      </c>
      <c r="H219" s="270"/>
      <c r="I219" s="270"/>
      <c r="J219" s="271">
        <f t="shared" ref="J219:Y219" si="69">hundred * $H27 * J64 / $H52 * J114 * (1 - J76) / hours_in_year</f>
        <v>5.5464151934457188E-2</v>
      </c>
      <c r="K219" s="271">
        <f t="shared" si="69"/>
        <v>5.5464151934457188E-2</v>
      </c>
      <c r="L219" s="271">
        <f t="shared" si="69"/>
        <v>5.8998496014250876E-2</v>
      </c>
      <c r="M219" s="271">
        <f t="shared" si="69"/>
        <v>5.8998496014250876E-2</v>
      </c>
      <c r="N219" s="271">
        <f t="shared" si="69"/>
        <v>4.4865922781706181E-2</v>
      </c>
      <c r="O219" s="271">
        <f t="shared" si="69"/>
        <v>0</v>
      </c>
      <c r="P219" s="271">
        <f t="shared" si="69"/>
        <v>0</v>
      </c>
      <c r="Q219" s="271">
        <f t="shared" si="69"/>
        <v>4.1426290873857678E-2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25">
      <c r="E220" s="75"/>
      <c r="F220" s="256"/>
      <c r="J220" s="261"/>
      <c r="K220" s="261"/>
      <c r="L220" s="261"/>
      <c r="M220" s="261"/>
      <c r="N220" s="261"/>
      <c r="O220" s="261"/>
      <c r="P220" s="261"/>
      <c r="Q220" s="261"/>
      <c r="R220" s="261"/>
      <c r="S220" s="261"/>
      <c r="T220" s="261"/>
      <c r="U220" s="261"/>
      <c r="V220" s="261"/>
      <c r="W220" s="261"/>
      <c r="X220" s="261"/>
      <c r="Y220" s="261"/>
    </row>
    <row r="221" spans="3:27" x14ac:dyDescent="0.25">
      <c r="E221" s="75" t="s">
        <v>579</v>
      </c>
      <c r="J221" s="261"/>
      <c r="K221" s="261"/>
      <c r="L221" s="261"/>
      <c r="M221" s="261"/>
      <c r="N221" s="261"/>
      <c r="O221" s="261"/>
      <c r="P221" s="261"/>
      <c r="Q221" s="261"/>
      <c r="R221" s="261"/>
      <c r="S221" s="261"/>
      <c r="T221" s="261"/>
      <c r="U221" s="261"/>
      <c r="V221" s="261"/>
      <c r="W221" s="261"/>
      <c r="X221" s="261"/>
      <c r="Y221" s="261"/>
    </row>
    <row r="222" spans="3:27" x14ac:dyDescent="0.25">
      <c r="C222" s="75"/>
      <c r="E222" s="75"/>
      <c r="F222" s="255" t="s">
        <v>189</v>
      </c>
      <c r="G222" s="95" t="s">
        <v>269</v>
      </c>
      <c r="H222" s="266"/>
      <c r="I222" s="266"/>
      <c r="J222" s="267">
        <f t="shared" ref="J222:Y222" si="70">hundred * $H30 * J55 / $H43 * J105 / hours_in_year</f>
        <v>0</v>
      </c>
      <c r="K222" s="267">
        <f t="shared" si="70"/>
        <v>0</v>
      </c>
      <c r="L222" s="267">
        <f t="shared" si="70"/>
        <v>0</v>
      </c>
      <c r="M222" s="267">
        <f t="shared" si="70"/>
        <v>0</v>
      </c>
      <c r="N222" s="267">
        <f t="shared" si="70"/>
        <v>0</v>
      </c>
      <c r="O222" s="267">
        <f t="shared" si="70"/>
        <v>0</v>
      </c>
      <c r="P222" s="267">
        <f t="shared" si="70"/>
        <v>0</v>
      </c>
      <c r="Q222" s="267">
        <f t="shared" si="70"/>
        <v>0</v>
      </c>
      <c r="R222" s="267">
        <f t="shared" si="70"/>
        <v>0</v>
      </c>
      <c r="S222" s="267">
        <f t="shared" si="70"/>
        <v>0</v>
      </c>
      <c r="T222" s="267">
        <f t="shared" si="70"/>
        <v>0</v>
      </c>
      <c r="U222" s="267">
        <f t="shared" si="70"/>
        <v>0</v>
      </c>
      <c r="V222" s="267">
        <f t="shared" si="70"/>
        <v>0</v>
      </c>
      <c r="W222" s="267">
        <f t="shared" si="70"/>
        <v>0</v>
      </c>
      <c r="X222" s="267">
        <f t="shared" si="70"/>
        <v>0</v>
      </c>
      <c r="Y222" s="267">
        <f t="shared" si="70"/>
        <v>0</v>
      </c>
      <c r="Z222" s="268"/>
      <c r="AA222" s="268"/>
    </row>
    <row r="223" spans="3:27" x14ac:dyDescent="0.25">
      <c r="C223" s="75"/>
      <c r="E223" s="75"/>
      <c r="F223" s="256" t="s">
        <v>191</v>
      </c>
      <c r="G223" t="s">
        <v>269</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25">
      <c r="C224" s="75"/>
      <c r="E224" s="75"/>
      <c r="F224" s="256" t="s">
        <v>192</v>
      </c>
      <c r="G224" t="s">
        <v>269</v>
      </c>
      <c r="H224" s="268"/>
      <c r="I224" s="268"/>
      <c r="J224" s="269">
        <f t="shared" ref="J224:Y224" si="72">hundred * $H32 * J57 / $H45 * J107 / hours_in_year</f>
        <v>7.1298906481428639E-3</v>
      </c>
      <c r="K224" s="269">
        <f t="shared" si="72"/>
        <v>7.1298906481428639E-3</v>
      </c>
      <c r="L224" s="269">
        <f t="shared" si="72"/>
        <v>7.5842289175104133E-3</v>
      </c>
      <c r="M224" s="269">
        <f t="shared" si="72"/>
        <v>7.5842289175104133E-3</v>
      </c>
      <c r="N224" s="269">
        <f t="shared" si="72"/>
        <v>5.7674932745677698E-3</v>
      </c>
      <c r="O224" s="269">
        <f t="shared" si="72"/>
        <v>5.3265441872617824E-3</v>
      </c>
      <c r="P224" s="269">
        <f t="shared" si="72"/>
        <v>4.8812247250128006E-3</v>
      </c>
      <c r="Q224" s="269">
        <f t="shared" si="72"/>
        <v>5.3253302103636428E-3</v>
      </c>
      <c r="R224" s="269">
        <f t="shared" si="72"/>
        <v>-4.5443980786553694E-3</v>
      </c>
      <c r="S224" s="269">
        <f t="shared" si="72"/>
        <v>-4.4844907593510619E-3</v>
      </c>
      <c r="T224" s="269">
        <f t="shared" si="72"/>
        <v>-4.5443980786553694E-3</v>
      </c>
      <c r="U224" s="269">
        <f t="shared" si="72"/>
        <v>-4.5443980786553694E-3</v>
      </c>
      <c r="V224" s="269">
        <f t="shared" si="72"/>
        <v>-4.4844907593510619E-3</v>
      </c>
      <c r="W224" s="269">
        <f t="shared" si="72"/>
        <v>-4.4844907593510619E-3</v>
      </c>
      <c r="X224" s="269">
        <f t="shared" si="72"/>
        <v>-4.4245834400467527E-3</v>
      </c>
      <c r="Y224" s="269">
        <f t="shared" si="72"/>
        <v>-4.4245834400467527E-3</v>
      </c>
      <c r="Z224" s="268"/>
      <c r="AA224" s="268"/>
    </row>
    <row r="225" spans="2:27" x14ac:dyDescent="0.25">
      <c r="C225" s="75"/>
      <c r="E225" s="75"/>
      <c r="F225" s="256" t="s">
        <v>193</v>
      </c>
      <c r="G225" t="s">
        <v>269</v>
      </c>
      <c r="H225" s="268"/>
      <c r="I225" s="268"/>
      <c r="J225" s="269">
        <f t="shared" ref="J225:Y225" si="73">hundred * $H33 * J58 / $H46 * J108 / hours_in_year</f>
        <v>1.0212960756742363E-3</v>
      </c>
      <c r="K225" s="269">
        <f t="shared" si="73"/>
        <v>1.0212960756742363E-3</v>
      </c>
      <c r="L225" s="269">
        <f t="shared" si="73"/>
        <v>1.0863761609704343E-3</v>
      </c>
      <c r="M225" s="269">
        <f t="shared" si="73"/>
        <v>1.0863761609704343E-3</v>
      </c>
      <c r="N225" s="269">
        <f t="shared" si="73"/>
        <v>8.2614426202004597E-4</v>
      </c>
      <c r="O225" s="269">
        <f t="shared" si="73"/>
        <v>7.6298206295391557E-4</v>
      </c>
      <c r="P225" s="269">
        <f t="shared" si="73"/>
        <v>6.99193844920767E-4</v>
      </c>
      <c r="Q225" s="269">
        <f t="shared" si="73"/>
        <v>7.6280817110855432E-4</v>
      </c>
      <c r="R225" s="269">
        <f t="shared" si="73"/>
        <v>-6.509462982074157E-4</v>
      </c>
      <c r="S225" s="269">
        <f t="shared" si="73"/>
        <v>-6.4236508523669638E-4</v>
      </c>
      <c r="T225" s="269">
        <f t="shared" si="73"/>
        <v>-6.509462982074157E-4</v>
      </c>
      <c r="U225" s="269">
        <f t="shared" si="73"/>
        <v>-6.509462982074157E-4</v>
      </c>
      <c r="V225" s="269">
        <f t="shared" si="73"/>
        <v>-6.4236508523669638E-4</v>
      </c>
      <c r="W225" s="269">
        <f t="shared" si="73"/>
        <v>-6.4236508523669638E-4</v>
      </c>
      <c r="X225" s="269">
        <f t="shared" si="73"/>
        <v>-6.3378387226597718E-4</v>
      </c>
      <c r="Y225" s="269">
        <f t="shared" si="73"/>
        <v>-6.3378387226597718E-4</v>
      </c>
      <c r="Z225" s="268"/>
      <c r="AA225" s="268"/>
    </row>
    <row r="226" spans="2:27" x14ac:dyDescent="0.25">
      <c r="C226" s="75"/>
      <c r="E226" s="75"/>
      <c r="F226" s="256" t="s">
        <v>194</v>
      </c>
      <c r="G226" t="s">
        <v>269</v>
      </c>
      <c r="H226" s="268"/>
      <c r="I226" s="268"/>
      <c r="J226" s="269">
        <f t="shared" ref="J226:Y226" si="74">hundred * $H34 * J59 / $H47 * J109 / hours_in_year</f>
        <v>1.0792712232539027E-2</v>
      </c>
      <c r="K226" s="269">
        <f t="shared" si="74"/>
        <v>1.0792712232539027E-2</v>
      </c>
      <c r="L226" s="269">
        <f t="shared" si="74"/>
        <v>1.148045660892592E-2</v>
      </c>
      <c r="M226" s="269">
        <f t="shared" si="74"/>
        <v>1.148045660892592E-2</v>
      </c>
      <c r="N226" s="269">
        <f t="shared" si="74"/>
        <v>8.730413731061596E-3</v>
      </c>
      <c r="O226" s="269">
        <f t="shared" si="74"/>
        <v>8.0629369290528795E-3</v>
      </c>
      <c r="P226" s="269">
        <f t="shared" si="74"/>
        <v>7.3888445698868741E-3</v>
      </c>
      <c r="Q226" s="269">
        <f t="shared" si="74"/>
        <v>8.0610992987209217E-3</v>
      </c>
      <c r="R226" s="269">
        <f t="shared" si="74"/>
        <v>-6.8789807801338254E-3</v>
      </c>
      <c r="S226" s="269">
        <f t="shared" si="74"/>
        <v>-6.7882974176838497E-3</v>
      </c>
      <c r="T226" s="269">
        <f t="shared" si="74"/>
        <v>-6.8789807801338254E-3</v>
      </c>
      <c r="U226" s="269">
        <f t="shared" si="74"/>
        <v>-6.8789807801338254E-3</v>
      </c>
      <c r="V226" s="269">
        <f t="shared" si="74"/>
        <v>-6.7882974176838497E-3</v>
      </c>
      <c r="W226" s="269">
        <f t="shared" si="74"/>
        <v>-6.7882974176838497E-3</v>
      </c>
      <c r="X226" s="269">
        <f t="shared" si="74"/>
        <v>-6.6976140552338741E-3</v>
      </c>
      <c r="Y226" s="269">
        <f t="shared" si="74"/>
        <v>-6.6976140552338741E-3</v>
      </c>
      <c r="Z226" s="268"/>
      <c r="AA226" s="268"/>
    </row>
    <row r="227" spans="2:27" x14ac:dyDescent="0.25">
      <c r="C227" s="75"/>
      <c r="E227" s="75"/>
      <c r="F227" s="256" t="s">
        <v>195</v>
      </c>
      <c r="G227" t="s">
        <v>269</v>
      </c>
      <c r="H227" s="268"/>
      <c r="I227" s="268"/>
      <c r="J227" s="269">
        <f t="shared" ref="J227:Y227" si="75">hundred * $H35 * J60 / $H48 * J110 / hours_in_year</f>
        <v>8.5365945475937496E-3</v>
      </c>
      <c r="K227" s="269">
        <f t="shared" si="75"/>
        <v>8.5365945475937496E-3</v>
      </c>
      <c r="L227" s="269">
        <f t="shared" si="75"/>
        <v>9.0805722583958675E-3</v>
      </c>
      <c r="M227" s="269">
        <f t="shared" si="75"/>
        <v>9.0805722583958675E-3</v>
      </c>
      <c r="N227" s="269">
        <f t="shared" si="75"/>
        <v>6.9054006675099708E-3</v>
      </c>
      <c r="O227" s="269">
        <f t="shared" si="75"/>
        <v>6.3774537802118881E-3</v>
      </c>
      <c r="P227" s="269">
        <f t="shared" si="75"/>
        <v>5.8442742574148299E-3</v>
      </c>
      <c r="Q227" s="269">
        <f t="shared" si="75"/>
        <v>6.3760002896773227E-3</v>
      </c>
      <c r="R227" s="269">
        <f t="shared" si="75"/>
        <v>-5.4409928251072971E-3</v>
      </c>
      <c r="S227" s="269">
        <f t="shared" si="75"/>
        <v>-5.3692659893714197E-3</v>
      </c>
      <c r="T227" s="269">
        <f t="shared" si="75"/>
        <v>-5.4409928251072971E-3</v>
      </c>
      <c r="U227" s="269">
        <f t="shared" si="75"/>
        <v>-5.4409928251072971E-3</v>
      </c>
      <c r="V227" s="269">
        <f t="shared" si="75"/>
        <v>-5.3692659893714197E-3</v>
      </c>
      <c r="W227" s="269">
        <f t="shared" si="75"/>
        <v>-5.3692659893714197E-3</v>
      </c>
      <c r="X227" s="269">
        <f t="shared" si="75"/>
        <v>-5.2975391536355413E-3</v>
      </c>
      <c r="Y227" s="269">
        <f t="shared" si="75"/>
        <v>-5.2975391536355413E-3</v>
      </c>
      <c r="Z227" s="268"/>
      <c r="AA227" s="268"/>
    </row>
    <row r="228" spans="2:27" x14ac:dyDescent="0.25">
      <c r="C228" s="75"/>
      <c r="E228" s="75"/>
      <c r="F228" s="256" t="s">
        <v>196</v>
      </c>
      <c r="G228" t="s">
        <v>269</v>
      </c>
      <c r="H228" s="268"/>
      <c r="I228" s="268"/>
      <c r="J228" s="269">
        <f t="shared" ref="J228:Y228" si="76">hundred * $H36 * J61 / $H49 * J111 / hours_in_year</f>
        <v>0</v>
      </c>
      <c r="K228" s="269">
        <f t="shared" si="76"/>
        <v>0</v>
      </c>
      <c r="L228" s="269">
        <f t="shared" si="76"/>
        <v>0</v>
      </c>
      <c r="M228" s="269">
        <f t="shared" si="76"/>
        <v>0</v>
      </c>
      <c r="N228" s="269">
        <f t="shared" si="76"/>
        <v>0</v>
      </c>
      <c r="O228" s="269">
        <f t="shared" si="76"/>
        <v>0</v>
      </c>
      <c r="P228" s="269">
        <f t="shared" si="76"/>
        <v>0</v>
      </c>
      <c r="Q228" s="269">
        <f t="shared" si="76"/>
        <v>0</v>
      </c>
      <c r="R228" s="269">
        <f t="shared" si="76"/>
        <v>0</v>
      </c>
      <c r="S228" s="269">
        <f t="shared" si="76"/>
        <v>0</v>
      </c>
      <c r="T228" s="269">
        <f t="shared" si="76"/>
        <v>0</v>
      </c>
      <c r="U228" s="269">
        <f t="shared" si="76"/>
        <v>0</v>
      </c>
      <c r="V228" s="269">
        <f t="shared" si="76"/>
        <v>0</v>
      </c>
      <c r="W228" s="269">
        <f t="shared" si="76"/>
        <v>0</v>
      </c>
      <c r="X228" s="269">
        <f t="shared" si="76"/>
        <v>0</v>
      </c>
      <c r="Y228" s="269">
        <f t="shared" si="76"/>
        <v>0</v>
      </c>
      <c r="Z228" s="268"/>
      <c r="AA228" s="268"/>
    </row>
    <row r="229" spans="2:27" x14ac:dyDescent="0.25">
      <c r="C229" s="75"/>
      <c r="E229" s="75"/>
      <c r="F229" s="256" t="s">
        <v>197</v>
      </c>
      <c r="G229" t="s">
        <v>269</v>
      </c>
      <c r="H229" s="268"/>
      <c r="I229" s="268"/>
      <c r="J229" s="269">
        <f t="shared" ref="J229:Y229" si="77">hundred * $H37 * J62 / $H50 * J112 / hours_in_year</f>
        <v>3.9311092332712315E-2</v>
      </c>
      <c r="K229" s="269">
        <f t="shared" si="77"/>
        <v>3.9311092332712315E-2</v>
      </c>
      <c r="L229" s="269">
        <f t="shared" si="77"/>
        <v>4.1816114434565246E-2</v>
      </c>
      <c r="M229" s="269">
        <f t="shared" si="77"/>
        <v>4.1816114434565246E-2</v>
      </c>
      <c r="N229" s="269">
        <f t="shared" si="77"/>
        <v>3.1799430290545438E-2</v>
      </c>
      <c r="O229" s="269">
        <f t="shared" si="77"/>
        <v>2.9368230270721021E-2</v>
      </c>
      <c r="P229" s="269">
        <f t="shared" si="77"/>
        <v>2.6912933918794044E-2</v>
      </c>
      <c r="Q229" s="269">
        <f t="shared" si="77"/>
        <v>2.9361536934134576E-2</v>
      </c>
      <c r="R229" s="269">
        <f t="shared" si="77"/>
        <v>-2.5055819406312178E-2</v>
      </c>
      <c r="S229" s="269">
        <f t="shared" si="77"/>
        <v>-2.4725516702274165E-2</v>
      </c>
      <c r="T229" s="269">
        <f t="shared" si="77"/>
        <v>-2.5055819406312178E-2</v>
      </c>
      <c r="U229" s="269">
        <f t="shared" si="77"/>
        <v>-2.5055819406312178E-2</v>
      </c>
      <c r="V229" s="269">
        <f t="shared" si="77"/>
        <v>-2.4725516702274165E-2</v>
      </c>
      <c r="W229" s="269">
        <f t="shared" si="77"/>
        <v>-2.4725516702274165E-2</v>
      </c>
      <c r="X229" s="269">
        <f t="shared" si="77"/>
        <v>0</v>
      </c>
      <c r="Y229" s="269">
        <f t="shared" si="77"/>
        <v>0</v>
      </c>
      <c r="Z229" s="268"/>
      <c r="AA229" s="268"/>
    </row>
    <row r="230" spans="2:27" x14ac:dyDescent="0.25">
      <c r="C230" s="75"/>
      <c r="E230" s="75"/>
      <c r="F230" s="256" t="s">
        <v>198</v>
      </c>
      <c r="G230" t="s">
        <v>269</v>
      </c>
      <c r="H230" s="268"/>
      <c r="I230" s="268"/>
      <c r="J230" s="269">
        <f t="shared" ref="J230:Y230" si="78">hundred * $H38 * J63 / $H51 * J113 / hours_in_year</f>
        <v>1.6128752325703943E-2</v>
      </c>
      <c r="K230" s="269">
        <f t="shared" si="78"/>
        <v>1.6128752325703943E-2</v>
      </c>
      <c r="L230" s="269">
        <f t="shared" si="78"/>
        <v>1.7156525370249424E-2</v>
      </c>
      <c r="M230" s="269">
        <f t="shared" si="78"/>
        <v>1.7156525370249424E-2</v>
      </c>
      <c r="N230" s="269">
        <f t="shared" si="78"/>
        <v>1.3046829910343222E-2</v>
      </c>
      <c r="O230" s="269">
        <f t="shared" si="78"/>
        <v>1.2049344960240104E-2</v>
      </c>
      <c r="P230" s="269">
        <f t="shared" si="78"/>
        <v>0</v>
      </c>
      <c r="Q230" s="269">
        <f t="shared" si="78"/>
        <v>1.2046598784501164E-2</v>
      </c>
      <c r="R230" s="269">
        <f t="shared" si="78"/>
        <v>-1.0280027380101368E-2</v>
      </c>
      <c r="S230" s="269">
        <f t="shared" si="78"/>
        <v>0</v>
      </c>
      <c r="T230" s="269">
        <f t="shared" si="78"/>
        <v>-1.0280027380101368E-2</v>
      </c>
      <c r="U230" s="269">
        <f t="shared" si="78"/>
        <v>-1.0280027380101368E-2</v>
      </c>
      <c r="V230" s="269">
        <f t="shared" si="78"/>
        <v>0</v>
      </c>
      <c r="W230" s="269">
        <f t="shared" si="78"/>
        <v>0</v>
      </c>
      <c r="X230" s="269">
        <f t="shared" si="78"/>
        <v>0</v>
      </c>
      <c r="Y230" s="269">
        <f t="shared" si="78"/>
        <v>0</v>
      </c>
      <c r="Z230" s="268"/>
      <c r="AA230" s="268"/>
    </row>
    <row r="231" spans="2:27" x14ac:dyDescent="0.25">
      <c r="C231" s="75"/>
      <c r="E231" s="75"/>
      <c r="F231" s="258" t="s">
        <v>199</v>
      </c>
      <c r="G231" s="96" t="s">
        <v>269</v>
      </c>
      <c r="H231" s="270"/>
      <c r="I231" s="270"/>
      <c r="J231" s="271">
        <f t="shared" ref="J231:Y231" si="79">hundred * $H39 * J64 / $H52 * J114 / hours_in_year</f>
        <v>3.9802616544271953E-2</v>
      </c>
      <c r="K231" s="271">
        <f t="shared" si="79"/>
        <v>3.9802616544271953E-2</v>
      </c>
      <c r="L231" s="271">
        <f t="shared" si="79"/>
        <v>4.2338960060527009E-2</v>
      </c>
      <c r="M231" s="271">
        <f t="shared" si="79"/>
        <v>4.2338960060527009E-2</v>
      </c>
      <c r="N231" s="271">
        <f t="shared" si="79"/>
        <v>3.2197032823930133E-2</v>
      </c>
      <c r="O231" s="271">
        <f t="shared" si="79"/>
        <v>0</v>
      </c>
      <c r="P231" s="271">
        <f t="shared" si="79"/>
        <v>0</v>
      </c>
      <c r="Q231" s="271">
        <f t="shared" si="79"/>
        <v>2.9728657393916873E-2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25">
      <c r="J232" s="62"/>
      <c r="K232" s="62"/>
      <c r="L232" s="62"/>
      <c r="M232" s="62"/>
      <c r="N232" s="62"/>
      <c r="O232" s="62"/>
      <c r="P232" s="62"/>
      <c r="Q232" s="62"/>
      <c r="R232" s="62"/>
      <c r="S232" s="62"/>
      <c r="T232" s="62"/>
      <c r="U232" s="62"/>
      <c r="V232" s="62"/>
      <c r="W232" s="62"/>
      <c r="X232" s="62"/>
      <c r="Y232" s="62"/>
    </row>
    <row r="233" spans="2:27" x14ac:dyDescent="0.25">
      <c r="B233" s="85" t="s">
        <v>231</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25">
      <c r="C234" s="75"/>
      <c r="D234" s="75"/>
      <c r="E234" s="75"/>
      <c r="J234" s="273"/>
      <c r="K234" s="62"/>
      <c r="L234" s="273"/>
      <c r="M234" s="62"/>
      <c r="N234" s="62"/>
      <c r="O234" s="62"/>
      <c r="P234" s="62"/>
      <c r="Q234" s="62"/>
      <c r="R234" s="62"/>
      <c r="S234" s="62"/>
      <c r="T234" s="62"/>
      <c r="U234" s="62"/>
      <c r="V234" s="62"/>
      <c r="W234" s="62"/>
      <c r="X234" s="62"/>
      <c r="Y234" s="62"/>
    </row>
    <row r="235" spans="2:27" x14ac:dyDescent="0.25">
      <c r="D235" s="75" t="s">
        <v>586</v>
      </c>
      <c r="E235" s="75"/>
      <c r="J235" s="273"/>
      <c r="K235" s="62"/>
      <c r="L235" s="273"/>
      <c r="M235" s="62"/>
      <c r="N235" s="62"/>
      <c r="O235" s="62"/>
      <c r="P235" s="62"/>
      <c r="Q235" s="62"/>
      <c r="R235" s="62"/>
      <c r="S235" s="62"/>
      <c r="T235" s="62"/>
      <c r="U235" s="62"/>
      <c r="V235" s="62"/>
      <c r="W235" s="62"/>
      <c r="X235" s="62"/>
      <c r="Y235" s="62"/>
    </row>
    <row r="236" spans="2:27" x14ac:dyDescent="0.25">
      <c r="C236" s="75"/>
      <c r="D236" s="75"/>
      <c r="E236" s="75"/>
      <c r="J236" s="273"/>
      <c r="K236" s="62"/>
      <c r="L236" s="273"/>
      <c r="M236" s="62"/>
      <c r="N236" s="62"/>
      <c r="O236" s="62"/>
      <c r="P236" s="62"/>
      <c r="Q236" s="62"/>
      <c r="R236" s="62"/>
      <c r="S236" s="62"/>
      <c r="T236" s="62"/>
      <c r="U236" s="62"/>
      <c r="V236" s="62"/>
      <c r="W236" s="62"/>
      <c r="X236" s="62"/>
      <c r="Y236" s="62"/>
    </row>
    <row r="237" spans="2:27" x14ac:dyDescent="0.25">
      <c r="C237" s="75"/>
      <c r="D237" s="75"/>
      <c r="E237" t="s">
        <v>232</v>
      </c>
      <c r="G237" s="6" t="s">
        <v>56</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25">
      <c r="C238" s="75"/>
      <c r="D238" s="75"/>
      <c r="E238" s="75"/>
      <c r="J238" s="97"/>
      <c r="L238" s="97"/>
    </row>
    <row r="239" spans="2:27" x14ac:dyDescent="0.25">
      <c r="C239" s="75"/>
      <c r="D239" s="75"/>
      <c r="E239" t="s">
        <v>587</v>
      </c>
      <c r="G239" s="6" t="s">
        <v>56</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25">
      <c r="C240" s="75"/>
      <c r="D240" s="75"/>
      <c r="E240" s="75"/>
      <c r="J240" s="273"/>
      <c r="K240" s="62"/>
      <c r="L240" s="273"/>
      <c r="M240" s="62"/>
      <c r="N240" s="62"/>
      <c r="O240" s="62"/>
      <c r="P240" s="62"/>
      <c r="Q240" s="62"/>
      <c r="R240" s="62"/>
      <c r="S240" s="62"/>
      <c r="T240" s="62"/>
      <c r="U240" s="62"/>
      <c r="V240" s="62"/>
      <c r="W240" s="62"/>
      <c r="X240" s="62"/>
      <c r="Y240" s="62"/>
    </row>
    <row r="241" spans="2:27" x14ac:dyDescent="0.25">
      <c r="C241" s="75"/>
      <c r="D241" s="75"/>
      <c r="E241" t="s">
        <v>588</v>
      </c>
      <c r="G241" s="6" t="s">
        <v>56</v>
      </c>
      <c r="H241" s="113">
        <f>SUM(H239, H237)</f>
        <v>0</v>
      </c>
      <c r="J241" s="273"/>
      <c r="K241" s="62"/>
      <c r="L241" s="273"/>
      <c r="M241" s="62"/>
      <c r="N241" s="62"/>
      <c r="O241" s="62"/>
      <c r="P241" s="62"/>
      <c r="Q241" s="62"/>
      <c r="R241" s="62"/>
      <c r="S241" s="62"/>
      <c r="T241" s="62"/>
      <c r="U241" s="62"/>
      <c r="V241" s="62"/>
      <c r="W241" s="62"/>
      <c r="X241" s="62"/>
      <c r="Y241" s="62"/>
    </row>
    <row r="242" spans="2:27" x14ac:dyDescent="0.25">
      <c r="C242" s="75"/>
      <c r="D242" s="75"/>
      <c r="E242" s="75"/>
      <c r="J242" s="97"/>
      <c r="L242" s="97"/>
    </row>
    <row r="243" spans="2:27" x14ac:dyDescent="0.25">
      <c r="B243" s="85" t="s">
        <v>107</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H48 &amp; IF(H48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589</v>
      </c>
      <c r="D9"/>
      <c r="F9" s="86"/>
    </row>
    <row r="10" spans="1:27" x14ac:dyDescent="0.25">
      <c r="C10" s="86" t="s">
        <v>590</v>
      </c>
      <c r="D10"/>
      <c r="E10"/>
      <c r="F10" s="86"/>
    </row>
    <row r="11" spans="1:27" x14ac:dyDescent="0.25">
      <c r="C11" s="86" t="s">
        <v>591</v>
      </c>
    </row>
    <row r="13" spans="1:27" x14ac:dyDescent="0.25">
      <c r="B13" s="85" t="s">
        <v>592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25">
      <c r="C14" s="105"/>
    </row>
    <row r="15" spans="1:27" x14ac:dyDescent="0.25">
      <c r="B15" s="2"/>
      <c r="C15" s="86" t="s">
        <v>593</v>
      </c>
    </row>
    <row r="16" spans="1:27" x14ac:dyDescent="0.25">
      <c r="C16" s="105"/>
    </row>
    <row r="17" spans="2:27" x14ac:dyDescent="0.25">
      <c r="C17" s="93" t="str">
        <f ca="1">INDEX('Version control'!$H$41:$H$64,MATCH($A$1,'Version control'!$F$41:$F$64,0),1)&amp;"-A: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25">
      <c r="C18" s="105"/>
    </row>
    <row r="19" spans="2:27" x14ac:dyDescent="0.25">
      <c r="D19"/>
      <c r="E19" s="94" t="s">
        <v>525</v>
      </c>
      <c r="F19" s="94"/>
      <c r="G19" s="94" t="s">
        <v>167</v>
      </c>
      <c r="H19" s="243">
        <f>'Unit costs'!$H$121</f>
        <v>5.7006904129041573E-2</v>
      </c>
      <c r="I19" s="3"/>
      <c r="J19" s="3"/>
      <c r="K19" s="3"/>
      <c r="L19" s="3"/>
      <c r="M19" s="3"/>
      <c r="N19" s="3"/>
      <c r="P19" s="3"/>
    </row>
    <row r="20" spans="2:27" x14ac:dyDescent="0.25">
      <c r="C20" s="105"/>
      <c r="E20" t="s">
        <v>555</v>
      </c>
      <c r="G20" t="s">
        <v>315</v>
      </c>
      <c r="H20" s="167">
        <f>'Unit costs'!$H$122</f>
        <v>172813538.09917575</v>
      </c>
    </row>
    <row r="21" spans="2:27" x14ac:dyDescent="0.25">
      <c r="C21" s="105"/>
      <c r="E21" t="s">
        <v>594</v>
      </c>
      <c r="G21" t="s">
        <v>315</v>
      </c>
      <c r="H21" s="167">
        <f>'Unit costs'!$H$123</f>
        <v>4224264073.0137248</v>
      </c>
    </row>
    <row r="22" spans="2:27" x14ac:dyDescent="0.25">
      <c r="D22" s="105"/>
      <c r="E22"/>
    </row>
    <row r="23" spans="2:27" x14ac:dyDescent="0.25">
      <c r="D23"/>
      <c r="E23" s="75" t="s">
        <v>595</v>
      </c>
      <c r="H23" s="97"/>
      <c r="J23" s="97"/>
      <c r="K23" s="97"/>
      <c r="L23" s="97"/>
      <c r="M23" s="97"/>
      <c r="N23" s="97"/>
    </row>
    <row r="24" spans="2:27" x14ac:dyDescent="0.25">
      <c r="D24"/>
      <c r="E24" s="86" t="s">
        <v>596</v>
      </c>
      <c r="H24" s="97"/>
    </row>
    <row r="25" spans="2:27" x14ac:dyDescent="0.25">
      <c r="E25" s="105"/>
      <c r="F25" s="95" t="s">
        <v>334</v>
      </c>
      <c r="G25" s="95" t="s">
        <v>261</v>
      </c>
      <c r="H25" s="237"/>
      <c r="I25" s="95"/>
      <c r="J25" s="171">
        <f>'Inputs by customer type'!J187</f>
        <v>264.02537366356052</v>
      </c>
      <c r="K25" s="171">
        <f>'Inputs by customer type'!K187</f>
        <v>0</v>
      </c>
      <c r="L25" s="171">
        <f>'Inputs by customer type'!L187</f>
        <v>774.15837677371223</v>
      </c>
      <c r="M25" s="171">
        <f>'Inputs by customer type'!M187</f>
        <v>0</v>
      </c>
      <c r="N25" s="171">
        <f>'Inputs by customer type'!N187</f>
        <v>1544.5525401205996</v>
      </c>
      <c r="O25" s="171">
        <f>'Inputs by customer type'!O187</f>
        <v>1205.6892409926963</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25">
      <c r="E26" s="105"/>
      <c r="F26" t="s">
        <v>335</v>
      </c>
      <c r="G26" t="s">
        <v>261</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11130.724915787147</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6966.0827492580638</v>
      </c>
      <c r="Y26" s="167">
        <f>'Inputs by customer type'!Y188</f>
        <v>6966.0827492580638</v>
      </c>
    </row>
    <row r="27" spans="2:27" x14ac:dyDescent="0.25">
      <c r="E27" s="105"/>
      <c r="F27" s="96" t="s">
        <v>510</v>
      </c>
      <c r="G27" s="96" t="s">
        <v>264</v>
      </c>
      <c r="H27" s="96"/>
      <c r="I27" s="96"/>
      <c r="J27" s="121"/>
      <c r="K27" s="121"/>
      <c r="L27" s="121"/>
      <c r="M27" s="121"/>
      <c r="N27" s="121"/>
      <c r="O27" s="121"/>
      <c r="P27" s="121"/>
      <c r="Q27" s="172">
        <f>'Inputs by customer type'!Q190</f>
        <v>298.46392869796432</v>
      </c>
      <c r="R27" s="121"/>
      <c r="S27" s="121"/>
      <c r="T27" s="121"/>
      <c r="U27" s="121"/>
      <c r="V27" s="121"/>
      <c r="W27" s="121"/>
      <c r="X27" s="121"/>
      <c r="Y27" s="121"/>
    </row>
    <row r="28" spans="2:27" x14ac:dyDescent="0.25">
      <c r="D28" s="105"/>
      <c r="E28"/>
    </row>
    <row r="29" spans="2:27" x14ac:dyDescent="0.25">
      <c r="B29" s="85" t="s">
        <v>597</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25">
      <c r="C30" s="105"/>
    </row>
    <row r="31" spans="2:27" x14ac:dyDescent="0.25">
      <c r="C31" s="86" t="s">
        <v>598</v>
      </c>
    </row>
    <row r="32" spans="2:27" x14ac:dyDescent="0.25">
      <c r="C32" s="105"/>
    </row>
    <row r="33" spans="2:27" x14ac:dyDescent="0.25">
      <c r="C33" s="93" t="str">
        <f ca="1">INDEX('Version control'!$H$41:$H$64,MATCH($A$1,'Version control'!$F$41:$F$64,0),1)&amp;"-B: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25">
      <c r="C34" s="105"/>
    </row>
    <row r="35" spans="2:27" x14ac:dyDescent="0.25">
      <c r="D35"/>
      <c r="E35" t="s">
        <v>599</v>
      </c>
      <c r="G35" t="s">
        <v>277</v>
      </c>
      <c r="H35" s="168">
        <f>IF(H21 &lt;&gt; 0, H20  /H21, 0)</f>
        <v>4.0909738385717223E-2</v>
      </c>
      <c r="I35" t="s">
        <v>154</v>
      </c>
      <c r="J35" s="97"/>
      <c r="K35" s="97"/>
      <c r="L35" s="97"/>
      <c r="M35" s="97"/>
      <c r="N35" s="97"/>
      <c r="O35" s="97"/>
      <c r="P35" s="97"/>
      <c r="Q35" s="97"/>
      <c r="R35" s="97"/>
      <c r="S35" s="97"/>
      <c r="T35" s="97"/>
      <c r="U35" s="97"/>
      <c r="V35" s="97"/>
      <c r="W35" s="97"/>
      <c r="X35" s="97"/>
      <c r="Y35" s="97"/>
      <c r="AA35" t="s">
        <v>600</v>
      </c>
    </row>
    <row r="36" spans="2:27" x14ac:dyDescent="0.25">
      <c r="D36" s="105"/>
      <c r="E36"/>
      <c r="J36" s="97"/>
      <c r="K36" s="97"/>
      <c r="L36" s="97"/>
      <c r="M36" s="97"/>
      <c r="N36" s="97"/>
      <c r="O36" s="97"/>
      <c r="P36" s="97"/>
      <c r="Q36" s="97"/>
      <c r="R36" s="97"/>
      <c r="S36" s="97"/>
      <c r="T36" s="97"/>
      <c r="U36" s="97"/>
      <c r="V36" s="97"/>
      <c r="W36" s="97"/>
      <c r="X36" s="97"/>
      <c r="Y36" s="97"/>
    </row>
    <row r="37" spans="2:27" x14ac:dyDescent="0.25">
      <c r="C37" s="93" t="str">
        <f ca="1">INDEX('Version control'!$H$41:$H$64,MATCH($A$1,'Version control'!$F$41:$F$64,0),1)&amp;"-C: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25">
      <c r="C38" s="105"/>
    </row>
    <row r="39" spans="2:27" x14ac:dyDescent="0.25">
      <c r="D39"/>
      <c r="E39" s="86" t="s">
        <v>601</v>
      </c>
      <c r="H39" s="97"/>
      <c r="J39" s="97"/>
      <c r="K39" s="97"/>
      <c r="L39" s="97"/>
      <c r="M39" s="97"/>
      <c r="N39" s="97"/>
      <c r="O39" s="97"/>
      <c r="P39" s="97"/>
      <c r="Q39" s="97"/>
      <c r="R39" s="97"/>
      <c r="S39" s="97"/>
      <c r="T39" s="97"/>
      <c r="U39" s="97"/>
      <c r="V39" s="97"/>
      <c r="W39" s="97"/>
      <c r="X39" s="97"/>
      <c r="Y39" s="97"/>
    </row>
    <row r="40" spans="2:27" x14ac:dyDescent="0.25">
      <c r="D40"/>
      <c r="E40" s="86"/>
      <c r="H40" s="97"/>
      <c r="J40" s="97"/>
      <c r="K40" s="97"/>
      <c r="L40" s="97"/>
      <c r="M40" s="97"/>
      <c r="N40" s="97"/>
      <c r="O40" s="97"/>
      <c r="P40" s="97"/>
      <c r="Q40" s="97"/>
      <c r="R40" s="97"/>
      <c r="S40" s="97"/>
      <c r="T40" s="97"/>
      <c r="U40" s="97"/>
      <c r="V40" s="97"/>
      <c r="W40" s="97"/>
      <c r="X40" s="97"/>
      <c r="Y40" s="97"/>
    </row>
    <row r="41" spans="2:27" x14ac:dyDescent="0.25">
      <c r="D41"/>
      <c r="E41" s="75" t="s">
        <v>602</v>
      </c>
      <c r="H41" s="97"/>
      <c r="I41" t="s">
        <v>154</v>
      </c>
      <c r="J41" s="97"/>
      <c r="K41" s="97"/>
      <c r="L41" s="97"/>
      <c r="M41" s="97"/>
      <c r="N41" s="97"/>
      <c r="O41" s="97"/>
      <c r="P41" s="97"/>
      <c r="Q41" s="97"/>
      <c r="R41" s="97"/>
      <c r="S41" s="97"/>
      <c r="T41" s="97"/>
      <c r="U41" s="97"/>
      <c r="V41" s="97"/>
      <c r="W41" s="97"/>
      <c r="X41" s="97"/>
      <c r="Y41" s="97"/>
      <c r="AA41" t="s">
        <v>603</v>
      </c>
    </row>
    <row r="42" spans="2:27" x14ac:dyDescent="0.25">
      <c r="D42"/>
      <c r="E42" s="105"/>
      <c r="F42" s="95" t="s">
        <v>334</v>
      </c>
      <c r="G42" s="95" t="s">
        <v>270</v>
      </c>
      <c r="H42" s="237"/>
      <c r="I42" s="95"/>
      <c r="J42" s="149">
        <f t="shared" ref="J42:K42" si="0">J25 * $H$35 / days_in_year * hundred</f>
        <v>2.9592353325390395</v>
      </c>
      <c r="K42" s="149">
        <f t="shared" si="0"/>
        <v>0</v>
      </c>
      <c r="L42" s="149">
        <f t="shared" ref="L42:M42" si="1">L25 * $H$35 / days_in_year * hundred</f>
        <v>8.676881277513445</v>
      </c>
      <c r="M42" s="149">
        <f t="shared" si="1"/>
        <v>0</v>
      </c>
      <c r="N42" s="149">
        <f t="shared" ref="N42:P42" si="2">N25 * $H$35 / days_in_year * hundred</f>
        <v>17.311572695706502</v>
      </c>
      <c r="O42" s="149">
        <f t="shared" si="2"/>
        <v>13.513542855749364</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25">
      <c r="D43"/>
      <c r="E43" s="105"/>
      <c r="F43" t="s">
        <v>335</v>
      </c>
      <c r="G43" t="s">
        <v>270</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124.75480667074974</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78.076882971343878</v>
      </c>
      <c r="Y43" s="151">
        <f t="shared" si="13"/>
        <v>78.076882971343878</v>
      </c>
    </row>
    <row r="44" spans="2:27" x14ac:dyDescent="0.25">
      <c r="D44"/>
      <c r="E44" s="105"/>
      <c r="F44" s="96" t="s">
        <v>510</v>
      </c>
      <c r="G44" s="96" t="s">
        <v>269</v>
      </c>
      <c r="H44" s="270"/>
      <c r="I44" s="270"/>
      <c r="J44" s="276"/>
      <c r="K44" s="276"/>
      <c r="L44" s="276"/>
      <c r="M44" s="276"/>
      <c r="N44" s="276"/>
      <c r="O44" s="276"/>
      <c r="P44" s="276"/>
      <c r="Q44" s="277">
        <f t="shared" ref="Q44" si="14">Q27*$H$35/ten</f>
        <v>1.221008124060708</v>
      </c>
      <c r="R44" s="276"/>
      <c r="S44" s="276"/>
      <c r="T44" s="276"/>
      <c r="U44" s="276"/>
      <c r="V44" s="276"/>
      <c r="W44" s="276"/>
      <c r="X44" s="276"/>
      <c r="Y44" s="276"/>
      <c r="Z44" s="268"/>
      <c r="AA44" s="268"/>
    </row>
    <row r="45" spans="2:27" x14ac:dyDescent="0.25">
      <c r="D45" s="105"/>
      <c r="E45"/>
    </row>
    <row r="46" spans="2:27" x14ac:dyDescent="0.25">
      <c r="B46" s="85" t="s">
        <v>231</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25">
      <c r="E48" t="s">
        <v>232</v>
      </c>
      <c r="G48" s="6" t="s">
        <v>56</v>
      </c>
      <c r="H48" s="113">
        <f t="array" ref="H48">SUM(IF(ISERROR(H19:Y45), 1))</f>
        <v>0</v>
      </c>
    </row>
    <row r="50" spans="2:27" x14ac:dyDescent="0.25">
      <c r="B50" s="85" t="s">
        <v>107</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2"/>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NGED South West - [enter data version name]</v>
      </c>
    </row>
    <row r="3" spans="1:13" s="5" customFormat="1" x14ac:dyDescent="0.25">
      <c r="A3" s="5" t="str">
        <f>Cover!D2&amp;" - "&amp;Cover!D8&amp;" v"&amp;Cover!D10&amp;" - "&amp;Cover!D19</f>
        <v>CDCM charging model - Release for charge setting v11 - 2026/27</v>
      </c>
    </row>
    <row r="4" spans="1:13" customFormat="1" x14ac:dyDescent="0.25">
      <c r="A4" s="60" t="str">
        <f>J65 &amp; IF(J65 = 1, " issue", " issues") &amp;" identified in checks on this sheet"</f>
        <v>0 issues identified in checks on this sheet</v>
      </c>
      <c r="B4" s="61"/>
      <c r="C4" s="61"/>
      <c r="D4" s="61"/>
      <c r="E4" s="61"/>
      <c r="F4" s="61"/>
      <c r="G4" s="61"/>
      <c r="H4" s="62"/>
      <c r="I4" s="62"/>
      <c r="J4" s="61"/>
    </row>
    <row r="5" spans="1:13" x14ac:dyDescent="0.25">
      <c r="A5" s="63"/>
      <c r="B5" s="64" t="s">
        <v>33</v>
      </c>
      <c r="C5" s="64"/>
      <c r="D5" s="64"/>
      <c r="E5" s="64"/>
      <c r="F5" s="64"/>
      <c r="G5" s="65"/>
      <c r="H5" s="65"/>
      <c r="I5" s="65"/>
      <c r="J5" s="65"/>
      <c r="K5" s="65"/>
      <c r="L5" s="64"/>
    </row>
    <row r="6" spans="1:13" x14ac:dyDescent="0.25">
      <c r="A6" s="63"/>
      <c r="B6" s="63"/>
      <c r="C6" s="63"/>
      <c r="D6" s="63"/>
      <c r="E6" s="63"/>
      <c r="F6" s="63"/>
      <c r="G6" s="66"/>
      <c r="H6" s="66"/>
      <c r="I6" s="66"/>
      <c r="J6" s="66"/>
      <c r="K6" s="66"/>
      <c r="L6" s="63"/>
    </row>
    <row r="7" spans="1:13" x14ac:dyDescent="0.25">
      <c r="A7" s="63"/>
      <c r="B7" s="63"/>
      <c r="C7" s="63"/>
      <c r="D7" s="63"/>
      <c r="F7" s="63" t="s">
        <v>34</v>
      </c>
      <c r="H7" s="67">
        <f>LOOKUP(2,1/(F20:F37&lt;&gt;""),F20:F37)</f>
        <v>45590</v>
      </c>
      <c r="I7" s="68"/>
      <c r="J7" s="68"/>
      <c r="K7" s="63"/>
      <c r="L7" s="63"/>
    </row>
    <row r="8" spans="1:13" x14ac:dyDescent="0.25">
      <c r="A8" s="63"/>
      <c r="B8" s="63"/>
      <c r="C8" s="63"/>
      <c r="D8" s="63"/>
      <c r="F8" s="63"/>
      <c r="H8" s="63"/>
      <c r="I8" s="66"/>
      <c r="J8" s="66"/>
      <c r="K8" s="63"/>
      <c r="L8" s="63"/>
    </row>
    <row r="9" spans="1:13" x14ac:dyDescent="0.25">
      <c r="A9" s="63"/>
      <c r="B9" s="63"/>
      <c r="C9" s="63"/>
      <c r="D9" s="63"/>
      <c r="F9" s="63" t="s">
        <v>35</v>
      </c>
      <c r="H9" s="69" t="str">
        <f>LOOKUP(2,1/(G20:G37&lt;&gt;""),G20:G37)</f>
        <v>Release for charge setting</v>
      </c>
      <c r="I9" s="70"/>
      <c r="J9" s="70"/>
      <c r="K9" s="63"/>
      <c r="L9" s="63"/>
    </row>
    <row r="10" spans="1:13" x14ac:dyDescent="0.25">
      <c r="A10" s="63"/>
      <c r="B10" s="63"/>
      <c r="C10" s="63"/>
      <c r="D10" s="63"/>
      <c r="F10" s="63"/>
      <c r="H10" s="63"/>
      <c r="I10" s="63"/>
      <c r="J10" s="63"/>
      <c r="K10" s="63"/>
      <c r="L10" s="63"/>
    </row>
    <row r="11" spans="1:13" x14ac:dyDescent="0.25">
      <c r="A11" s="63"/>
      <c r="B11" s="63"/>
      <c r="C11" s="63"/>
      <c r="D11" s="63"/>
      <c r="F11" s="71" t="s">
        <v>781</v>
      </c>
      <c r="H11" s="69">
        <f>LOOKUP(2,1/(H20:H37&lt;&gt;""),H20:H37)</f>
        <v>11</v>
      </c>
      <c r="I11" s="70"/>
      <c r="J11" s="70"/>
      <c r="K11" s="63"/>
      <c r="L11" s="63"/>
    </row>
    <row r="12" spans="1:13" x14ac:dyDescent="0.25">
      <c r="A12" s="63"/>
      <c r="B12" s="63"/>
      <c r="C12" s="63"/>
      <c r="D12" s="63"/>
      <c r="F12" s="63"/>
      <c r="H12" s="63"/>
      <c r="I12" s="66"/>
      <c r="J12" s="66"/>
      <c r="K12" s="63"/>
      <c r="L12" s="63"/>
    </row>
    <row r="13" spans="1:13" customFormat="1" x14ac:dyDescent="0.25">
      <c r="A13" s="71"/>
      <c r="B13" s="71"/>
      <c r="C13" s="71"/>
      <c r="D13" s="71"/>
      <c r="E13" s="6"/>
      <c r="F13" s="63" t="s">
        <v>36</v>
      </c>
      <c r="H13" s="67" t="str">
        <f>LOOKUP(2,1/(I20:I37&lt;&gt;""),I20:I37)</f>
        <v>Attachment A_2026-27 Charging Methodologies Pre-Release (shared on 03/10/2024)</v>
      </c>
      <c r="I13" s="72"/>
      <c r="J13" s="72"/>
      <c r="K13" s="72"/>
      <c r="L13" s="71"/>
      <c r="M13" s="71"/>
    </row>
    <row r="14" spans="1:13" customFormat="1" x14ac:dyDescent="0.25">
      <c r="A14" s="71"/>
      <c r="B14" s="71"/>
      <c r="C14" s="71"/>
      <c r="D14" s="71"/>
      <c r="E14" s="6"/>
      <c r="F14" s="71"/>
      <c r="I14" s="72"/>
      <c r="J14" s="72"/>
      <c r="K14" s="72"/>
      <c r="L14" s="71"/>
      <c r="M14" s="71"/>
    </row>
    <row r="15" spans="1:13" x14ac:dyDescent="0.25">
      <c r="A15" s="63"/>
      <c r="B15" s="63"/>
      <c r="C15" s="63"/>
      <c r="D15" s="63"/>
      <c r="F15" s="63" t="s">
        <v>37</v>
      </c>
      <c r="H15" s="69" t="str">
        <f>LOOKUP(2,1/(J20:J37&lt;&gt;""),J20:J37)</f>
        <v>Schedule 16</v>
      </c>
      <c r="I15" s="66"/>
      <c r="J15" s="66"/>
      <c r="K15" s="63"/>
      <c r="L15" s="63"/>
    </row>
    <row r="16" spans="1:13" x14ac:dyDescent="0.25">
      <c r="A16" s="63"/>
      <c r="B16" s="63"/>
      <c r="C16" s="63"/>
      <c r="D16" s="63"/>
      <c r="E16" s="63"/>
      <c r="F16" s="63"/>
      <c r="H16" s="66"/>
      <c r="I16" s="66"/>
      <c r="J16" s="66"/>
      <c r="K16" s="63"/>
      <c r="L16" s="63"/>
    </row>
    <row r="17" spans="1:12" x14ac:dyDescent="0.25">
      <c r="A17" s="63"/>
      <c r="B17" s="64" t="s">
        <v>38</v>
      </c>
      <c r="C17" s="64"/>
      <c r="D17" s="64"/>
      <c r="E17" s="64"/>
      <c r="F17" s="64"/>
      <c r="G17" s="65"/>
      <c r="H17" s="65"/>
      <c r="I17" s="65"/>
      <c r="J17" s="65"/>
      <c r="K17" s="65"/>
      <c r="L17" s="64"/>
    </row>
    <row r="18" spans="1:12" x14ac:dyDescent="0.25">
      <c r="A18" s="63"/>
      <c r="B18" s="63"/>
      <c r="C18" s="63"/>
      <c r="D18" s="63"/>
      <c r="E18" s="63"/>
      <c r="F18" s="63"/>
      <c r="G18" s="66"/>
      <c r="H18" s="63"/>
      <c r="I18" s="63"/>
      <c r="J18" s="63"/>
      <c r="K18" s="63"/>
      <c r="L18" s="63"/>
    </row>
    <row r="19" spans="1:12" x14ac:dyDescent="0.25">
      <c r="A19" s="63"/>
      <c r="B19" s="63"/>
      <c r="C19" s="63"/>
      <c r="D19" s="63"/>
      <c r="E19" s="63"/>
      <c r="F19" s="73" t="s">
        <v>39</v>
      </c>
      <c r="G19" s="74" t="s">
        <v>40</v>
      </c>
      <c r="H19" s="73" t="s">
        <v>778</v>
      </c>
      <c r="I19" s="74" t="s">
        <v>41</v>
      </c>
      <c r="J19" s="74" t="s">
        <v>42</v>
      </c>
      <c r="K19" s="74" t="s">
        <v>43</v>
      </c>
      <c r="L19" s="74" t="s">
        <v>44</v>
      </c>
    </row>
    <row r="20" spans="1:12" ht="30" x14ac:dyDescent="0.25">
      <c r="A20" s="63"/>
      <c r="B20" s="63"/>
      <c r="C20" s="63"/>
      <c r="D20" s="63"/>
      <c r="E20" s="63"/>
      <c r="F20" s="419">
        <v>43250</v>
      </c>
      <c r="G20" s="416" t="s">
        <v>45</v>
      </c>
      <c r="H20" s="416">
        <v>1</v>
      </c>
      <c r="I20" s="416" t="s">
        <v>46</v>
      </c>
      <c r="J20" s="416" t="s">
        <v>47</v>
      </c>
      <c r="K20" s="416" t="s">
        <v>48</v>
      </c>
      <c r="L20" s="416" t="s">
        <v>49</v>
      </c>
    </row>
    <row r="21" spans="1:12" ht="30" x14ac:dyDescent="0.25">
      <c r="A21" s="63"/>
      <c r="B21" s="63"/>
      <c r="C21" s="63"/>
      <c r="D21" s="63"/>
      <c r="E21" s="63"/>
      <c r="F21" s="419">
        <v>43301</v>
      </c>
      <c r="G21" s="416" t="s">
        <v>45</v>
      </c>
      <c r="H21" s="416">
        <v>2</v>
      </c>
      <c r="I21" s="416" t="s">
        <v>50</v>
      </c>
      <c r="J21" s="416" t="s">
        <v>47</v>
      </c>
      <c r="K21" s="416" t="s">
        <v>48</v>
      </c>
      <c r="L21" s="416" t="s">
        <v>51</v>
      </c>
    </row>
    <row r="22" spans="1:12" ht="45" x14ac:dyDescent="0.25">
      <c r="A22" s="63"/>
      <c r="B22" s="63"/>
      <c r="C22" s="63"/>
      <c r="D22" s="63"/>
      <c r="E22" s="63"/>
      <c r="F22" s="419">
        <v>43389</v>
      </c>
      <c r="G22" s="416" t="s">
        <v>779</v>
      </c>
      <c r="H22" s="416">
        <v>3</v>
      </c>
      <c r="I22" s="420" t="s">
        <v>780</v>
      </c>
      <c r="J22" s="420" t="s">
        <v>47</v>
      </c>
      <c r="K22" s="420" t="s">
        <v>48</v>
      </c>
      <c r="L22" s="420" t="s">
        <v>782</v>
      </c>
    </row>
    <row r="23" spans="1:12" ht="60" x14ac:dyDescent="0.25">
      <c r="A23" s="63"/>
      <c r="B23" s="63"/>
      <c r="C23" s="63"/>
      <c r="D23" s="63"/>
      <c r="E23" s="63"/>
      <c r="F23" s="419">
        <v>43663</v>
      </c>
      <c r="G23" s="416" t="s">
        <v>45</v>
      </c>
      <c r="H23" s="416">
        <v>4</v>
      </c>
      <c r="I23" s="416" t="s">
        <v>811</v>
      </c>
      <c r="J23" s="420" t="s">
        <v>47</v>
      </c>
      <c r="K23" s="420" t="s">
        <v>48</v>
      </c>
      <c r="L23" s="416" t="s">
        <v>812</v>
      </c>
    </row>
    <row r="24" spans="1:12" ht="60" x14ac:dyDescent="0.25">
      <c r="A24" s="63"/>
      <c r="B24" s="63"/>
      <c r="C24" s="63"/>
      <c r="D24" s="63"/>
      <c r="E24" s="63"/>
      <c r="F24" s="419">
        <v>43777</v>
      </c>
      <c r="G24" s="416" t="s">
        <v>779</v>
      </c>
      <c r="H24" s="416">
        <v>5</v>
      </c>
      <c r="I24" s="416" t="s">
        <v>854</v>
      </c>
      <c r="J24" s="416" t="s">
        <v>47</v>
      </c>
      <c r="K24" s="416" t="s">
        <v>48</v>
      </c>
      <c r="L24" s="420" t="s">
        <v>848</v>
      </c>
    </row>
    <row r="25" spans="1:12" ht="90" x14ac:dyDescent="0.25">
      <c r="A25" s="63"/>
      <c r="B25" s="63"/>
      <c r="C25" s="63"/>
      <c r="D25" s="63"/>
      <c r="E25" s="63"/>
      <c r="F25" s="419">
        <v>43860</v>
      </c>
      <c r="G25" s="416" t="s">
        <v>779</v>
      </c>
      <c r="H25" s="416">
        <v>6</v>
      </c>
      <c r="I25" s="416" t="s">
        <v>856</v>
      </c>
      <c r="J25" s="416" t="s">
        <v>47</v>
      </c>
      <c r="K25" s="416" t="s">
        <v>48</v>
      </c>
      <c r="L25" s="420" t="s">
        <v>857</v>
      </c>
    </row>
    <row r="26" spans="1:12" ht="45" x14ac:dyDescent="0.25">
      <c r="A26" s="63"/>
      <c r="B26" s="63"/>
      <c r="C26" s="63"/>
      <c r="D26" s="63"/>
      <c r="E26" s="63"/>
      <c r="F26" s="419">
        <v>43977</v>
      </c>
      <c r="G26" s="416" t="s">
        <v>45</v>
      </c>
      <c r="H26" s="416">
        <v>6</v>
      </c>
      <c r="I26" s="416" t="s">
        <v>1072</v>
      </c>
      <c r="J26" s="416" t="s">
        <v>47</v>
      </c>
      <c r="K26" s="416" t="s">
        <v>48</v>
      </c>
      <c r="L26" s="416" t="s">
        <v>1073</v>
      </c>
    </row>
    <row r="27" spans="1:12" ht="60" x14ac:dyDescent="0.25">
      <c r="A27" s="63"/>
      <c r="B27" s="63"/>
      <c r="C27" s="63"/>
      <c r="D27" s="63"/>
      <c r="E27" s="63"/>
      <c r="F27" s="419">
        <v>44141</v>
      </c>
      <c r="G27" s="416" t="s">
        <v>779</v>
      </c>
      <c r="H27" s="416">
        <v>7</v>
      </c>
      <c r="I27" s="416" t="s">
        <v>1084</v>
      </c>
      <c r="J27" s="416" t="s">
        <v>47</v>
      </c>
      <c r="K27" s="416" t="s">
        <v>48</v>
      </c>
      <c r="L27" s="416" t="s">
        <v>1085</v>
      </c>
    </row>
    <row r="28" spans="1:12" ht="45" x14ac:dyDescent="0.25">
      <c r="A28" s="63"/>
      <c r="B28" s="63"/>
      <c r="C28" s="63"/>
      <c r="D28" s="63"/>
      <c r="E28" s="63"/>
      <c r="F28" s="419">
        <v>44225</v>
      </c>
      <c r="G28" s="416" t="s">
        <v>45</v>
      </c>
      <c r="H28" s="416">
        <v>7</v>
      </c>
      <c r="I28" s="416" t="s">
        <v>1099</v>
      </c>
      <c r="J28" s="416" t="s">
        <v>47</v>
      </c>
      <c r="K28" s="416" t="s">
        <v>48</v>
      </c>
      <c r="L28" s="416" t="s">
        <v>1100</v>
      </c>
    </row>
    <row r="29" spans="1:12" ht="90" x14ac:dyDescent="0.25">
      <c r="A29" s="63"/>
      <c r="B29" s="63"/>
      <c r="C29" s="63"/>
      <c r="D29" s="63"/>
      <c r="E29" s="63"/>
      <c r="F29" s="421">
        <v>44250</v>
      </c>
      <c r="G29" s="416" t="s">
        <v>779</v>
      </c>
      <c r="H29" s="422">
        <v>8</v>
      </c>
      <c r="I29" s="420" t="s">
        <v>1101</v>
      </c>
      <c r="J29" s="416" t="s">
        <v>47</v>
      </c>
      <c r="K29" s="423" t="s">
        <v>48</v>
      </c>
      <c r="L29" s="423" t="s">
        <v>1102</v>
      </c>
    </row>
    <row r="30" spans="1:12" ht="60" x14ac:dyDescent="0.25">
      <c r="A30" s="63"/>
      <c r="B30" s="63"/>
      <c r="C30" s="63"/>
      <c r="D30" s="63"/>
      <c r="E30" s="63"/>
      <c r="F30" s="421">
        <v>44522</v>
      </c>
      <c r="G30" s="416" t="s">
        <v>779</v>
      </c>
      <c r="H30" s="422">
        <v>8</v>
      </c>
      <c r="I30" s="420" t="s">
        <v>1103</v>
      </c>
      <c r="J30" s="416" t="s">
        <v>47</v>
      </c>
      <c r="K30" s="423" t="s">
        <v>48</v>
      </c>
      <c r="L30" s="423" t="s">
        <v>1108</v>
      </c>
    </row>
    <row r="31" spans="1:12" ht="60" x14ac:dyDescent="0.25">
      <c r="A31" s="63"/>
      <c r="B31" s="63"/>
      <c r="C31" s="63"/>
      <c r="D31" s="63"/>
      <c r="E31" s="63"/>
      <c r="F31" s="421">
        <v>44627</v>
      </c>
      <c r="G31" s="416" t="s">
        <v>45</v>
      </c>
      <c r="H31" s="422">
        <v>8</v>
      </c>
      <c r="I31" s="420" t="s">
        <v>1103</v>
      </c>
      <c r="J31" s="416" t="s">
        <v>47</v>
      </c>
      <c r="K31" s="423" t="s">
        <v>48</v>
      </c>
      <c r="L31" s="423" t="s">
        <v>1110</v>
      </c>
    </row>
    <row r="32" spans="1:12" ht="45" x14ac:dyDescent="0.25">
      <c r="A32" s="63"/>
      <c r="B32" s="63"/>
      <c r="C32" s="63"/>
      <c r="D32" s="63"/>
      <c r="E32" s="63"/>
      <c r="F32" s="421">
        <v>44861</v>
      </c>
      <c r="G32" s="416" t="s">
        <v>779</v>
      </c>
      <c r="H32" s="422">
        <v>9</v>
      </c>
      <c r="I32" s="420" t="s">
        <v>1111</v>
      </c>
      <c r="J32" s="416" t="s">
        <v>47</v>
      </c>
      <c r="K32" s="423" t="s">
        <v>48</v>
      </c>
      <c r="L32" s="423" t="s">
        <v>1112</v>
      </c>
    </row>
    <row r="33" spans="1:12" ht="45" x14ac:dyDescent="0.25">
      <c r="A33" s="63"/>
      <c r="B33" s="63"/>
      <c r="C33" s="63"/>
      <c r="D33" s="63"/>
      <c r="E33" s="63"/>
      <c r="F33" s="419">
        <v>45236</v>
      </c>
      <c r="G33" s="416" t="s">
        <v>779</v>
      </c>
      <c r="H33" s="416">
        <v>10</v>
      </c>
      <c r="I33" s="416" t="s">
        <v>1123</v>
      </c>
      <c r="J33" s="416" t="s">
        <v>47</v>
      </c>
      <c r="K33" s="423" t="s">
        <v>48</v>
      </c>
      <c r="L33" s="423" t="s">
        <v>1122</v>
      </c>
    </row>
    <row r="34" spans="1:12" ht="45" x14ac:dyDescent="0.25">
      <c r="A34" s="63"/>
      <c r="B34" s="63"/>
      <c r="C34" s="63"/>
      <c r="D34" s="63"/>
      <c r="E34" s="63"/>
      <c r="F34" s="419">
        <v>45268</v>
      </c>
      <c r="G34" s="416" t="s">
        <v>45</v>
      </c>
      <c r="H34" s="416">
        <v>10</v>
      </c>
      <c r="I34" s="416" t="s">
        <v>1168</v>
      </c>
      <c r="J34" s="416" t="s">
        <v>47</v>
      </c>
      <c r="K34" s="423" t="s">
        <v>48</v>
      </c>
      <c r="L34" s="416" t="s">
        <v>1167</v>
      </c>
    </row>
    <row r="35" spans="1:12" ht="45" x14ac:dyDescent="0.25">
      <c r="A35" s="63"/>
      <c r="B35" s="63"/>
      <c r="C35" s="63"/>
      <c r="D35" s="63"/>
      <c r="E35" s="63"/>
      <c r="F35" s="419">
        <v>45590</v>
      </c>
      <c r="G35" s="416" t="s">
        <v>779</v>
      </c>
      <c r="H35" s="416">
        <v>11</v>
      </c>
      <c r="I35" s="416" t="s">
        <v>1178</v>
      </c>
      <c r="J35" s="416" t="s">
        <v>47</v>
      </c>
      <c r="K35" s="423" t="s">
        <v>48</v>
      </c>
      <c r="L35" s="423" t="s">
        <v>1177</v>
      </c>
    </row>
    <row r="36" spans="1:12" x14ac:dyDescent="0.25">
      <c r="A36" s="63"/>
      <c r="B36" s="63"/>
      <c r="C36" s="63"/>
      <c r="D36" s="63"/>
      <c r="E36" s="63"/>
      <c r="F36" s="419"/>
      <c r="G36" s="416"/>
      <c r="H36" s="416"/>
      <c r="I36" s="416"/>
      <c r="J36" s="416"/>
      <c r="K36" s="416"/>
      <c r="L36" s="416"/>
    </row>
    <row r="38" spans="1:12" x14ac:dyDescent="0.25">
      <c r="B38" s="64" t="s">
        <v>52</v>
      </c>
      <c r="C38" s="64"/>
      <c r="D38" s="64"/>
      <c r="E38" s="64"/>
      <c r="F38" s="64"/>
      <c r="G38" s="65"/>
      <c r="H38" s="65"/>
      <c r="I38" s="65"/>
      <c r="J38" s="65"/>
      <c r="K38" s="65"/>
      <c r="L38" s="64"/>
    </row>
    <row r="40" spans="1:12" x14ac:dyDescent="0.25">
      <c r="E40" s="75" t="s">
        <v>53</v>
      </c>
      <c r="F40" s="76"/>
      <c r="G40" s="77"/>
      <c r="H40" s="77"/>
      <c r="I40" s="77"/>
      <c r="J40" s="77"/>
    </row>
    <row r="41" spans="1:12" x14ac:dyDescent="0.25">
      <c r="F41" s="6" t="s">
        <v>54</v>
      </c>
      <c r="H41" s="424" t="s">
        <v>55</v>
      </c>
      <c r="I41" s="6" t="s">
        <v>56</v>
      </c>
      <c r="J41" s="78">
        <f>'Fixed inputs'!H197</f>
        <v>0</v>
      </c>
    </row>
    <row r="42" spans="1:12" x14ac:dyDescent="0.25">
      <c r="F42" s="6" t="s">
        <v>57</v>
      </c>
      <c r="H42" s="424" t="s">
        <v>58</v>
      </c>
      <c r="I42" s="6" t="s">
        <v>56</v>
      </c>
      <c r="J42" s="78">
        <f>'Inputs by customer type'!H236</f>
        <v>0</v>
      </c>
    </row>
    <row r="43" spans="1:12" x14ac:dyDescent="0.25">
      <c r="F43" s="6" t="s">
        <v>59</v>
      </c>
      <c r="H43" s="424" t="s">
        <v>60</v>
      </c>
      <c r="I43" s="6" t="s">
        <v>56</v>
      </c>
      <c r="J43" s="79">
        <f>'Inputs by network level'!H56</f>
        <v>0</v>
      </c>
    </row>
    <row r="44" spans="1:12" x14ac:dyDescent="0.25">
      <c r="F44" s="6" t="s">
        <v>61</v>
      </c>
      <c r="H44" s="424" t="s">
        <v>62</v>
      </c>
      <c r="I44" s="6" t="s">
        <v>56</v>
      </c>
      <c r="J44" s="78">
        <f>'General inputs'!H119</f>
        <v>0</v>
      </c>
    </row>
    <row r="45" spans="1:12" x14ac:dyDescent="0.25">
      <c r="F45" s="6" t="s">
        <v>63</v>
      </c>
      <c r="H45" s="424" t="s">
        <v>64</v>
      </c>
      <c r="I45" s="6" t="s">
        <v>56</v>
      </c>
      <c r="J45" s="79">
        <f>'Standing charge factors'!H58</f>
        <v>0</v>
      </c>
    </row>
    <row r="46" spans="1:12" x14ac:dyDescent="0.25">
      <c r="F46" s="6" t="s">
        <v>65</v>
      </c>
      <c r="H46" s="424" t="s">
        <v>66</v>
      </c>
      <c r="I46" s="6" t="s">
        <v>56</v>
      </c>
      <c r="J46" s="79">
        <f>'Load &amp; loss characteristics'!H183</f>
        <v>0</v>
      </c>
    </row>
    <row r="47" spans="1:12" x14ac:dyDescent="0.25">
      <c r="F47" s="6" t="s">
        <v>67</v>
      </c>
      <c r="H47" s="424" t="s">
        <v>68</v>
      </c>
      <c r="I47" s="6" t="s">
        <v>56</v>
      </c>
      <c r="J47" s="79">
        <f>'Customer contributions'!H70</f>
        <v>0</v>
      </c>
    </row>
    <row r="48" spans="1:12" x14ac:dyDescent="0.25">
      <c r="F48" s="6" t="s">
        <v>69</v>
      </c>
      <c r="H48" s="424" t="s">
        <v>70</v>
      </c>
      <c r="I48" s="6" t="s">
        <v>56</v>
      </c>
      <c r="J48" s="79">
        <f>'Volume adjustments'!H693</f>
        <v>0</v>
      </c>
    </row>
    <row r="49" spans="6:10" x14ac:dyDescent="0.25">
      <c r="F49" s="6" t="s">
        <v>71</v>
      </c>
      <c r="H49" s="424" t="s">
        <v>72</v>
      </c>
      <c r="I49" s="6" t="s">
        <v>56</v>
      </c>
      <c r="J49" s="79">
        <f>'Pseudo-load coefficients'!H306</f>
        <v>0</v>
      </c>
    </row>
    <row r="50" spans="6:10" x14ac:dyDescent="0.25">
      <c r="F50" s="6" t="s">
        <v>73</v>
      </c>
      <c r="H50" s="424" t="s">
        <v>74</v>
      </c>
      <c r="I50" s="6" t="s">
        <v>56</v>
      </c>
      <c r="J50" s="79">
        <f>'System peak demand'!H281</f>
        <v>0</v>
      </c>
    </row>
    <row r="51" spans="6:10" x14ac:dyDescent="0.25">
      <c r="F51" s="6" t="s">
        <v>75</v>
      </c>
      <c r="H51" s="424" t="s">
        <v>76</v>
      </c>
      <c r="I51" s="6" t="s">
        <v>56</v>
      </c>
      <c r="J51" s="79">
        <f>'Service model assets'!H38</f>
        <v>0</v>
      </c>
    </row>
    <row r="52" spans="6:10" x14ac:dyDescent="0.25">
      <c r="F52" s="6" t="s">
        <v>77</v>
      </c>
      <c r="H52" s="424" t="s">
        <v>78</v>
      </c>
      <c r="I52" s="6" t="s">
        <v>56</v>
      </c>
      <c r="J52" s="79">
        <f>'Unit costs'!H131</f>
        <v>0</v>
      </c>
    </row>
    <row r="53" spans="6:10" x14ac:dyDescent="0.25">
      <c r="F53" s="6" t="s">
        <v>79</v>
      </c>
      <c r="H53" s="424" t="s">
        <v>80</v>
      </c>
      <c r="I53" s="6" t="s">
        <v>56</v>
      </c>
      <c r="J53" s="79">
        <f>'Initial unit rates'!H241</f>
        <v>0</v>
      </c>
    </row>
    <row r="54" spans="6:10" x14ac:dyDescent="0.25">
      <c r="F54" s="6" t="s">
        <v>81</v>
      </c>
      <c r="H54" s="424" t="s">
        <v>82</v>
      </c>
      <c r="I54" s="6" t="s">
        <v>56</v>
      </c>
      <c r="J54" s="79">
        <f>'Service model charges'!H48</f>
        <v>0</v>
      </c>
    </row>
    <row r="55" spans="6:10" x14ac:dyDescent="0.25">
      <c r="F55" s="6" t="s">
        <v>83</v>
      </c>
      <c r="H55" s="424" t="s">
        <v>84</v>
      </c>
      <c r="I55" s="6" t="s">
        <v>56</v>
      </c>
      <c r="J55" s="79">
        <f>'Unit rate charges'!H223</f>
        <v>0</v>
      </c>
    </row>
    <row r="56" spans="6:10" x14ac:dyDescent="0.25">
      <c r="F56" s="6" t="s">
        <v>87</v>
      </c>
      <c r="H56" s="424" t="s">
        <v>86</v>
      </c>
      <c r="I56" s="6" t="s">
        <v>56</v>
      </c>
      <c r="J56" s="79">
        <f>'Capacity charges'!H295</f>
        <v>0</v>
      </c>
    </row>
    <row r="57" spans="6:10" x14ac:dyDescent="0.25">
      <c r="F57" s="6" t="s">
        <v>85</v>
      </c>
      <c r="H57" s="424" t="s">
        <v>88</v>
      </c>
      <c r="I57" s="6" t="s">
        <v>56</v>
      </c>
      <c r="J57" s="79">
        <f>'Reactive power charges'!H254</f>
        <v>0</v>
      </c>
    </row>
    <row r="58" spans="6:10" x14ac:dyDescent="0.25">
      <c r="F58" s="6" t="s">
        <v>89</v>
      </c>
      <c r="H58" s="424" t="s">
        <v>90</v>
      </c>
      <c r="I58" s="6" t="s">
        <v>56</v>
      </c>
      <c r="J58" s="79">
        <f>'Fixed charges'!H165</f>
        <v>0</v>
      </c>
    </row>
    <row r="59" spans="6:10" x14ac:dyDescent="0.25">
      <c r="F59" s="6" t="s">
        <v>1098</v>
      </c>
      <c r="H59" s="424" t="s">
        <v>92</v>
      </c>
      <c r="I59" s="6" t="s">
        <v>56</v>
      </c>
      <c r="J59" s="79">
        <f>'SoLR &amp; bad debt adders'!H66</f>
        <v>0</v>
      </c>
    </row>
    <row r="60" spans="6:10" x14ac:dyDescent="0.25">
      <c r="F60" s="6" t="s">
        <v>91</v>
      </c>
      <c r="H60" s="424" t="s">
        <v>94</v>
      </c>
      <c r="I60" s="6" t="s">
        <v>56</v>
      </c>
      <c r="J60" s="79">
        <f>'Revenue matching'!H432</f>
        <v>0</v>
      </c>
    </row>
    <row r="61" spans="6:10" x14ac:dyDescent="0.25">
      <c r="F61" s="6" t="s">
        <v>93</v>
      </c>
      <c r="H61" s="424" t="s">
        <v>96</v>
      </c>
      <c r="I61" s="6" t="s">
        <v>56</v>
      </c>
      <c r="J61" s="79">
        <f>Rounding!H178</f>
        <v>0</v>
      </c>
    </row>
    <row r="62" spans="6:10" x14ac:dyDescent="0.25">
      <c r="F62" s="6" t="s">
        <v>95</v>
      </c>
      <c r="H62" s="424" t="s">
        <v>838</v>
      </c>
      <c r="I62" s="6" t="s">
        <v>56</v>
      </c>
      <c r="J62" s="78">
        <f>'Net revenue summary'!$H$211</f>
        <v>0</v>
      </c>
    </row>
    <row r="63" spans="6:10" x14ac:dyDescent="0.25">
      <c r="F63" s="6" t="s">
        <v>97</v>
      </c>
      <c r="H63" s="424" t="s">
        <v>98</v>
      </c>
      <c r="I63" s="6" t="s">
        <v>56</v>
      </c>
      <c r="J63" s="79">
        <f>'Tariff summary'!$H$119</f>
        <v>0</v>
      </c>
    </row>
    <row r="64" spans="6:10" x14ac:dyDescent="0.25">
      <c r="F64" s="6" t="s">
        <v>99</v>
      </c>
      <c r="H64" s="424" t="s">
        <v>100</v>
      </c>
      <c r="I64" s="6" t="s">
        <v>56</v>
      </c>
      <c r="J64" s="78">
        <f>'Output to other models'!H84</f>
        <v>0</v>
      </c>
    </row>
    <row r="65" spans="2:12" x14ac:dyDescent="0.25">
      <c r="F65" s="80" t="s">
        <v>101</v>
      </c>
      <c r="G65" s="80"/>
      <c r="H65" s="80"/>
      <c r="I65" s="80" t="s">
        <v>56</v>
      </c>
      <c r="J65" s="81">
        <f>IFERROR(SUM(J41:J64), 1)</f>
        <v>0</v>
      </c>
    </row>
    <row r="67" spans="2:12" x14ac:dyDescent="0.25">
      <c r="B67" s="64" t="s">
        <v>102</v>
      </c>
      <c r="C67" s="64"/>
      <c r="D67" s="64"/>
      <c r="E67" s="64"/>
      <c r="F67" s="64"/>
      <c r="G67" s="65"/>
      <c r="H67" s="65"/>
      <c r="I67" s="65"/>
      <c r="J67" s="65"/>
      <c r="K67" s="65"/>
      <c r="L67" s="64"/>
    </row>
    <row r="69" spans="2:12" x14ac:dyDescent="0.25">
      <c r="F69" s="74" t="s">
        <v>103</v>
      </c>
    </row>
    <row r="70" spans="2:12" x14ac:dyDescent="0.25">
      <c r="F70" s="424" t="s">
        <v>104</v>
      </c>
    </row>
    <row r="71" spans="2:12" x14ac:dyDescent="0.25">
      <c r="F71" s="424" t="s">
        <v>105</v>
      </c>
    </row>
    <row r="72" spans="2:12" x14ac:dyDescent="0.25">
      <c r="F72" s="424" t="s">
        <v>45</v>
      </c>
    </row>
    <row r="73" spans="2:12" ht="30" x14ac:dyDescent="0.25">
      <c r="F73" s="425" t="s">
        <v>779</v>
      </c>
    </row>
    <row r="74" spans="2:12" x14ac:dyDescent="0.25">
      <c r="F74" s="424"/>
    </row>
    <row r="75" spans="2:12" x14ac:dyDescent="0.25">
      <c r="F75" s="424"/>
    </row>
    <row r="76" spans="2:12" x14ac:dyDescent="0.25">
      <c r="F76" s="424"/>
    </row>
    <row r="77" spans="2:12" x14ac:dyDescent="0.25">
      <c r="F77" s="424"/>
    </row>
    <row r="78" spans="2:12" x14ac:dyDescent="0.25">
      <c r="F78" s="424"/>
    </row>
    <row r="79" spans="2:12" x14ac:dyDescent="0.25">
      <c r="F79" s="424"/>
    </row>
    <row r="80" spans="2:12" x14ac:dyDescent="0.25">
      <c r="F80" s="424" t="s">
        <v>106</v>
      </c>
    </row>
    <row r="82" spans="2:12" x14ac:dyDescent="0.25">
      <c r="B82" s="64" t="s">
        <v>107</v>
      </c>
      <c r="C82" s="64"/>
      <c r="D82" s="64"/>
      <c r="E82" s="64"/>
      <c r="F82" s="64"/>
      <c r="G82" s="65"/>
      <c r="H82" s="65"/>
      <c r="I82" s="65"/>
      <c r="J82" s="65"/>
      <c r="K82" s="65"/>
      <c r="L82"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1:J65">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6">
      <formula1>0</formula1>
    </dataValidation>
    <dataValidation type="date" operator="greaterThan" allowBlank="1" showInputMessage="1" showErrorMessage="1" promptTitle="Model date" prompt="Input a date" sqref="F20:F28 F33:F36">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6">
      <formula1>$F$70:$F$80</formula1>
    </dataValidation>
    <dataValidation allowBlank="1" showErrorMessage="1" errorTitle="Author" error="Initials must be selected from the list specified below" promptTitle="Author" prompt="Select author initials from the list specified below" sqref="K29:K35"/>
    <dataValidation type="date" operator="greaterThanOrEqual" allowBlank="1" showInputMessage="1" showErrorMessage="1" promptTitle="Model date" prompt="Input a date" sqref="F29:F32">
      <formula1>1</formula1>
    </dataValidation>
  </dataValidations>
  <hyperlinks>
    <hyperlink ref="I70" location="'Cover'!A1" display="Cover"/>
    <hyperlink ref="I71" location="'Version control'!A1" display="Version control"/>
    <hyperlink ref="I80" location="'Model map'!A1" display="Model map"/>
    <hyperlink ref="I81"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H223 &amp; IF(H223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604</v>
      </c>
      <c r="D9"/>
    </row>
    <row r="10" spans="1:27" x14ac:dyDescent="0.25">
      <c r="C10" s="86" t="s">
        <v>605</v>
      </c>
      <c r="D10"/>
      <c r="E10"/>
    </row>
    <row r="11" spans="1:27" x14ac:dyDescent="0.25">
      <c r="C11" s="86" t="s">
        <v>606</v>
      </c>
      <c r="D11"/>
      <c r="E11"/>
    </row>
    <row r="12" spans="1:27" x14ac:dyDescent="0.25">
      <c r="C12" s="86" t="s">
        <v>607</v>
      </c>
    </row>
    <row r="13" spans="1:27" x14ac:dyDescent="0.25">
      <c r="C13" s="86" t="s">
        <v>608</v>
      </c>
      <c r="D13"/>
    </row>
    <row r="15" spans="1:27" x14ac:dyDescent="0.25">
      <c r="B15" s="85" t="s">
        <v>609</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25">
      <c r="C17" s="86" t="s">
        <v>610</v>
      </c>
    </row>
    <row r="19" spans="3:27" x14ac:dyDescent="0.25">
      <c r="C19" s="93" t="str">
        <f ca="1">INDEX('Version control'!$H$41:$H$64,MATCH($A$1,'Version control'!$F$41:$F$64,0),1)&amp;"-A: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25">
      <c r="C20" s="75"/>
      <c r="D20"/>
      <c r="E20" s="75"/>
    </row>
    <row r="21" spans="3:27" x14ac:dyDescent="0.25">
      <c r="D21"/>
      <c r="E21" s="75" t="s">
        <v>578</v>
      </c>
    </row>
    <row r="22" spans="3:27" x14ac:dyDescent="0.25">
      <c r="D22"/>
      <c r="F22" s="95" t="s">
        <v>189</v>
      </c>
      <c r="G22" s="95"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25">
      <c r="D23"/>
      <c r="F23" t="s">
        <v>191</v>
      </c>
      <c r="G23" t="s">
        <v>269</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25">
      <c r="D24"/>
      <c r="F24" t="s">
        <v>192</v>
      </c>
      <c r="G24" t="s">
        <v>269</v>
      </c>
      <c r="H24" s="268"/>
      <c r="I24" s="268"/>
      <c r="J24" s="279">
        <f>'Initial unit rates'!J154</f>
        <v>3.73452048891926</v>
      </c>
      <c r="K24" s="279">
        <f>'Initial unit rates'!K154</f>
        <v>3.73452048891926</v>
      </c>
      <c r="L24" s="279">
        <f>'Initial unit rates'!L154</f>
        <v>3.9724954677213793</v>
      </c>
      <c r="M24" s="279">
        <f>'Initial unit rates'!M154</f>
        <v>3.9724954677213793</v>
      </c>
      <c r="N24" s="279">
        <f>'Initial unit rates'!N154</f>
        <v>3.0209189546529194</v>
      </c>
      <c r="O24" s="279">
        <f>'Initial unit rates'!O154</f>
        <v>2.7899570111421332</v>
      </c>
      <c r="P24" s="279">
        <f>'Initial unit rates'!P154</f>
        <v>2.556705936482734</v>
      </c>
      <c r="Q24" s="279">
        <f>'Initial unit rates'!Q154</f>
        <v>8.3456390656286406</v>
      </c>
      <c r="R24" s="279">
        <f>'Initial unit rates'!R154</f>
        <v>-2.3802816301206953</v>
      </c>
      <c r="S24" s="279">
        <f>'Initial unit rates'!S154</f>
        <v>-2.3489031528874658</v>
      </c>
      <c r="T24" s="279">
        <f>'Initial unit rates'!T154</f>
        <v>-2.3802816301206953</v>
      </c>
      <c r="U24" s="279">
        <f>'Initial unit rates'!U154</f>
        <v>-2.3802816301206953</v>
      </c>
      <c r="V24" s="279">
        <f>'Initial unit rates'!V154</f>
        <v>-2.3489031528874658</v>
      </c>
      <c r="W24" s="279">
        <f>'Initial unit rates'!W154</f>
        <v>-2.3489031528874658</v>
      </c>
      <c r="X24" s="279">
        <f>'Initial unit rates'!X154</f>
        <v>-2.3175246756542367</v>
      </c>
      <c r="Y24" s="279">
        <f>'Initial unit rates'!Y154</f>
        <v>-2.3175246756542367</v>
      </c>
      <c r="Z24" s="268"/>
      <c r="AA24" s="268"/>
    </row>
    <row r="25" spans="3:27" x14ac:dyDescent="0.25">
      <c r="D25"/>
      <c r="F25" t="s">
        <v>193</v>
      </c>
      <c r="G25" t="s">
        <v>269</v>
      </c>
      <c r="H25" s="268"/>
      <c r="I25" s="268"/>
      <c r="J25" s="279">
        <f>'Initial unit rates'!J155</f>
        <v>0.5349382351118841</v>
      </c>
      <c r="K25" s="279">
        <f>'Initial unit rates'!K155</f>
        <v>0.5349382351118841</v>
      </c>
      <c r="L25" s="279">
        <f>'Initial unit rates'!L155</f>
        <v>0.56902612284443577</v>
      </c>
      <c r="M25" s="279">
        <f>'Initial unit rates'!M155</f>
        <v>0.56902612284443577</v>
      </c>
      <c r="N25" s="279">
        <f>'Initial unit rates'!N155</f>
        <v>0.43272089651481049</v>
      </c>
      <c r="O25" s="279">
        <f>'Initial unit rates'!O155</f>
        <v>0.3996375663238908</v>
      </c>
      <c r="P25" s="279">
        <f>'Initial unit rates'!P155</f>
        <v>0.36622633760350476</v>
      </c>
      <c r="Q25" s="279">
        <f>'Initial unit rates'!Q155</f>
        <v>1.1954416760852047</v>
      </c>
      <c r="R25" s="279">
        <f>'Initial unit rates'!R155</f>
        <v>-0.34095505917400581</v>
      </c>
      <c r="S25" s="279">
        <f>'Initial unit rates'!S155</f>
        <v>-0.33646035971220151</v>
      </c>
      <c r="T25" s="279">
        <f>'Initial unit rates'!T155</f>
        <v>-0.34095505917400581</v>
      </c>
      <c r="U25" s="279">
        <f>'Initial unit rates'!U155</f>
        <v>-0.34095505917400581</v>
      </c>
      <c r="V25" s="279">
        <f>'Initial unit rates'!V155</f>
        <v>-0.33646035971220151</v>
      </c>
      <c r="W25" s="279">
        <f>'Initial unit rates'!W155</f>
        <v>-0.33646035971220151</v>
      </c>
      <c r="X25" s="279">
        <f>'Initial unit rates'!X155</f>
        <v>-0.33196566025039737</v>
      </c>
      <c r="Y25" s="279">
        <f>'Initial unit rates'!Y155</f>
        <v>-0.33196566025039737</v>
      </c>
      <c r="Z25" s="268"/>
      <c r="AA25" s="268"/>
    </row>
    <row r="26" spans="3:27" x14ac:dyDescent="0.25">
      <c r="D26"/>
      <c r="F26" t="s">
        <v>194</v>
      </c>
      <c r="G26" t="s">
        <v>269</v>
      </c>
      <c r="H26" s="268"/>
      <c r="I26" s="268"/>
      <c r="J26" s="279">
        <f>'Initial unit rates'!J156</f>
        <v>1.156873405471248</v>
      </c>
      <c r="K26" s="279">
        <f>'Initial unit rates'!K156</f>
        <v>1.156873405471248</v>
      </c>
      <c r="L26" s="279">
        <f>'Initial unit rates'!L156</f>
        <v>1.2305928896622234</v>
      </c>
      <c r="M26" s="279">
        <f>'Initial unit rates'!M156</f>
        <v>1.2305928896622234</v>
      </c>
      <c r="N26" s="279">
        <f>'Initial unit rates'!N156</f>
        <v>0.93581513586322251</v>
      </c>
      <c r="O26" s="279">
        <f>'Initial unit rates'!O156</f>
        <v>0.86426813781718825</v>
      </c>
      <c r="P26" s="279">
        <f>'Initial unit rates'!P156</f>
        <v>0.79201201661723808</v>
      </c>
      <c r="Q26" s="279">
        <f>'Initial unit rates'!Q156</f>
        <v>2.5567564746531457</v>
      </c>
      <c r="R26" s="279">
        <f>'Initial unit rates'!R156</f>
        <v>-0.73735959505078963</v>
      </c>
      <c r="S26" s="279">
        <f>'Initial unit rates'!S156</f>
        <v>-0.72763922374126888</v>
      </c>
      <c r="T26" s="279">
        <f>'Initial unit rates'!T156</f>
        <v>-0.73735959505078963</v>
      </c>
      <c r="U26" s="279">
        <f>'Initial unit rates'!U156</f>
        <v>-0.73735959505078963</v>
      </c>
      <c r="V26" s="279">
        <f>'Initial unit rates'!V156</f>
        <v>-0.72763922374126888</v>
      </c>
      <c r="W26" s="279">
        <f>'Initial unit rates'!W156</f>
        <v>-0.72763922374126888</v>
      </c>
      <c r="X26" s="279">
        <f>'Initial unit rates'!X156</f>
        <v>-0.71791885243174802</v>
      </c>
      <c r="Y26" s="279">
        <f>'Initial unit rates'!Y156</f>
        <v>-0.71791885243174802</v>
      </c>
      <c r="Z26" s="268"/>
      <c r="AA26" s="268"/>
    </row>
    <row r="27" spans="3:27" x14ac:dyDescent="0.25">
      <c r="D27"/>
      <c r="F27" t="s">
        <v>195</v>
      </c>
      <c r="G27" t="s">
        <v>269</v>
      </c>
      <c r="H27" s="268"/>
      <c r="I27" s="268"/>
      <c r="J27" s="279">
        <f>'Initial unit rates'!J157</f>
        <v>0.91503961123206545</v>
      </c>
      <c r="K27" s="279">
        <f>'Initial unit rates'!K157</f>
        <v>0.91503961123206545</v>
      </c>
      <c r="L27" s="279">
        <f>'Initial unit rates'!L157</f>
        <v>0.97334871215470287</v>
      </c>
      <c r="M27" s="279">
        <f>'Initial unit rates'!M157</f>
        <v>0.97334871215470287</v>
      </c>
      <c r="N27" s="279">
        <f>'Initial unit rates'!N157</f>
        <v>0.74019154909741569</v>
      </c>
      <c r="O27" s="279">
        <f>'Initial unit rates'!O157</f>
        <v>0.68360079598022705</v>
      </c>
      <c r="P27" s="279">
        <f>'Initial unit rates'!P157</f>
        <v>0.62644915541242707</v>
      </c>
      <c r="Q27" s="279">
        <f>'Initial unit rates'!Q157</f>
        <v>2.022289940729237</v>
      </c>
      <c r="R27" s="279">
        <f>'Initial unit rates'!R157</f>
        <v>-0.58322132223159362</v>
      </c>
      <c r="S27" s="279">
        <f>'Initial unit rates'!S157</f>
        <v>-0.57553290555434089</v>
      </c>
      <c r="T27" s="279">
        <f>'Initial unit rates'!T157</f>
        <v>-0.58322132223159362</v>
      </c>
      <c r="U27" s="279">
        <f>'Initial unit rates'!U157</f>
        <v>-0.58322132223159362</v>
      </c>
      <c r="V27" s="279">
        <f>'Initial unit rates'!V157</f>
        <v>-0.57553290555434089</v>
      </c>
      <c r="W27" s="279">
        <f>'Initial unit rates'!W157</f>
        <v>-0.57553290555434089</v>
      </c>
      <c r="X27" s="279">
        <f>'Initial unit rates'!X157</f>
        <v>-0.56784448887708816</v>
      </c>
      <c r="Y27" s="279">
        <f>'Initial unit rates'!Y157</f>
        <v>-0.56784448887708816</v>
      </c>
      <c r="Z27" s="268"/>
      <c r="AA27" s="268"/>
    </row>
    <row r="28" spans="3:27" x14ac:dyDescent="0.25">
      <c r="D28"/>
      <c r="F28" t="s">
        <v>196</v>
      </c>
      <c r="G28" t="s">
        <v>269</v>
      </c>
      <c r="H28" s="268"/>
      <c r="I28" s="268"/>
      <c r="J28" s="279">
        <f>'Initial unit rates'!J158</f>
        <v>0</v>
      </c>
      <c r="K28" s="279">
        <f>'Initial unit rates'!K158</f>
        <v>0</v>
      </c>
      <c r="L28" s="279">
        <f>'Initial unit rates'!L158</f>
        <v>0</v>
      </c>
      <c r="M28" s="279">
        <f>'Initial unit rates'!M158</f>
        <v>0</v>
      </c>
      <c r="N28" s="279">
        <f>'Initial unit rates'!N158</f>
        <v>0</v>
      </c>
      <c r="O28" s="279">
        <f>'Initial unit rates'!O158</f>
        <v>0</v>
      </c>
      <c r="P28" s="279">
        <f>'Initial unit rates'!P158</f>
        <v>0</v>
      </c>
      <c r="Q28" s="279">
        <f>'Initial unit rates'!Q158</f>
        <v>0</v>
      </c>
      <c r="R28" s="279">
        <f>'Initial unit rates'!R158</f>
        <v>0</v>
      </c>
      <c r="S28" s="279">
        <f>'Initial unit rates'!S158</f>
        <v>0</v>
      </c>
      <c r="T28" s="279">
        <f>'Initial unit rates'!T158</f>
        <v>0</v>
      </c>
      <c r="U28" s="279">
        <f>'Initial unit rates'!U158</f>
        <v>0</v>
      </c>
      <c r="V28" s="279">
        <f>'Initial unit rates'!V158</f>
        <v>0</v>
      </c>
      <c r="W28" s="279">
        <f>'Initial unit rates'!W158</f>
        <v>0</v>
      </c>
      <c r="X28" s="279">
        <f>'Initial unit rates'!X158</f>
        <v>0</v>
      </c>
      <c r="Y28" s="279">
        <f>'Initial unit rates'!Y158</f>
        <v>0</v>
      </c>
      <c r="Z28" s="268"/>
      <c r="AA28" s="268"/>
    </row>
    <row r="29" spans="3:27" x14ac:dyDescent="0.25">
      <c r="D29"/>
      <c r="F29" t="s">
        <v>197</v>
      </c>
      <c r="G29" t="s">
        <v>269</v>
      </c>
      <c r="H29" s="268"/>
      <c r="I29" s="268"/>
      <c r="J29" s="279">
        <f>'Initial unit rates'!J159</f>
        <v>4.2137653890768751</v>
      </c>
      <c r="K29" s="279">
        <f>'Initial unit rates'!K159</f>
        <v>4.2137653890768751</v>
      </c>
      <c r="L29" s="279">
        <f>'Initial unit rates'!L159</f>
        <v>4.4822793072942231</v>
      </c>
      <c r="M29" s="279">
        <f>'Initial unit rates'!M159</f>
        <v>4.4822793072942231</v>
      </c>
      <c r="N29" s="279">
        <f>'Initial unit rates'!N159</f>
        <v>3.4085885382320034</v>
      </c>
      <c r="O29" s="279">
        <f>'Initial unit rates'!O159</f>
        <v>3.1479876266431308</v>
      </c>
      <c r="P29" s="279">
        <f>'Initial unit rates'!P159</f>
        <v>2.8848038234531277</v>
      </c>
      <c r="Q29" s="279">
        <f>'Initial unit rates'!Q159</f>
        <v>9.3126628118856765</v>
      </c>
      <c r="R29" s="279">
        <f>'Initial unit rates'!R159</f>
        <v>-2.6857392746988666</v>
      </c>
      <c r="S29" s="279">
        <f>'Initial unit rates'!S159</f>
        <v>-2.6503340488553788</v>
      </c>
      <c r="T29" s="279">
        <f>'Initial unit rates'!T159</f>
        <v>-2.6857392746988666</v>
      </c>
      <c r="U29" s="279">
        <f>'Initial unit rates'!U159</f>
        <v>-2.6857392746988666</v>
      </c>
      <c r="V29" s="279">
        <f>'Initial unit rates'!V159</f>
        <v>-2.6503340488553788</v>
      </c>
      <c r="W29" s="279">
        <f>'Initial unit rates'!W159</f>
        <v>-2.6503340488553788</v>
      </c>
      <c r="X29" s="279">
        <f>'Initial unit rates'!X159</f>
        <v>0</v>
      </c>
      <c r="Y29" s="279">
        <f>'Initial unit rates'!Y159</f>
        <v>0</v>
      </c>
      <c r="Z29" s="268"/>
      <c r="AA29" s="268"/>
    </row>
    <row r="30" spans="3:27" x14ac:dyDescent="0.25">
      <c r="D30"/>
      <c r="F30" t="s">
        <v>198</v>
      </c>
      <c r="G30" t="s">
        <v>269</v>
      </c>
      <c r="H30" s="268"/>
      <c r="I30" s="268"/>
      <c r="J30" s="279">
        <f>'Initial unit rates'!J160</f>
        <v>1.7288448192646617</v>
      </c>
      <c r="K30" s="279">
        <f>'Initial unit rates'!K160</f>
        <v>1.7288448192646617</v>
      </c>
      <c r="L30" s="279">
        <f>'Initial unit rates'!L160</f>
        <v>1.8390120577193432</v>
      </c>
      <c r="M30" s="279">
        <f>'Initial unit rates'!M160</f>
        <v>1.8390120577193432</v>
      </c>
      <c r="N30" s="279">
        <f>'Initial unit rates'!N160</f>
        <v>1.3984928184666419</v>
      </c>
      <c r="O30" s="279">
        <f>'Initial unit rates'!O160</f>
        <v>1.2915721680991634</v>
      </c>
      <c r="P30" s="279">
        <f>'Initial unit rates'!P160</f>
        <v>0</v>
      </c>
      <c r="Q30" s="279">
        <f>'Initial unit rates'!Q160</f>
        <v>3.8208460531815098</v>
      </c>
      <c r="R30" s="279">
        <f>'Initial unit rates'!R160</f>
        <v>-1.1019185935209304</v>
      </c>
      <c r="S30" s="279">
        <f>'Initial unit rates'!S160</f>
        <v>0</v>
      </c>
      <c r="T30" s="279">
        <f>'Initial unit rates'!T160</f>
        <v>-1.1019185935209304</v>
      </c>
      <c r="U30" s="279">
        <f>'Initial unit rates'!U160</f>
        <v>-1.1019185935209304</v>
      </c>
      <c r="V30" s="279">
        <f>'Initial unit rates'!V160</f>
        <v>0</v>
      </c>
      <c r="W30" s="279">
        <f>'Initial unit rates'!W160</f>
        <v>0</v>
      </c>
      <c r="X30" s="279">
        <f>'Initial unit rates'!X160</f>
        <v>0</v>
      </c>
      <c r="Y30" s="279">
        <f>'Initial unit rates'!Y160</f>
        <v>0</v>
      </c>
      <c r="Z30" s="268"/>
      <c r="AA30" s="268"/>
    </row>
    <row r="31" spans="3:27" x14ac:dyDescent="0.25">
      <c r="D31"/>
      <c r="F31" t="s">
        <v>199</v>
      </c>
      <c r="G31" t="s">
        <v>269</v>
      </c>
      <c r="H31" s="268"/>
      <c r="I31" s="268"/>
      <c r="J31" s="279">
        <f>'Initial unit rates'!J161</f>
        <v>4.2664519868705426</v>
      </c>
      <c r="K31" s="279">
        <f>'Initial unit rates'!K161</f>
        <v>4.2664519868705426</v>
      </c>
      <c r="L31" s="279">
        <f>'Initial unit rates'!L161</f>
        <v>4.5383232549887156</v>
      </c>
      <c r="M31" s="279">
        <f>'Initial unit rates'!M161</f>
        <v>4.5383232549887156</v>
      </c>
      <c r="N31" s="279">
        <f>'Initial unit rates'!N161</f>
        <v>3.451207648879091</v>
      </c>
      <c r="O31" s="279">
        <f>'Initial unit rates'!O161</f>
        <v>0</v>
      </c>
      <c r="P31" s="279">
        <f>'Initial unit rates'!P161</f>
        <v>0</v>
      </c>
      <c r="Q31" s="279">
        <f>'Initial unit rates'!Q161</f>
        <v>9.4291032101170913</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25">
      <c r="D32"/>
      <c r="F32" s="95" t="s">
        <v>334</v>
      </c>
      <c r="G32" s="95" t="s">
        <v>269</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25">
      <c r="D33"/>
      <c r="F33" s="96" t="s">
        <v>335</v>
      </c>
      <c r="G33" s="96" t="s">
        <v>269</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25">
      <c r="D34"/>
      <c r="J34" s="106"/>
      <c r="K34" s="106"/>
      <c r="L34" s="106"/>
      <c r="M34" s="106"/>
      <c r="N34" s="106"/>
      <c r="O34" s="106"/>
      <c r="P34" s="106"/>
      <c r="Q34" s="106"/>
      <c r="R34" s="106"/>
      <c r="S34" s="106"/>
      <c r="T34" s="106"/>
      <c r="U34" s="106"/>
      <c r="V34" s="106"/>
      <c r="W34" s="106"/>
      <c r="X34" s="106"/>
      <c r="Y34" s="106"/>
    </row>
    <row r="35" spans="4:27" x14ac:dyDescent="0.25">
      <c r="D35"/>
      <c r="E35" s="75" t="s">
        <v>579</v>
      </c>
      <c r="J35" s="106"/>
      <c r="K35" s="106"/>
      <c r="L35" s="106"/>
      <c r="M35" s="106"/>
      <c r="N35" s="106"/>
      <c r="O35" s="106"/>
      <c r="P35" s="106"/>
      <c r="Q35" s="106"/>
      <c r="R35" s="106"/>
      <c r="S35" s="106"/>
      <c r="T35" s="106"/>
      <c r="U35" s="106"/>
      <c r="V35" s="106"/>
      <c r="W35" s="106"/>
      <c r="X35" s="106"/>
      <c r="Y35" s="106"/>
    </row>
    <row r="36" spans="4:27" x14ac:dyDescent="0.25">
      <c r="D36"/>
      <c r="F36" s="95" t="s">
        <v>189</v>
      </c>
      <c r="G36" s="95" t="s">
        <v>269</v>
      </c>
      <c r="H36" s="266"/>
      <c r="I36" s="266"/>
      <c r="J36" s="278">
        <f>'Initial unit rates'!J164</f>
        <v>1.6550590728205479</v>
      </c>
      <c r="K36" s="278">
        <f>'Initial unit rates'!K164</f>
        <v>1.6550590728205479</v>
      </c>
      <c r="L36" s="278">
        <f>'Initial unit rates'!L164</f>
        <v>1.7605244595922527</v>
      </c>
      <c r="M36" s="278">
        <f>'Initial unit rates'!M164</f>
        <v>1.7605244595922527</v>
      </c>
      <c r="N36" s="278">
        <f>'Initial unit rates'!N164</f>
        <v>1.3388062373707263</v>
      </c>
      <c r="O36" s="278">
        <f>'Initial unit rates'!O164</f>
        <v>1.2364488768426509</v>
      </c>
      <c r="P36" s="278">
        <f>'Initial unit rates'!P164</f>
        <v>1.1330770226767364</v>
      </c>
      <c r="Q36" s="278">
        <f>'Initial unit rates'!Q164</f>
        <v>3.9285938653359938</v>
      </c>
      <c r="R36" s="278">
        <f>'Initial unit rates'!R164</f>
        <v>-1.0548895686844664</v>
      </c>
      <c r="S36" s="278">
        <f>'Initial unit rates'!S164</f>
        <v>-1.0409833031839177</v>
      </c>
      <c r="T36" s="278">
        <f>'Initial unit rates'!T164</f>
        <v>-1.0548895686844664</v>
      </c>
      <c r="U36" s="278">
        <f>'Initial unit rates'!U164</f>
        <v>-1.0548895686844664</v>
      </c>
      <c r="V36" s="278">
        <f>'Initial unit rates'!V164</f>
        <v>-1.0409833031839177</v>
      </c>
      <c r="W36" s="278">
        <f>'Initial unit rates'!W164</f>
        <v>-1.0409833031839177</v>
      </c>
      <c r="X36" s="278">
        <f>'Initial unit rates'!X164</f>
        <v>-1.0270770376833691</v>
      </c>
      <c r="Y36" s="278">
        <f>'Initial unit rates'!Y164</f>
        <v>-1.0270770376833691</v>
      </c>
      <c r="Z36" s="268"/>
      <c r="AA36" s="268"/>
    </row>
    <row r="37" spans="4:27" x14ac:dyDescent="0.25">
      <c r="D37"/>
      <c r="F37" t="s">
        <v>191</v>
      </c>
      <c r="G37" t="s">
        <v>269</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25">
      <c r="D38"/>
      <c r="F38" t="s">
        <v>192</v>
      </c>
      <c r="G38" t="s">
        <v>269</v>
      </c>
      <c r="H38" s="268"/>
      <c r="I38" s="268"/>
      <c r="J38" s="279">
        <f>'Initial unit rates'!J166</f>
        <v>2.6799956695062206</v>
      </c>
      <c r="K38" s="279">
        <f>'Initial unit rates'!K166</f>
        <v>2.6799956695062206</v>
      </c>
      <c r="L38" s="279">
        <f>'Initial unit rates'!L166</f>
        <v>2.8507731266209571</v>
      </c>
      <c r="M38" s="279">
        <f>'Initial unit rates'!M166</f>
        <v>2.8507731266209571</v>
      </c>
      <c r="N38" s="279">
        <f>'Initial unit rates'!N166</f>
        <v>2.1678953805236758</v>
      </c>
      <c r="O38" s="279">
        <f>'Initial unit rates'!O166</f>
        <v>2.0021506723968301</v>
      </c>
      <c r="P38" s="279">
        <f>'Initial unit rates'!P166</f>
        <v>1.8347632201523878</v>
      </c>
      <c r="Q38" s="279">
        <f>'Initial unit rates'!Q166</f>
        <v>5.9890624837940889</v>
      </c>
      <c r="R38" s="279">
        <f>'Initial unit rates'!R166</f>
        <v>-1.7081562358156304</v>
      </c>
      <c r="S38" s="279">
        <f>'Initial unit rates'!S166</f>
        <v>-1.6856381686768178</v>
      </c>
      <c r="T38" s="279">
        <f>'Initial unit rates'!T166</f>
        <v>-1.7081562358156304</v>
      </c>
      <c r="U38" s="279">
        <f>'Initial unit rates'!U166</f>
        <v>-1.7081562358156304</v>
      </c>
      <c r="V38" s="279">
        <f>'Initial unit rates'!V166</f>
        <v>-1.6856381686768178</v>
      </c>
      <c r="W38" s="279">
        <f>'Initial unit rates'!W166</f>
        <v>-1.6856381686768178</v>
      </c>
      <c r="X38" s="279">
        <f>'Initial unit rates'!X166</f>
        <v>-1.663120101538005</v>
      </c>
      <c r="Y38" s="279">
        <f>'Initial unit rates'!Y166</f>
        <v>-1.663120101538005</v>
      </c>
      <c r="Z38" s="268"/>
      <c r="AA38" s="268"/>
    </row>
    <row r="39" spans="4:27" x14ac:dyDescent="0.25">
      <c r="D39"/>
      <c r="F39" t="s">
        <v>193</v>
      </c>
      <c r="G39" t="s">
        <v>269</v>
      </c>
      <c r="H39" s="268"/>
      <c r="I39" s="268"/>
      <c r="J39" s="279">
        <f>'Initial unit rates'!J167</f>
        <v>0.38388654120573079</v>
      </c>
      <c r="K39" s="279">
        <f>'Initial unit rates'!K167</f>
        <v>0.38388654120573079</v>
      </c>
      <c r="L39" s="279">
        <f>'Initial unit rates'!L167</f>
        <v>0.40834895660200843</v>
      </c>
      <c r="M39" s="279">
        <f>'Initial unit rates'!M167</f>
        <v>0.40834895660200843</v>
      </c>
      <c r="N39" s="279">
        <f>'Initial unit rates'!N167</f>
        <v>0.31053253883744153</v>
      </c>
      <c r="O39" s="279">
        <f>'Initial unit rates'!O167</f>
        <v>0.28679102184547894</v>
      </c>
      <c r="P39" s="279">
        <f>'Initial unit rates'!P167</f>
        <v>0.2628141957578467</v>
      </c>
      <c r="Q39" s="279">
        <f>'Initial unit rates'!Q167</f>
        <v>0.85788216306794285</v>
      </c>
      <c r="R39" s="279">
        <f>'Initial unit rates'!R167</f>
        <v>-0.24467882417402578</v>
      </c>
      <c r="S39" s="279">
        <f>'Initial unit rates'!S167</f>
        <v>-0.2414533029513927</v>
      </c>
      <c r="T39" s="279">
        <f>'Initial unit rates'!T167</f>
        <v>-0.24467882417402578</v>
      </c>
      <c r="U39" s="279">
        <f>'Initial unit rates'!U167</f>
        <v>-0.24467882417402578</v>
      </c>
      <c r="V39" s="279">
        <f>'Initial unit rates'!V167</f>
        <v>-0.2414533029513927</v>
      </c>
      <c r="W39" s="279">
        <f>'Initial unit rates'!W167</f>
        <v>-0.2414533029513927</v>
      </c>
      <c r="X39" s="279">
        <f>'Initial unit rates'!X167</f>
        <v>-0.23822778172875961</v>
      </c>
      <c r="Y39" s="279">
        <f>'Initial unit rates'!Y167</f>
        <v>-0.23822778172875961</v>
      </c>
      <c r="Z39" s="268"/>
      <c r="AA39" s="268"/>
    </row>
    <row r="40" spans="4:27" x14ac:dyDescent="0.25">
      <c r="D40"/>
      <c r="F40" t="s">
        <v>194</v>
      </c>
      <c r="G40" t="s">
        <v>269</v>
      </c>
      <c r="H40" s="268"/>
      <c r="I40" s="268"/>
      <c r="J40" s="279">
        <f>'Initial unit rates'!J168</f>
        <v>0.83020450042492444</v>
      </c>
      <c r="K40" s="279">
        <f>'Initial unit rates'!K168</f>
        <v>0.83020450042492444</v>
      </c>
      <c r="L40" s="279">
        <f>'Initial unit rates'!L168</f>
        <v>0.8831076506355745</v>
      </c>
      <c r="M40" s="279">
        <f>'Initial unit rates'!M168</f>
        <v>0.8831076506355745</v>
      </c>
      <c r="N40" s="279">
        <f>'Initial unit rates'!N168</f>
        <v>0.67156694387225102</v>
      </c>
      <c r="O40" s="279">
        <f>'Initial unit rates'!O168</f>
        <v>0.62022283008348678</v>
      </c>
      <c r="P40" s="279">
        <f>'Initial unit rates'!P168</f>
        <v>0.56836982981591488</v>
      </c>
      <c r="Q40" s="279">
        <f>'Initial unit rates'!Q168</f>
        <v>1.8347994877477194</v>
      </c>
      <c r="R40" s="279">
        <f>'Initial unit rates'!R168</f>
        <v>-0.52914973353830763</v>
      </c>
      <c r="S40" s="279">
        <f>'Initial unit rates'!S168</f>
        <v>-0.52217412499825455</v>
      </c>
      <c r="T40" s="279">
        <f>'Initial unit rates'!T168</f>
        <v>-0.52914973353830763</v>
      </c>
      <c r="U40" s="279">
        <f>'Initial unit rates'!U168</f>
        <v>-0.52914973353830763</v>
      </c>
      <c r="V40" s="279">
        <f>'Initial unit rates'!V168</f>
        <v>-0.52217412499825455</v>
      </c>
      <c r="W40" s="279">
        <f>'Initial unit rates'!W168</f>
        <v>-0.52217412499825455</v>
      </c>
      <c r="X40" s="279">
        <f>'Initial unit rates'!X168</f>
        <v>-0.51519851645820147</v>
      </c>
      <c r="Y40" s="279">
        <f>'Initial unit rates'!Y168</f>
        <v>-0.51519851645820147</v>
      </c>
      <c r="Z40" s="268"/>
      <c r="AA40" s="268"/>
    </row>
    <row r="41" spans="4:27" x14ac:dyDescent="0.25">
      <c r="D41"/>
      <c r="F41" t="s">
        <v>195</v>
      </c>
      <c r="G41" t="s">
        <v>269</v>
      </c>
      <c r="H41" s="268"/>
      <c r="I41" s="268"/>
      <c r="J41" s="279">
        <f>'Initial unit rates'!J169</f>
        <v>0.65665785013225819</v>
      </c>
      <c r="K41" s="279">
        <f>'Initial unit rates'!K169</f>
        <v>0.65665785013225819</v>
      </c>
      <c r="L41" s="279">
        <f>'Initial unit rates'!L169</f>
        <v>0.69850208111964585</v>
      </c>
      <c r="M41" s="279">
        <f>'Initial unit rates'!M169</f>
        <v>0.69850208111964585</v>
      </c>
      <c r="N41" s="279">
        <f>'Initial unit rates'!N169</f>
        <v>0.53118202245028912</v>
      </c>
      <c r="O41" s="279">
        <f>'Initial unit rates'!O169</f>
        <v>0.49057092559376847</v>
      </c>
      <c r="P41" s="279">
        <f>'Initial unit rates'!P169</f>
        <v>0.44955732031797974</v>
      </c>
      <c r="Q41" s="279">
        <f>'Initial unit rates'!Q169</f>
        <v>1.4512514524210769</v>
      </c>
      <c r="R41" s="279">
        <f>'Initial unit rates'!R169</f>
        <v>-0.41853582610727386</v>
      </c>
      <c r="S41" s="279">
        <f>'Initial unit rates'!S169</f>
        <v>-0.41301840467083151</v>
      </c>
      <c r="T41" s="279">
        <f>'Initial unit rates'!T169</f>
        <v>-0.41853582610727386</v>
      </c>
      <c r="U41" s="279">
        <f>'Initial unit rates'!U169</f>
        <v>-0.41853582610727386</v>
      </c>
      <c r="V41" s="279">
        <f>'Initial unit rates'!V169</f>
        <v>-0.41301840467083151</v>
      </c>
      <c r="W41" s="279">
        <f>'Initial unit rates'!W169</f>
        <v>-0.41301840467083151</v>
      </c>
      <c r="X41" s="279">
        <f>'Initial unit rates'!X169</f>
        <v>-0.40750098323438905</v>
      </c>
      <c r="Y41" s="279">
        <f>'Initial unit rates'!Y169</f>
        <v>-0.40750098323438905</v>
      </c>
      <c r="Z41" s="268"/>
      <c r="AA41" s="268"/>
    </row>
    <row r="42" spans="4:27" x14ac:dyDescent="0.25">
      <c r="D42"/>
      <c r="F42" t="s">
        <v>196</v>
      </c>
      <c r="G42" t="s">
        <v>269</v>
      </c>
      <c r="H42" s="268"/>
      <c r="I42" s="268"/>
      <c r="J42" s="279">
        <f>'Initial unit rates'!J170</f>
        <v>0</v>
      </c>
      <c r="K42" s="279">
        <f>'Initial unit rates'!K170</f>
        <v>0</v>
      </c>
      <c r="L42" s="279">
        <f>'Initial unit rates'!L170</f>
        <v>0</v>
      </c>
      <c r="M42" s="279">
        <f>'Initial unit rates'!M170</f>
        <v>0</v>
      </c>
      <c r="N42" s="279">
        <f>'Initial unit rates'!N170</f>
        <v>0</v>
      </c>
      <c r="O42" s="279">
        <f>'Initial unit rates'!O170</f>
        <v>0</v>
      </c>
      <c r="P42" s="279">
        <f>'Initial unit rates'!P170</f>
        <v>0</v>
      </c>
      <c r="Q42" s="279">
        <f>'Initial unit rates'!Q170</f>
        <v>0</v>
      </c>
      <c r="R42" s="279">
        <f>'Initial unit rates'!R170</f>
        <v>0</v>
      </c>
      <c r="S42" s="279">
        <f>'Initial unit rates'!S170</f>
        <v>0</v>
      </c>
      <c r="T42" s="279">
        <f>'Initial unit rates'!T170</f>
        <v>0</v>
      </c>
      <c r="U42" s="279">
        <f>'Initial unit rates'!U170</f>
        <v>0</v>
      </c>
      <c r="V42" s="279">
        <f>'Initial unit rates'!V170</f>
        <v>0</v>
      </c>
      <c r="W42" s="279">
        <f>'Initial unit rates'!W170</f>
        <v>0</v>
      </c>
      <c r="X42" s="279">
        <f>'Initial unit rates'!X170</f>
        <v>0</v>
      </c>
      <c r="Y42" s="279">
        <f>'Initial unit rates'!Y170</f>
        <v>0</v>
      </c>
      <c r="Z42" s="268"/>
      <c r="AA42" s="268"/>
    </row>
    <row r="43" spans="4:27" x14ac:dyDescent="0.25">
      <c r="D43"/>
      <c r="F43" t="s">
        <v>197</v>
      </c>
      <c r="G43" t="s">
        <v>269</v>
      </c>
      <c r="H43" s="268"/>
      <c r="I43" s="268"/>
      <c r="J43" s="279">
        <f>'Initial unit rates'!J171</f>
        <v>3.0239151260646278</v>
      </c>
      <c r="K43" s="279">
        <f>'Initial unit rates'!K171</f>
        <v>3.0239151260646278</v>
      </c>
      <c r="L43" s="279">
        <f>'Initial unit rates'!L171</f>
        <v>3.2166081746527455</v>
      </c>
      <c r="M43" s="279">
        <f>'Initial unit rates'!M171</f>
        <v>3.2166081746527455</v>
      </c>
      <c r="N43" s="279">
        <f>'Initial unit rates'!N171</f>
        <v>2.4460978454114479</v>
      </c>
      <c r="O43" s="279">
        <f>'Initial unit rates'!O171</f>
        <v>2.2590833902491827</v>
      </c>
      <c r="P43" s="279">
        <f>'Initial unit rates'!P171</f>
        <v>2.0702153803062235</v>
      </c>
      <c r="Q43" s="279">
        <f>'Initial unit rates'!Q171</f>
        <v>6.6830255936413003</v>
      </c>
      <c r="R43" s="279">
        <f>'Initial unit rates'!R171</f>
        <v>-1.9273611289514487</v>
      </c>
      <c r="S43" s="279">
        <f>'Initial unit rates'!S171</f>
        <v>-1.9019533551234638</v>
      </c>
      <c r="T43" s="279">
        <f>'Initial unit rates'!T171</f>
        <v>-1.9273611289514487</v>
      </c>
      <c r="U43" s="279">
        <f>'Initial unit rates'!U171</f>
        <v>-1.9273611289514487</v>
      </c>
      <c r="V43" s="279">
        <f>'Initial unit rates'!V171</f>
        <v>-1.9019533551234638</v>
      </c>
      <c r="W43" s="279">
        <f>'Initial unit rates'!W171</f>
        <v>-1.9019533551234638</v>
      </c>
      <c r="X43" s="279">
        <f>'Initial unit rates'!X171</f>
        <v>0</v>
      </c>
      <c r="Y43" s="279">
        <f>'Initial unit rates'!Y171</f>
        <v>0</v>
      </c>
      <c r="Z43" s="268"/>
      <c r="AA43" s="268"/>
    </row>
    <row r="44" spans="4:27" x14ac:dyDescent="0.25">
      <c r="D44"/>
      <c r="F44" t="s">
        <v>198</v>
      </c>
      <c r="G44" t="s">
        <v>269</v>
      </c>
      <c r="H44" s="268"/>
      <c r="I44" s="268"/>
      <c r="J44" s="279">
        <f>'Initial unit rates'!J172</f>
        <v>1.2406670796491988</v>
      </c>
      <c r="K44" s="279">
        <f>'Initial unit rates'!K172</f>
        <v>1.2406670796491988</v>
      </c>
      <c r="L44" s="279">
        <f>'Initial unit rates'!L172</f>
        <v>1.3197261510496741</v>
      </c>
      <c r="M44" s="279">
        <f>'Initial unit rates'!M172</f>
        <v>1.3197261510496741</v>
      </c>
      <c r="N44" s="279">
        <f>'Initial unit rates'!N172</f>
        <v>1.0035973047802922</v>
      </c>
      <c r="O44" s="279">
        <f>'Initial unit rates'!O172</f>
        <v>0.92686807520025716</v>
      </c>
      <c r="P44" s="279">
        <f>'Initial unit rates'!P172</f>
        <v>0</v>
      </c>
      <c r="Q44" s="279">
        <f>'Initial unit rates'!Q172</f>
        <v>2.7419452930460979</v>
      </c>
      <c r="R44" s="279">
        <f>'Initial unit rates'!R172</f>
        <v>-0.79076740040569204</v>
      </c>
      <c r="S44" s="279">
        <f>'Initial unit rates'!S172</f>
        <v>0</v>
      </c>
      <c r="T44" s="279">
        <f>'Initial unit rates'!T172</f>
        <v>-0.79076740040569204</v>
      </c>
      <c r="U44" s="279">
        <f>'Initial unit rates'!U172</f>
        <v>-0.79076740040569204</v>
      </c>
      <c r="V44" s="279">
        <f>'Initial unit rates'!V172</f>
        <v>0</v>
      </c>
      <c r="W44" s="279">
        <f>'Initial unit rates'!W172</f>
        <v>0</v>
      </c>
      <c r="X44" s="279">
        <f>'Initial unit rates'!X172</f>
        <v>0</v>
      </c>
      <c r="Y44" s="279">
        <f>'Initial unit rates'!Y172</f>
        <v>0</v>
      </c>
      <c r="Z44" s="268"/>
      <c r="AA44" s="268"/>
    </row>
    <row r="45" spans="4:27" x14ac:dyDescent="0.25">
      <c r="D45"/>
      <c r="F45" t="s">
        <v>199</v>
      </c>
      <c r="G45" t="s">
        <v>269</v>
      </c>
      <c r="H45" s="268"/>
      <c r="I45" s="268"/>
      <c r="J45" s="279">
        <f>'Initial unit rates'!J173</f>
        <v>3.0617244925808915</v>
      </c>
      <c r="K45" s="279">
        <f>'Initial unit rates'!K173</f>
        <v>3.0617244925808915</v>
      </c>
      <c r="L45" s="279">
        <f>'Initial unit rates'!L173</f>
        <v>3.2568268687445103</v>
      </c>
      <c r="M45" s="279">
        <f>'Initial unit rates'!M173</f>
        <v>3.2568268687445103</v>
      </c>
      <c r="N45" s="279">
        <f>'Initial unit rates'!N173</f>
        <v>2.476682503418091</v>
      </c>
      <c r="O45" s="279">
        <f>'Initial unit rates'!O173</f>
        <v>0</v>
      </c>
      <c r="P45" s="279">
        <f>'Initial unit rates'!P173</f>
        <v>0</v>
      </c>
      <c r="Q45" s="279">
        <f>'Initial unit rates'!Q173</f>
        <v>6.7665864588023519</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25">
      <c r="D46"/>
      <c r="F46" s="95" t="s">
        <v>334</v>
      </c>
      <c r="G46" s="95" t="s">
        <v>269</v>
      </c>
      <c r="H46" s="266"/>
      <c r="I46" s="266" t="s">
        <v>154</v>
      </c>
      <c r="J46" s="280"/>
      <c r="K46" s="280"/>
      <c r="L46" s="280"/>
      <c r="M46" s="280"/>
      <c r="N46" s="280"/>
      <c r="O46" s="280"/>
      <c r="P46" s="280"/>
      <c r="Q46" s="278">
        <f>'Service model charges'!$Q$44</f>
        <v>1.221008124060708</v>
      </c>
      <c r="R46" s="280"/>
      <c r="S46" s="280"/>
      <c r="T46" s="280"/>
      <c r="U46" s="280"/>
      <c r="V46" s="280"/>
      <c r="W46" s="280"/>
      <c r="X46" s="280"/>
      <c r="Y46" s="280"/>
      <c r="Z46" s="268"/>
      <c r="AA46" s="268" t="s">
        <v>611</v>
      </c>
    </row>
    <row r="47" spans="4:27" x14ac:dyDescent="0.25">
      <c r="D47"/>
      <c r="F47" s="96" t="s">
        <v>335</v>
      </c>
      <c r="G47" s="96" t="s">
        <v>269</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25">
      <c r="J48" s="106"/>
      <c r="K48" s="106"/>
      <c r="L48" s="106"/>
      <c r="M48" s="106"/>
      <c r="N48" s="106"/>
      <c r="O48" s="106"/>
      <c r="P48" s="106"/>
      <c r="Q48" s="106"/>
      <c r="R48" s="106"/>
      <c r="S48" s="106"/>
      <c r="T48" s="106"/>
      <c r="U48" s="106"/>
      <c r="V48" s="106"/>
      <c r="W48" s="106"/>
      <c r="X48" s="106"/>
      <c r="Y48" s="106"/>
    </row>
    <row r="49" spans="3:27" x14ac:dyDescent="0.25">
      <c r="C49" s="93" t="str">
        <f ca="1">INDEX('Version control'!$H$41:$H$64,MATCH($A$1,'Version control'!$F$41:$F$64,0),1)&amp;"-B: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25">
      <c r="C50" s="75"/>
      <c r="D50"/>
      <c r="E50" s="75"/>
      <c r="J50" s="106"/>
      <c r="K50" s="106"/>
      <c r="L50" s="106"/>
      <c r="M50" s="106"/>
      <c r="N50" s="106"/>
      <c r="O50" s="106"/>
      <c r="P50" s="106"/>
      <c r="Q50" s="106"/>
      <c r="R50" s="106"/>
      <c r="S50" s="106"/>
      <c r="T50" s="106"/>
      <c r="U50" s="106"/>
      <c r="V50" s="106"/>
      <c r="W50" s="106"/>
      <c r="X50" s="106"/>
      <c r="Y50" s="106"/>
    </row>
    <row r="51" spans="3:27" x14ac:dyDescent="0.25">
      <c r="D51"/>
      <c r="E51" s="75" t="s">
        <v>578</v>
      </c>
      <c r="J51" s="106"/>
      <c r="K51" s="106"/>
      <c r="L51" s="106"/>
      <c r="M51" s="106"/>
      <c r="N51" s="106"/>
      <c r="O51" s="106"/>
      <c r="P51" s="106"/>
      <c r="Q51" s="106"/>
      <c r="R51" s="106"/>
      <c r="S51" s="106"/>
      <c r="T51" s="106"/>
      <c r="U51" s="106"/>
      <c r="V51" s="106"/>
      <c r="W51" s="106"/>
      <c r="X51" s="106"/>
      <c r="Y51" s="106"/>
    </row>
    <row r="52" spans="3:27" x14ac:dyDescent="0.25">
      <c r="D52"/>
      <c r="F52" s="95" t="s">
        <v>189</v>
      </c>
      <c r="G52" s="95"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25">
      <c r="D53"/>
      <c r="F53" t="s">
        <v>191</v>
      </c>
      <c r="G53" t="s">
        <v>269</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25">
      <c r="D54"/>
      <c r="F54" t="s">
        <v>192</v>
      </c>
      <c r="G54" t="s">
        <v>269</v>
      </c>
      <c r="H54" s="268"/>
      <c r="I54" s="268"/>
      <c r="J54" s="279">
        <f>'Initial unit rates'!J183</f>
        <v>0.13345372558973559</v>
      </c>
      <c r="K54" s="279">
        <f>'Initial unit rates'!K183</f>
        <v>0.13345372558973559</v>
      </c>
      <c r="L54" s="279">
        <f>'Initial unit rates'!L183</f>
        <v>0.14195780197986724</v>
      </c>
      <c r="M54" s="279">
        <f>'Initial unit rates'!M183</f>
        <v>0.14195780197986724</v>
      </c>
      <c r="N54" s="279">
        <f>'Initial unit rates'!N183</f>
        <v>0.10795305324988345</v>
      </c>
      <c r="O54" s="279">
        <f>'Initial unit rates'!O183</f>
        <v>9.9699588870074851E-2</v>
      </c>
      <c r="P54" s="279">
        <f>'Initial unit rates'!P183</f>
        <v>9.1364321998874828E-2</v>
      </c>
      <c r="Q54" s="279">
        <f>'Initial unit rates'!Q183</f>
        <v>0.14346617079691032</v>
      </c>
      <c r="R54" s="279">
        <f>'Initial unit rates'!R183</f>
        <v>-8.5059769369304844E-2</v>
      </c>
      <c r="S54" s="279">
        <f>'Initial unit rates'!S183</f>
        <v>-8.3938454142214194E-2</v>
      </c>
      <c r="T54" s="279">
        <f>'Initial unit rates'!T183</f>
        <v>-8.5059769369304844E-2</v>
      </c>
      <c r="U54" s="279">
        <f>'Initial unit rates'!U183</f>
        <v>-8.5059769369304844E-2</v>
      </c>
      <c r="V54" s="279">
        <f>'Initial unit rates'!V183</f>
        <v>-8.3938454142214194E-2</v>
      </c>
      <c r="W54" s="279">
        <f>'Initial unit rates'!W183</f>
        <v>-8.3938454142214194E-2</v>
      </c>
      <c r="X54" s="279">
        <f>'Initial unit rates'!X183</f>
        <v>-8.2817138915123545E-2</v>
      </c>
      <c r="Y54" s="279">
        <f>'Initial unit rates'!Y183</f>
        <v>-8.2817138915123545E-2</v>
      </c>
      <c r="Z54" s="268"/>
      <c r="AA54" s="268"/>
    </row>
    <row r="55" spans="3:27" x14ac:dyDescent="0.25">
      <c r="D55"/>
      <c r="F55" t="s">
        <v>193</v>
      </c>
      <c r="G55" t="s">
        <v>269</v>
      </c>
      <c r="H55" s="268"/>
      <c r="I55" s="268"/>
      <c r="J55" s="279">
        <f>'Initial unit rates'!J184</f>
        <v>1.9116108921586984E-2</v>
      </c>
      <c r="K55" s="279">
        <f>'Initial unit rates'!K184</f>
        <v>1.9116108921586984E-2</v>
      </c>
      <c r="L55" s="279">
        <f>'Initial unit rates'!L184</f>
        <v>2.0334245394232269E-2</v>
      </c>
      <c r="M55" s="279">
        <f>'Initial unit rates'!M184</f>
        <v>2.0334245394232269E-2</v>
      </c>
      <c r="N55" s="279">
        <f>'Initial unit rates'!N184</f>
        <v>1.5463354921141098E-2</v>
      </c>
      <c r="O55" s="279">
        <f>'Initial unit rates'!O184</f>
        <v>1.4281116483303175E-2</v>
      </c>
      <c r="P55" s="279">
        <f>'Initial unit rates'!P184</f>
        <v>1.3087160535679859E-2</v>
      </c>
      <c r="Q55" s="279">
        <f>'Initial unit rates'!Q184</f>
        <v>2.055030637322032E-2</v>
      </c>
      <c r="R55" s="279">
        <f>'Initial unit rates'!R184</f>
        <v>-1.2184087097780969E-2</v>
      </c>
      <c r="S55" s="279">
        <f>'Initial unit rates'!S184</f>
        <v>-1.2023468247151088E-2</v>
      </c>
      <c r="T55" s="279">
        <f>'Initial unit rates'!T184</f>
        <v>-1.2184087097780969E-2</v>
      </c>
      <c r="U55" s="279">
        <f>'Initial unit rates'!U184</f>
        <v>-1.2184087097780969E-2</v>
      </c>
      <c r="V55" s="279">
        <f>'Initial unit rates'!V184</f>
        <v>-1.2023468247151088E-2</v>
      </c>
      <c r="W55" s="279">
        <f>'Initial unit rates'!W184</f>
        <v>-1.2023468247151088E-2</v>
      </c>
      <c r="X55" s="279">
        <f>'Initial unit rates'!X184</f>
        <v>-1.1862849396521208E-2</v>
      </c>
      <c r="Y55" s="279">
        <f>'Initial unit rates'!Y184</f>
        <v>-1.1862849396521208E-2</v>
      </c>
      <c r="Z55" s="268"/>
      <c r="AA55" s="268"/>
    </row>
    <row r="56" spans="3:27" x14ac:dyDescent="0.25">
      <c r="D56"/>
      <c r="F56" t="s">
        <v>194</v>
      </c>
      <c r="G56" t="s">
        <v>269</v>
      </c>
      <c r="H56" s="268"/>
      <c r="I56" s="268"/>
      <c r="J56" s="279">
        <f>'Initial unit rates'!J185</f>
        <v>0.13044449642677292</v>
      </c>
      <c r="K56" s="279">
        <f>'Initial unit rates'!K185</f>
        <v>0.13044449642677292</v>
      </c>
      <c r="L56" s="279">
        <f>'Initial unit rates'!L185</f>
        <v>0.1387568156024532</v>
      </c>
      <c r="M56" s="279">
        <f>'Initial unit rates'!M185</f>
        <v>0.1387568156024532</v>
      </c>
      <c r="N56" s="279">
        <f>'Initial unit rates'!N185</f>
        <v>0.10551883513693933</v>
      </c>
      <c r="O56" s="279">
        <f>'Initial unit rates'!O185</f>
        <v>9.7451476956844807E-2</v>
      </c>
      <c r="P56" s="279">
        <f>'Initial unit rates'!P185</f>
        <v>8.9304160838155081E-2</v>
      </c>
      <c r="Q56" s="279">
        <f>'Initial unit rates'!Q185</f>
        <v>0.10562842500374749</v>
      </c>
      <c r="R56" s="279">
        <f>'Initial unit rates'!R185</f>
        <v>-8.3141768673184319E-2</v>
      </c>
      <c r="S56" s="279">
        <f>'Initial unit rates'!S185</f>
        <v>-8.2045737824385276E-2</v>
      </c>
      <c r="T56" s="279">
        <f>'Initial unit rates'!T185</f>
        <v>-8.3141768673184319E-2</v>
      </c>
      <c r="U56" s="279">
        <f>'Initial unit rates'!U185</f>
        <v>-8.3141768673184319E-2</v>
      </c>
      <c r="V56" s="279">
        <f>'Initial unit rates'!V185</f>
        <v>-8.2045737824385276E-2</v>
      </c>
      <c r="W56" s="279">
        <f>'Initial unit rates'!W185</f>
        <v>-8.2045737824385276E-2</v>
      </c>
      <c r="X56" s="279">
        <f>'Initial unit rates'!X185</f>
        <v>-8.0949706975586247E-2</v>
      </c>
      <c r="Y56" s="279">
        <f>'Initial unit rates'!Y185</f>
        <v>-8.0949706975586247E-2</v>
      </c>
      <c r="Z56" s="268"/>
      <c r="AA56" s="268"/>
    </row>
    <row r="57" spans="3:27" x14ac:dyDescent="0.25">
      <c r="D57"/>
      <c r="F57" t="s">
        <v>195</v>
      </c>
      <c r="G57" t="s">
        <v>269</v>
      </c>
      <c r="H57" s="268"/>
      <c r="I57" s="268"/>
      <c r="J57" s="279">
        <f>'Initial unit rates'!J186</f>
        <v>0.10317626866795788</v>
      </c>
      <c r="K57" s="279">
        <f>'Initial unit rates'!K186</f>
        <v>0.10317626866795788</v>
      </c>
      <c r="L57" s="279">
        <f>'Initial unit rates'!L186</f>
        <v>0.10975097361923387</v>
      </c>
      <c r="M57" s="279">
        <f>'Initial unit rates'!M186</f>
        <v>0.10975097361923387</v>
      </c>
      <c r="N57" s="279">
        <f>'Initial unit rates'!N186</f>
        <v>8.3461088676366008E-2</v>
      </c>
      <c r="O57" s="279">
        <f>'Initial unit rates'!O186</f>
        <v>7.7080137867166193E-2</v>
      </c>
      <c r="P57" s="279">
        <f>'Initial unit rates'!P186</f>
        <v>7.0635943594419673E-2</v>
      </c>
      <c r="Q57" s="279">
        <f>'Initial unit rates'!Q186</f>
        <v>8.3547769784813028E-2</v>
      </c>
      <c r="R57" s="279">
        <f>'Initial unit rates'!R186</f>
        <v>-6.5761743094843478E-2</v>
      </c>
      <c r="S57" s="279">
        <f>'Initial unit rates'!S186</f>
        <v>-6.4894827460824825E-2</v>
      </c>
      <c r="T57" s="279">
        <f>'Initial unit rates'!T186</f>
        <v>-6.5761743094843478E-2</v>
      </c>
      <c r="U57" s="279">
        <f>'Initial unit rates'!U186</f>
        <v>-6.5761743094843478E-2</v>
      </c>
      <c r="V57" s="279">
        <f>'Initial unit rates'!V186</f>
        <v>-6.4894827460824825E-2</v>
      </c>
      <c r="W57" s="279">
        <f>'Initial unit rates'!W186</f>
        <v>-6.4894827460824825E-2</v>
      </c>
      <c r="X57" s="279">
        <f>'Initial unit rates'!X186</f>
        <v>-6.4027911826806158E-2</v>
      </c>
      <c r="Y57" s="279">
        <f>'Initial unit rates'!Y186</f>
        <v>-6.4027911826806158E-2</v>
      </c>
      <c r="Z57" s="268"/>
      <c r="AA57" s="268"/>
    </row>
    <row r="58" spans="3:27" x14ac:dyDescent="0.25">
      <c r="D58"/>
      <c r="F58" t="s">
        <v>196</v>
      </c>
      <c r="G58" t="s">
        <v>269</v>
      </c>
      <c r="H58" s="268"/>
      <c r="I58" s="268"/>
      <c r="J58" s="279">
        <f>'Initial unit rates'!J187</f>
        <v>0</v>
      </c>
      <c r="K58" s="279">
        <f>'Initial unit rates'!K187</f>
        <v>0</v>
      </c>
      <c r="L58" s="279">
        <f>'Initial unit rates'!L187</f>
        <v>0</v>
      </c>
      <c r="M58" s="279">
        <f>'Initial unit rates'!M187</f>
        <v>0</v>
      </c>
      <c r="N58" s="279">
        <f>'Initial unit rates'!N187</f>
        <v>0</v>
      </c>
      <c r="O58" s="279">
        <f>'Initial unit rates'!O187</f>
        <v>0</v>
      </c>
      <c r="P58" s="279">
        <f>'Initial unit rates'!P187</f>
        <v>0</v>
      </c>
      <c r="Q58" s="279">
        <f>'Initial unit rates'!Q187</f>
        <v>0</v>
      </c>
      <c r="R58" s="279">
        <f>'Initial unit rates'!R187</f>
        <v>0</v>
      </c>
      <c r="S58" s="279">
        <f>'Initial unit rates'!S187</f>
        <v>0</v>
      </c>
      <c r="T58" s="279">
        <f>'Initial unit rates'!T187</f>
        <v>0</v>
      </c>
      <c r="U58" s="279">
        <f>'Initial unit rates'!U187</f>
        <v>0</v>
      </c>
      <c r="V58" s="279">
        <f>'Initial unit rates'!V187</f>
        <v>0</v>
      </c>
      <c r="W58" s="279">
        <f>'Initial unit rates'!W187</f>
        <v>0</v>
      </c>
      <c r="X58" s="279">
        <f>'Initial unit rates'!X187</f>
        <v>0</v>
      </c>
      <c r="Y58" s="279">
        <f>'Initial unit rates'!Y187</f>
        <v>0</v>
      </c>
      <c r="Z58" s="268"/>
      <c r="AA58" s="268"/>
    </row>
    <row r="59" spans="3:27" x14ac:dyDescent="0.25">
      <c r="D59"/>
      <c r="F59" t="s">
        <v>197</v>
      </c>
      <c r="G59" t="s">
        <v>269</v>
      </c>
      <c r="H59" s="268"/>
      <c r="I59" s="268"/>
      <c r="J59" s="279">
        <f>'Initial unit rates'!J188</f>
        <v>0.47512761693643996</v>
      </c>
      <c r="K59" s="279">
        <f>'Initial unit rates'!K188</f>
        <v>0.47512761693643996</v>
      </c>
      <c r="L59" s="279">
        <f>'Initial unit rates'!L188</f>
        <v>0.5054041905699862</v>
      </c>
      <c r="M59" s="279">
        <f>'Initial unit rates'!M188</f>
        <v>0.5054041905699862</v>
      </c>
      <c r="N59" s="279">
        <f>'Initial unit rates'!N188</f>
        <v>0.38433904115431256</v>
      </c>
      <c r="O59" s="279">
        <f>'Initial unit rates'!O188</f>
        <v>0.3549547070346073</v>
      </c>
      <c r="P59" s="279">
        <f>'Initial unit rates'!P188</f>
        <v>0.32527913621377208</v>
      </c>
      <c r="Q59" s="279">
        <f>'Initial unit rates'!Q188</f>
        <v>0.38473820841459005</v>
      </c>
      <c r="R59" s="279">
        <f>'Initial unit rates'!R188</f>
        <v>-0.30283340040908835</v>
      </c>
      <c r="S59" s="279">
        <f>'Initial unit rates'!S188</f>
        <v>-0.29884124635473125</v>
      </c>
      <c r="T59" s="279">
        <f>'Initial unit rates'!T188</f>
        <v>-0.30283340040908835</v>
      </c>
      <c r="U59" s="279">
        <f>'Initial unit rates'!U188</f>
        <v>-0.30283340040908835</v>
      </c>
      <c r="V59" s="279">
        <f>'Initial unit rates'!V188</f>
        <v>-0.29884124635473125</v>
      </c>
      <c r="W59" s="279">
        <f>'Initial unit rates'!W188</f>
        <v>-0.29884124635473125</v>
      </c>
      <c r="X59" s="279">
        <f>'Initial unit rates'!X188</f>
        <v>0</v>
      </c>
      <c r="Y59" s="279">
        <f>'Initial unit rates'!Y188</f>
        <v>0</v>
      </c>
      <c r="Z59" s="268"/>
      <c r="AA59" s="268"/>
    </row>
    <row r="60" spans="3:27" x14ac:dyDescent="0.25">
      <c r="D60"/>
      <c r="F60" t="s">
        <v>198</v>
      </c>
      <c r="G60" t="s">
        <v>269</v>
      </c>
      <c r="H60" s="268"/>
      <c r="I60" s="268"/>
      <c r="J60" s="279">
        <f>'Initial unit rates'!J189</f>
        <v>0.19493774408026091</v>
      </c>
      <c r="K60" s="279">
        <f>'Initial unit rates'!K189</f>
        <v>0.19493774408026091</v>
      </c>
      <c r="L60" s="279">
        <f>'Initial unit rates'!L189</f>
        <v>0.20735976871578732</v>
      </c>
      <c r="M60" s="279">
        <f>'Initial unit rates'!M189</f>
        <v>0.20735976871578732</v>
      </c>
      <c r="N60" s="279">
        <f>'Initial unit rates'!N189</f>
        <v>0.15768855139947577</v>
      </c>
      <c r="O60" s="279">
        <f>'Initial unit rates'!O189</f>
        <v>0.14563259927122416</v>
      </c>
      <c r="P60" s="279">
        <f>'Initial unit rates'!P189</f>
        <v>0</v>
      </c>
      <c r="Q60" s="279">
        <f>'Initial unit rates'!Q189</f>
        <v>0.15785232374706296</v>
      </c>
      <c r="R60" s="279">
        <f>'Initial unit rates'!R189</f>
        <v>-0.12424800791110245</v>
      </c>
      <c r="S60" s="279">
        <f>'Initial unit rates'!S189</f>
        <v>0</v>
      </c>
      <c r="T60" s="279">
        <f>'Initial unit rates'!T189</f>
        <v>-0.12424800791110245</v>
      </c>
      <c r="U60" s="279">
        <f>'Initial unit rates'!U189</f>
        <v>-0.12424800791110245</v>
      </c>
      <c r="V60" s="279">
        <f>'Initial unit rates'!V189</f>
        <v>0</v>
      </c>
      <c r="W60" s="279">
        <f>'Initial unit rates'!W189</f>
        <v>0</v>
      </c>
      <c r="X60" s="279">
        <f>'Initial unit rates'!X189</f>
        <v>0</v>
      </c>
      <c r="Y60" s="279">
        <f>'Initial unit rates'!Y189</f>
        <v>0</v>
      </c>
      <c r="Z60" s="268"/>
      <c r="AA60" s="268"/>
    </row>
    <row r="61" spans="3:27" x14ac:dyDescent="0.25">
      <c r="D61"/>
      <c r="F61" t="s">
        <v>199</v>
      </c>
      <c r="G61" t="s">
        <v>269</v>
      </c>
      <c r="H61" s="268"/>
      <c r="I61" s="268"/>
      <c r="J61" s="279">
        <f>'Initial unit rates'!J190</f>
        <v>0.48106835054232255</v>
      </c>
      <c r="K61" s="279">
        <f>'Initial unit rates'!K190</f>
        <v>0.48106835054232255</v>
      </c>
      <c r="L61" s="279">
        <f>'Initial unit rates'!L190</f>
        <v>0.51172348574973714</v>
      </c>
      <c r="M61" s="279">
        <f>'Initial unit rates'!M190</f>
        <v>0.51172348574973714</v>
      </c>
      <c r="N61" s="279">
        <f>'Initial unit rates'!N190</f>
        <v>0.38914460449445321</v>
      </c>
      <c r="O61" s="279">
        <f>'Initial unit rates'!O190</f>
        <v>0</v>
      </c>
      <c r="P61" s="279">
        <f>'Initial unit rates'!P190</f>
        <v>0</v>
      </c>
      <c r="Q61" s="279">
        <f>'Initial unit rates'!Q190</f>
        <v>0.38954876272194228</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25">
      <c r="D62"/>
      <c r="F62" s="95" t="s">
        <v>334</v>
      </c>
      <c r="G62" s="95" t="s">
        <v>269</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25">
      <c r="D63"/>
      <c r="F63" s="96" t="s">
        <v>335</v>
      </c>
      <c r="G63" s="96" t="s">
        <v>269</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25">
      <c r="D64"/>
      <c r="J64" s="106"/>
      <c r="K64" s="106"/>
      <c r="L64" s="106"/>
      <c r="M64" s="106"/>
      <c r="N64" s="106"/>
      <c r="O64" s="106"/>
      <c r="P64" s="106"/>
      <c r="Q64" s="106"/>
      <c r="R64" s="106"/>
      <c r="S64" s="106"/>
      <c r="T64" s="106"/>
      <c r="U64" s="106"/>
      <c r="V64" s="106"/>
      <c r="W64" s="106"/>
      <c r="X64" s="106"/>
      <c r="Y64" s="106"/>
    </row>
    <row r="65" spans="3:27" x14ac:dyDescent="0.25">
      <c r="D65"/>
      <c r="E65" s="75" t="s">
        <v>579</v>
      </c>
      <c r="J65" s="106"/>
      <c r="K65" s="106"/>
      <c r="L65" s="106"/>
      <c r="M65" s="106"/>
      <c r="N65" s="106"/>
      <c r="O65" s="106"/>
      <c r="P65" s="106"/>
      <c r="Q65" s="106"/>
      <c r="R65" s="106"/>
      <c r="S65" s="106"/>
      <c r="T65" s="106"/>
      <c r="U65" s="106"/>
      <c r="V65" s="106"/>
      <c r="W65" s="106"/>
      <c r="X65" s="106"/>
      <c r="Y65" s="106"/>
    </row>
    <row r="66" spans="3:27" x14ac:dyDescent="0.25">
      <c r="D66"/>
      <c r="F66" s="95" t="s">
        <v>189</v>
      </c>
      <c r="G66" s="95" t="s">
        <v>269</v>
      </c>
      <c r="H66" s="266"/>
      <c r="I66" s="266"/>
      <c r="J66" s="278">
        <f>'Initial unit rates'!J193</f>
        <v>0</v>
      </c>
      <c r="K66" s="278">
        <f>'Initial unit rates'!K193</f>
        <v>0</v>
      </c>
      <c r="L66" s="278">
        <f>'Initial unit rates'!L193</f>
        <v>0</v>
      </c>
      <c r="M66" s="278">
        <f>'Initial unit rates'!M193</f>
        <v>0</v>
      </c>
      <c r="N66" s="278">
        <f>'Initial unit rates'!N193</f>
        <v>0</v>
      </c>
      <c r="O66" s="278">
        <f>'Initial unit rates'!O193</f>
        <v>0</v>
      </c>
      <c r="P66" s="278">
        <f>'Initial unit rates'!P193</f>
        <v>0</v>
      </c>
      <c r="Q66" s="278">
        <f>'Initial unit rates'!Q193</f>
        <v>1.4672467057096598E-2</v>
      </c>
      <c r="R66" s="278">
        <f>'Initial unit rates'!R193</f>
        <v>0</v>
      </c>
      <c r="S66" s="278">
        <f>'Initial unit rates'!S193</f>
        <v>0</v>
      </c>
      <c r="T66" s="278">
        <f>'Initial unit rates'!T193</f>
        <v>0</v>
      </c>
      <c r="U66" s="278">
        <f>'Initial unit rates'!U193</f>
        <v>0</v>
      </c>
      <c r="V66" s="278">
        <f>'Initial unit rates'!V193</f>
        <v>0</v>
      </c>
      <c r="W66" s="278">
        <f>'Initial unit rates'!W193</f>
        <v>0</v>
      </c>
      <c r="X66" s="278">
        <f>'Initial unit rates'!X193</f>
        <v>0</v>
      </c>
      <c r="Y66" s="278">
        <f>'Initial unit rates'!Y193</f>
        <v>0</v>
      </c>
      <c r="Z66" s="268"/>
      <c r="AA66" s="268"/>
    </row>
    <row r="67" spans="3:27" x14ac:dyDescent="0.25">
      <c r="D67"/>
      <c r="F67" t="s">
        <v>191</v>
      </c>
      <c r="G67" t="s">
        <v>269</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25">
      <c r="D68"/>
      <c r="F68" t="s">
        <v>192</v>
      </c>
      <c r="G68" t="s">
        <v>269</v>
      </c>
      <c r="H68" s="268"/>
      <c r="I68" s="268"/>
      <c r="J68" s="279">
        <f>'Initial unit rates'!J195</f>
        <v>9.5770101602378796E-2</v>
      </c>
      <c r="K68" s="279">
        <f>'Initial unit rates'!K195</f>
        <v>9.5770101602378796E-2</v>
      </c>
      <c r="L68" s="279">
        <f>'Initial unit rates'!L195</f>
        <v>0.10187286311254484</v>
      </c>
      <c r="M68" s="279">
        <f>'Initial unit rates'!M195</f>
        <v>0.10187286311254484</v>
      </c>
      <c r="N68" s="279">
        <f>'Initial unit rates'!N195</f>
        <v>7.7470110574594048E-2</v>
      </c>
      <c r="O68" s="279">
        <f>'Initial unit rates'!O195</f>
        <v>7.1547195206492248E-2</v>
      </c>
      <c r="P68" s="279">
        <f>'Initial unit rates'!P195</f>
        <v>6.5565576097619899E-2</v>
      </c>
      <c r="Q68" s="279">
        <f>'Initial unit rates'!Q195</f>
        <v>0.10295531048689664</v>
      </c>
      <c r="R68" s="279">
        <f>'Initial unit rates'!R195</f>
        <v>-6.1041253953571045E-2</v>
      </c>
      <c r="S68" s="279">
        <f>'Initial unit rates'!S195</f>
        <v>-6.0236566989964636E-2</v>
      </c>
      <c r="T68" s="279">
        <f>'Initial unit rates'!T195</f>
        <v>-6.1041253953571045E-2</v>
      </c>
      <c r="U68" s="279">
        <f>'Initial unit rates'!U195</f>
        <v>-6.1041253953571045E-2</v>
      </c>
      <c r="V68" s="279">
        <f>'Initial unit rates'!V195</f>
        <v>-6.0236566989964636E-2</v>
      </c>
      <c r="W68" s="279">
        <f>'Initial unit rates'!W195</f>
        <v>-6.0236566989964636E-2</v>
      </c>
      <c r="X68" s="279">
        <f>'Initial unit rates'!X195</f>
        <v>-5.9431880026358228E-2</v>
      </c>
      <c r="Y68" s="279">
        <f>'Initial unit rates'!Y195</f>
        <v>-5.9431880026358228E-2</v>
      </c>
      <c r="Z68" s="268"/>
      <c r="AA68" s="268"/>
    </row>
    <row r="69" spans="3:27" x14ac:dyDescent="0.25">
      <c r="D69"/>
      <c r="F69" t="s">
        <v>193</v>
      </c>
      <c r="G69" t="s">
        <v>269</v>
      </c>
      <c r="H69" s="268"/>
      <c r="I69" s="268"/>
      <c r="J69" s="279">
        <f>'Initial unit rates'!J196</f>
        <v>1.3718250918604062E-2</v>
      </c>
      <c r="K69" s="279">
        <f>'Initial unit rates'!K196</f>
        <v>1.3718250918604062E-2</v>
      </c>
      <c r="L69" s="279">
        <f>'Initial unit rates'!L196</f>
        <v>1.4592419498276712E-2</v>
      </c>
      <c r="M69" s="279">
        <f>'Initial unit rates'!M196</f>
        <v>1.4592419498276712E-2</v>
      </c>
      <c r="N69" s="279">
        <f>'Initial unit rates'!N196</f>
        <v>1.1096933153174036E-2</v>
      </c>
      <c r="O69" s="279">
        <f>'Initial unit rates'!O196</f>
        <v>1.0248526000734944E-2</v>
      </c>
      <c r="P69" s="279">
        <f>'Initial unit rates'!P196</f>
        <v>9.3917100376934137E-3</v>
      </c>
      <c r="Q69" s="279">
        <f>'Initial unit rates'!Q196</f>
        <v>1.4747470860226748E-2</v>
      </c>
      <c r="R69" s="279">
        <f>'Initial unit rates'!R196</f>
        <v>-8.7436394460347986E-3</v>
      </c>
      <c r="S69" s="279">
        <f>'Initial unit rates'!S196</f>
        <v>-8.628374895898747E-3</v>
      </c>
      <c r="T69" s="279">
        <f>'Initial unit rates'!T196</f>
        <v>-8.7436394460347986E-3</v>
      </c>
      <c r="U69" s="279">
        <f>'Initial unit rates'!U196</f>
        <v>-8.7436394460347986E-3</v>
      </c>
      <c r="V69" s="279">
        <f>'Initial unit rates'!V196</f>
        <v>-8.628374895898747E-3</v>
      </c>
      <c r="W69" s="279">
        <f>'Initial unit rates'!W196</f>
        <v>-8.628374895898747E-3</v>
      </c>
      <c r="X69" s="279">
        <f>'Initial unit rates'!X196</f>
        <v>-8.5131103457626953E-3</v>
      </c>
      <c r="Y69" s="279">
        <f>'Initial unit rates'!Y196</f>
        <v>-8.5131103457626953E-3</v>
      </c>
      <c r="Z69" s="268"/>
      <c r="AA69" s="268"/>
    </row>
    <row r="70" spans="3:27" x14ac:dyDescent="0.25">
      <c r="D70"/>
      <c r="F70" t="s">
        <v>194</v>
      </c>
      <c r="G70" t="s">
        <v>269</v>
      </c>
      <c r="H70" s="268"/>
      <c r="I70" s="268"/>
      <c r="J70" s="279">
        <f>'Initial unit rates'!J197</f>
        <v>9.3610595141182334E-2</v>
      </c>
      <c r="K70" s="279">
        <f>'Initial unit rates'!K197</f>
        <v>9.3610595141182334E-2</v>
      </c>
      <c r="L70" s="279">
        <f>'Initial unit rates'!L197</f>
        <v>9.9575746346129521E-2</v>
      </c>
      <c r="M70" s="279">
        <f>'Initial unit rates'!M197</f>
        <v>9.9575746346129521E-2</v>
      </c>
      <c r="N70" s="279">
        <f>'Initial unit rates'!N197</f>
        <v>7.572324802003573E-2</v>
      </c>
      <c r="O70" s="279">
        <f>'Initial unit rates'!O197</f>
        <v>6.9933887631959332E-2</v>
      </c>
      <c r="P70" s="279">
        <f>'Initial unit rates'!P197</f>
        <v>6.4087147205451306E-2</v>
      </c>
      <c r="Q70" s="279">
        <f>'Initial unit rates'!Q197</f>
        <v>7.5801892753499925E-2</v>
      </c>
      <c r="R70" s="279">
        <f>'Initial unit rates'!R197</f>
        <v>-5.9664843360841789E-2</v>
      </c>
      <c r="S70" s="279">
        <f>'Initial unit rates'!S197</f>
        <v>-5.8878301169644244E-2</v>
      </c>
      <c r="T70" s="279">
        <f>'Initial unit rates'!T197</f>
        <v>-5.9664843360841789E-2</v>
      </c>
      <c r="U70" s="279">
        <f>'Initial unit rates'!U197</f>
        <v>-5.9664843360841789E-2</v>
      </c>
      <c r="V70" s="279">
        <f>'Initial unit rates'!V197</f>
        <v>-5.8878301169644244E-2</v>
      </c>
      <c r="W70" s="279">
        <f>'Initial unit rates'!W197</f>
        <v>-5.8878301169644244E-2</v>
      </c>
      <c r="X70" s="279">
        <f>'Initial unit rates'!X197</f>
        <v>-5.8091758978446706E-2</v>
      </c>
      <c r="Y70" s="279">
        <f>'Initial unit rates'!Y197</f>
        <v>-5.8091758978446706E-2</v>
      </c>
      <c r="Z70" s="268"/>
      <c r="AA70" s="268"/>
    </row>
    <row r="71" spans="3:27" x14ac:dyDescent="0.25">
      <c r="D71"/>
      <c r="F71" t="s">
        <v>195</v>
      </c>
      <c r="G71" t="s">
        <v>269</v>
      </c>
      <c r="H71" s="268"/>
      <c r="I71" s="268"/>
      <c r="J71" s="279">
        <f>'Initial unit rates'!J198</f>
        <v>7.404215723179973E-2</v>
      </c>
      <c r="K71" s="279">
        <f>'Initial unit rates'!K198</f>
        <v>7.404215723179973E-2</v>
      </c>
      <c r="L71" s="279">
        <f>'Initial unit rates'!L198</f>
        <v>7.8760348188304533E-2</v>
      </c>
      <c r="M71" s="279">
        <f>'Initial unit rates'!M198</f>
        <v>7.8760348188304533E-2</v>
      </c>
      <c r="N71" s="279">
        <f>'Initial unit rates'!N198</f>
        <v>5.9893996267688279E-2</v>
      </c>
      <c r="O71" s="279">
        <f>'Initial unit rates'!O198</f>
        <v>5.5314848667152132E-2</v>
      </c>
      <c r="P71" s="279">
        <f>'Initial unit rates'!P198</f>
        <v>5.0690315799904323E-2</v>
      </c>
      <c r="Q71" s="279">
        <f>'Initial unit rates'!Q198</f>
        <v>5.9956201039614222E-2</v>
      </c>
      <c r="R71" s="279">
        <f>'Initial unit rates'!R198</f>
        <v>-4.7192454087824236E-2</v>
      </c>
      <c r="S71" s="279">
        <f>'Initial unit rates'!S198</f>
        <v>-4.657033134090377E-2</v>
      </c>
      <c r="T71" s="279">
        <f>'Initial unit rates'!T198</f>
        <v>-4.7192454087824236E-2</v>
      </c>
      <c r="U71" s="279">
        <f>'Initial unit rates'!U198</f>
        <v>-4.7192454087824236E-2</v>
      </c>
      <c r="V71" s="279">
        <f>'Initial unit rates'!V198</f>
        <v>-4.657033134090377E-2</v>
      </c>
      <c r="W71" s="279">
        <f>'Initial unit rates'!W198</f>
        <v>-4.657033134090377E-2</v>
      </c>
      <c r="X71" s="279">
        <f>'Initial unit rates'!X198</f>
        <v>-4.5948208593983297E-2</v>
      </c>
      <c r="Y71" s="279">
        <f>'Initial unit rates'!Y198</f>
        <v>-4.5948208593983297E-2</v>
      </c>
      <c r="Z71" s="268"/>
      <c r="AA71" s="268"/>
    </row>
    <row r="72" spans="3:27" x14ac:dyDescent="0.25">
      <c r="D72"/>
      <c r="F72" t="s">
        <v>196</v>
      </c>
      <c r="G72" t="s">
        <v>269</v>
      </c>
      <c r="H72" s="268"/>
      <c r="I72" s="268"/>
      <c r="J72" s="279">
        <f>'Initial unit rates'!J199</f>
        <v>0</v>
      </c>
      <c r="K72" s="279">
        <f>'Initial unit rates'!K199</f>
        <v>0</v>
      </c>
      <c r="L72" s="279">
        <f>'Initial unit rates'!L199</f>
        <v>0</v>
      </c>
      <c r="M72" s="279">
        <f>'Initial unit rates'!M199</f>
        <v>0</v>
      </c>
      <c r="N72" s="279">
        <f>'Initial unit rates'!N199</f>
        <v>0</v>
      </c>
      <c r="O72" s="279">
        <f>'Initial unit rates'!O199</f>
        <v>0</v>
      </c>
      <c r="P72" s="279">
        <f>'Initial unit rates'!P199</f>
        <v>0</v>
      </c>
      <c r="Q72" s="279">
        <f>'Initial unit rates'!Q199</f>
        <v>0</v>
      </c>
      <c r="R72" s="279">
        <f>'Initial unit rates'!R199</f>
        <v>0</v>
      </c>
      <c r="S72" s="279">
        <f>'Initial unit rates'!S199</f>
        <v>0</v>
      </c>
      <c r="T72" s="279">
        <f>'Initial unit rates'!T199</f>
        <v>0</v>
      </c>
      <c r="U72" s="279">
        <f>'Initial unit rates'!U199</f>
        <v>0</v>
      </c>
      <c r="V72" s="279">
        <f>'Initial unit rates'!V199</f>
        <v>0</v>
      </c>
      <c r="W72" s="279">
        <f>'Initial unit rates'!W199</f>
        <v>0</v>
      </c>
      <c r="X72" s="279">
        <f>'Initial unit rates'!X199</f>
        <v>0</v>
      </c>
      <c r="Y72" s="279">
        <f>'Initial unit rates'!Y199</f>
        <v>0</v>
      </c>
      <c r="Z72" s="268"/>
      <c r="AA72" s="268"/>
    </row>
    <row r="73" spans="3:27" x14ac:dyDescent="0.25">
      <c r="D73"/>
      <c r="F73" t="s">
        <v>197</v>
      </c>
      <c r="G73" t="s">
        <v>269</v>
      </c>
      <c r="H73" s="268"/>
      <c r="I73" s="268"/>
      <c r="J73" s="279">
        <f>'Initial unit rates'!J200</f>
        <v>0.34096477971686368</v>
      </c>
      <c r="K73" s="279">
        <f>'Initial unit rates'!K200</f>
        <v>0.34096477971686368</v>
      </c>
      <c r="L73" s="279">
        <f>'Initial unit rates'!L200</f>
        <v>0.36269209021526494</v>
      </c>
      <c r="M73" s="279">
        <f>'Initial unit rates'!M200</f>
        <v>0.36269209021526494</v>
      </c>
      <c r="N73" s="279">
        <f>'Initial unit rates'!N200</f>
        <v>0.27581237510195383</v>
      </c>
      <c r="O73" s="279">
        <f>'Initial unit rates'!O200</f>
        <v>0.25472536047027788</v>
      </c>
      <c r="P73" s="279">
        <f>'Initial unit rates'!P200</f>
        <v>0.23342934628962489</v>
      </c>
      <c r="Q73" s="279">
        <f>'Initial unit rates'!Q200</f>
        <v>0.2760988286191125</v>
      </c>
      <c r="R73" s="279">
        <f>'Initial unit rates'!R200</f>
        <v>-0.21732166260334759</v>
      </c>
      <c r="S73" s="279">
        <f>'Initial unit rates'!S200</f>
        <v>-0.21445678192872722</v>
      </c>
      <c r="T73" s="279">
        <f>'Initial unit rates'!T200</f>
        <v>-0.21732166260334759</v>
      </c>
      <c r="U73" s="279">
        <f>'Initial unit rates'!U200</f>
        <v>-0.21732166260334759</v>
      </c>
      <c r="V73" s="279">
        <f>'Initial unit rates'!V200</f>
        <v>-0.21445678192872722</v>
      </c>
      <c r="W73" s="279">
        <f>'Initial unit rates'!W200</f>
        <v>-0.21445678192872722</v>
      </c>
      <c r="X73" s="279">
        <f>'Initial unit rates'!X200</f>
        <v>0</v>
      </c>
      <c r="Y73" s="279">
        <f>'Initial unit rates'!Y200</f>
        <v>0</v>
      </c>
      <c r="Z73" s="268"/>
      <c r="AA73" s="268"/>
    </row>
    <row r="74" spans="3:27" x14ac:dyDescent="0.25">
      <c r="D74"/>
      <c r="F74" t="s">
        <v>198</v>
      </c>
      <c r="G74" t="s">
        <v>269</v>
      </c>
      <c r="H74" s="268"/>
      <c r="I74" s="268"/>
      <c r="J74" s="279">
        <f>'Initial unit rates'!J201</f>
        <v>0.13989274165412297</v>
      </c>
      <c r="K74" s="279">
        <f>'Initial unit rates'!K201</f>
        <v>0.13989274165412297</v>
      </c>
      <c r="L74" s="279">
        <f>'Initial unit rates'!L201</f>
        <v>0.14880713168852988</v>
      </c>
      <c r="M74" s="279">
        <f>'Initial unit rates'!M201</f>
        <v>0.14880713168852988</v>
      </c>
      <c r="N74" s="279">
        <f>'Initial unit rates'!N201</f>
        <v>0.11316168598759044</v>
      </c>
      <c r="O74" s="279">
        <f>'Initial unit rates'!O201</f>
        <v>0.10450999975602319</v>
      </c>
      <c r="P74" s="279">
        <f>'Initial unit rates'!P201</f>
        <v>0</v>
      </c>
      <c r="Q74" s="279">
        <f>'Initial unit rates'!Q201</f>
        <v>0.1132792135747655</v>
      </c>
      <c r="R74" s="279">
        <f>'Initial unit rates'!R201</f>
        <v>-8.9163822807916099E-2</v>
      </c>
      <c r="S74" s="279">
        <f>'Initial unit rates'!S201</f>
        <v>0</v>
      </c>
      <c r="T74" s="279">
        <f>'Initial unit rates'!T201</f>
        <v>-8.9163822807916099E-2</v>
      </c>
      <c r="U74" s="279">
        <f>'Initial unit rates'!U201</f>
        <v>-8.9163822807916099E-2</v>
      </c>
      <c r="V74" s="279">
        <f>'Initial unit rates'!V201</f>
        <v>0</v>
      </c>
      <c r="W74" s="279">
        <f>'Initial unit rates'!W201</f>
        <v>0</v>
      </c>
      <c r="X74" s="279">
        <f>'Initial unit rates'!X201</f>
        <v>0</v>
      </c>
      <c r="Y74" s="279">
        <f>'Initial unit rates'!Y201</f>
        <v>0</v>
      </c>
      <c r="Z74" s="268"/>
      <c r="AA74" s="268"/>
    </row>
    <row r="75" spans="3:27" x14ac:dyDescent="0.25">
      <c r="D75"/>
      <c r="F75" t="s">
        <v>199</v>
      </c>
      <c r="G75" t="s">
        <v>269</v>
      </c>
      <c r="H75" s="268"/>
      <c r="I75" s="268"/>
      <c r="J75" s="279">
        <f>'Initial unit rates'!J202</f>
        <v>0.34522801522051</v>
      </c>
      <c r="K75" s="279">
        <f>'Initial unit rates'!K202</f>
        <v>0.34522801522051</v>
      </c>
      <c r="L75" s="279">
        <f>'Initial unit rates'!L202</f>
        <v>0.36722699202295722</v>
      </c>
      <c r="M75" s="279">
        <f>'Initial unit rates'!M202</f>
        <v>0.36722699202295722</v>
      </c>
      <c r="N75" s="279">
        <f>'Initial unit rates'!N202</f>
        <v>0.27926098088128415</v>
      </c>
      <c r="O75" s="279">
        <f>'Initial unit rates'!O202</f>
        <v>0</v>
      </c>
      <c r="P75" s="279">
        <f>'Initial unit rates'!P202</f>
        <v>0</v>
      </c>
      <c r="Q75" s="279">
        <f>'Initial unit rates'!Q202</f>
        <v>0.27955101605519195</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25">
      <c r="D76"/>
      <c r="F76" s="95" t="s">
        <v>334</v>
      </c>
      <c r="G76" s="95" t="s">
        <v>269</v>
      </c>
      <c r="H76" s="266"/>
      <c r="I76" s="266" t="s">
        <v>154</v>
      </c>
      <c r="J76" s="280"/>
      <c r="K76" s="280"/>
      <c r="L76" s="280"/>
      <c r="M76" s="280"/>
      <c r="N76" s="280"/>
      <c r="O76" s="280"/>
      <c r="P76" s="280"/>
      <c r="Q76" s="278">
        <f>'Service model charges'!$Q$44</f>
        <v>1.221008124060708</v>
      </c>
      <c r="R76" s="280"/>
      <c r="S76" s="280"/>
      <c r="T76" s="280"/>
      <c r="U76" s="280"/>
      <c r="V76" s="280"/>
      <c r="W76" s="280"/>
      <c r="X76" s="280"/>
      <c r="Y76" s="280"/>
      <c r="Z76" s="268"/>
      <c r="AA76" s="268" t="s">
        <v>611</v>
      </c>
    </row>
    <row r="77" spans="3:27" x14ac:dyDescent="0.25">
      <c r="D77"/>
      <c r="F77" s="96" t="s">
        <v>335</v>
      </c>
      <c r="G77" s="96" t="s">
        <v>269</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25">
      <c r="J78" s="106"/>
      <c r="K78" s="106"/>
      <c r="L78" s="106"/>
      <c r="M78" s="106"/>
      <c r="N78" s="106"/>
      <c r="O78" s="106"/>
      <c r="P78" s="106"/>
      <c r="Q78" s="106"/>
      <c r="R78" s="106"/>
      <c r="S78" s="106"/>
      <c r="T78" s="106"/>
      <c r="U78" s="106"/>
      <c r="V78" s="106"/>
      <c r="W78" s="106"/>
      <c r="X78" s="106"/>
      <c r="Y78" s="106"/>
    </row>
    <row r="79" spans="3:27" x14ac:dyDescent="0.25">
      <c r="C79" s="93" t="str">
        <f ca="1">INDEX('Version control'!$H$41:$H$64,MATCH($A$1,'Version control'!$F$41:$F$64,0),1)&amp;"-C: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25">
      <c r="D80" s="75"/>
      <c r="E80" s="75"/>
      <c r="J80" s="106"/>
      <c r="K80" s="106"/>
      <c r="L80" s="106"/>
      <c r="M80" s="106"/>
      <c r="N80" s="106"/>
      <c r="O80" s="106"/>
      <c r="P80" s="106"/>
      <c r="Q80" s="106"/>
      <c r="R80" s="106"/>
      <c r="S80" s="106"/>
      <c r="T80" s="106"/>
      <c r="U80" s="106"/>
      <c r="V80" s="106"/>
      <c r="W80" s="106"/>
      <c r="X80" s="106"/>
      <c r="Y80" s="106"/>
    </row>
    <row r="81" spans="4:27" x14ac:dyDescent="0.25">
      <c r="D81"/>
      <c r="E81" s="75" t="s">
        <v>578</v>
      </c>
      <c r="J81" s="106"/>
      <c r="K81" s="106"/>
      <c r="L81" s="106"/>
      <c r="M81" s="106"/>
      <c r="N81" s="106"/>
      <c r="O81" s="106"/>
      <c r="P81" s="106"/>
      <c r="Q81" s="106"/>
      <c r="R81" s="106"/>
      <c r="S81" s="106"/>
      <c r="T81" s="106"/>
      <c r="U81" s="106"/>
      <c r="V81" s="106"/>
      <c r="W81" s="106"/>
      <c r="X81" s="106"/>
      <c r="Y81" s="106"/>
    </row>
    <row r="82" spans="4:27" x14ac:dyDescent="0.25">
      <c r="D82"/>
      <c r="F82" s="95" t="s">
        <v>189</v>
      </c>
      <c r="G82" s="95"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25">
      <c r="D83"/>
      <c r="F83" t="s">
        <v>191</v>
      </c>
      <c r="G83" t="s">
        <v>269</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25">
      <c r="D84"/>
      <c r="F84" t="s">
        <v>192</v>
      </c>
      <c r="G84" t="s">
        <v>269</v>
      </c>
      <c r="H84" s="268"/>
      <c r="I84" s="268"/>
      <c r="J84" s="279">
        <f>'Initial unit rates'!J212</f>
        <v>9.9353603486043024E-3</v>
      </c>
      <c r="K84" s="279">
        <f>'Initial unit rates'!K212</f>
        <v>9.9353603486043024E-3</v>
      </c>
      <c r="L84" s="279">
        <f>'Initial unit rates'!L212</f>
        <v>1.056847166111842E-2</v>
      </c>
      <c r="M84" s="279">
        <f>'Initial unit rates'!M212</f>
        <v>1.056847166111842E-2</v>
      </c>
      <c r="N84" s="279">
        <f>'Initial unit rates'!N212</f>
        <v>8.0368867937558337E-3</v>
      </c>
      <c r="O84" s="279">
        <f>'Initial unit rates'!O212</f>
        <v>7.4224330392772455E-3</v>
      </c>
      <c r="P84" s="279">
        <f>'Initial unit rates'!P212</f>
        <v>6.8018892545219012E-3</v>
      </c>
      <c r="Q84" s="279">
        <f>'Initial unit rates'!Q212</f>
        <v>7.4207413866933386E-3</v>
      </c>
      <c r="R84" s="279">
        <f>'Initial unit rates'!R212</f>
        <v>-6.3325280438496639E-3</v>
      </c>
      <c r="S84" s="279">
        <f>'Initial unit rates'!S212</f>
        <v>-6.2490483897876155E-3</v>
      </c>
      <c r="T84" s="279">
        <f>'Initial unit rates'!T212</f>
        <v>-6.3325280438496639E-3</v>
      </c>
      <c r="U84" s="279">
        <f>'Initial unit rates'!U212</f>
        <v>-6.3325280438496639E-3</v>
      </c>
      <c r="V84" s="279">
        <f>'Initial unit rates'!V212</f>
        <v>-6.2490483897876155E-3</v>
      </c>
      <c r="W84" s="279">
        <f>'Initial unit rates'!W212</f>
        <v>-6.2490483897876155E-3</v>
      </c>
      <c r="X84" s="279">
        <f>'Initial unit rates'!X212</f>
        <v>-6.1655687357255679E-3</v>
      </c>
      <c r="Y84" s="279">
        <f>'Initial unit rates'!Y212</f>
        <v>-6.1655687357255679E-3</v>
      </c>
      <c r="Z84" s="268"/>
      <c r="AA84" s="268"/>
    </row>
    <row r="85" spans="4:27" x14ac:dyDescent="0.25">
      <c r="D85"/>
      <c r="F85" t="s">
        <v>193</v>
      </c>
      <c r="G85" t="s">
        <v>269</v>
      </c>
      <c r="H85" s="268"/>
      <c r="I85" s="268"/>
      <c r="J85" s="279">
        <f>'Initial unit rates'!J213</f>
        <v>1.4231557025467122E-3</v>
      </c>
      <c r="K85" s="279">
        <f>'Initial unit rates'!K213</f>
        <v>1.4231557025467122E-3</v>
      </c>
      <c r="L85" s="279">
        <f>'Initial unit rates'!L213</f>
        <v>1.5138435028012713E-3</v>
      </c>
      <c r="M85" s="279">
        <f>'Initial unit rates'!M213</f>
        <v>1.5138435028012713E-3</v>
      </c>
      <c r="N85" s="279">
        <f>'Initial unit rates'!N213</f>
        <v>1.151215544271902E-3</v>
      </c>
      <c r="O85" s="279">
        <f>'Initial unit rates'!O213</f>
        <v>1.0632002802095084E-3</v>
      </c>
      <c r="P85" s="279">
        <f>'Initial unit rates'!P213</f>
        <v>9.7431267120813504E-4</v>
      </c>
      <c r="Q85" s="279">
        <f>'Initial unit rates'!Q213</f>
        <v>1.0629579653928293E-3</v>
      </c>
      <c r="R85" s="279">
        <f>'Initial unit rates'!R213</f>
        <v>-9.0708067759290019E-4</v>
      </c>
      <c r="S85" s="279">
        <f>'Initial unit rates'!S213</f>
        <v>-8.9512292854741933E-4</v>
      </c>
      <c r="T85" s="279">
        <f>'Initial unit rates'!T213</f>
        <v>-9.0708067759290019E-4</v>
      </c>
      <c r="U85" s="279">
        <f>'Initial unit rates'!U213</f>
        <v>-9.0708067759290019E-4</v>
      </c>
      <c r="V85" s="279">
        <f>'Initial unit rates'!V213</f>
        <v>-8.9512292854741933E-4</v>
      </c>
      <c r="W85" s="279">
        <f>'Initial unit rates'!W213</f>
        <v>-8.9512292854741933E-4</v>
      </c>
      <c r="X85" s="279">
        <f>'Initial unit rates'!X213</f>
        <v>-8.8316517950193859E-4</v>
      </c>
      <c r="Y85" s="279">
        <f>'Initial unit rates'!Y213</f>
        <v>-8.8316517950193859E-4</v>
      </c>
      <c r="Z85" s="268"/>
      <c r="AA85" s="268"/>
    </row>
    <row r="86" spans="4:27" x14ac:dyDescent="0.25">
      <c r="D86"/>
      <c r="F86" t="s">
        <v>194</v>
      </c>
      <c r="G86" t="s">
        <v>269</v>
      </c>
      <c r="H86" s="268"/>
      <c r="I86" s="268"/>
      <c r="J86" s="279">
        <f>'Initial unit rates'!J214</f>
        <v>1.5039429138649573E-2</v>
      </c>
      <c r="K86" s="279">
        <f>'Initial unit rates'!K214</f>
        <v>1.5039429138649573E-2</v>
      </c>
      <c r="L86" s="279">
        <f>'Initial unit rates'!L214</f>
        <v>1.5997787203918042E-2</v>
      </c>
      <c r="M86" s="279">
        <f>'Initial unit rates'!M214</f>
        <v>1.5997787203918042E-2</v>
      </c>
      <c r="N86" s="279">
        <f>'Initial unit rates'!N214</f>
        <v>1.2165657327871253E-2</v>
      </c>
      <c r="O86" s="279">
        <f>'Initial unit rates'!O214</f>
        <v>1.1235541723080321E-2</v>
      </c>
      <c r="P86" s="279">
        <f>'Initial unit rates'!P214</f>
        <v>1.0296207471397298E-2</v>
      </c>
      <c r="Q86" s="279">
        <f>'Initial unit rates'!Q214</f>
        <v>1.1232981021880747E-2</v>
      </c>
      <c r="R86" s="279">
        <f>'Initial unit rates'!R214</f>
        <v>-9.585722454180233E-3</v>
      </c>
      <c r="S86" s="279">
        <f>'Initial unit rates'!S214</f>
        <v>-9.459356998098762E-3</v>
      </c>
      <c r="T86" s="279">
        <f>'Initial unit rates'!T214</f>
        <v>-9.585722454180233E-3</v>
      </c>
      <c r="U86" s="279">
        <f>'Initial unit rates'!U214</f>
        <v>-9.585722454180233E-3</v>
      </c>
      <c r="V86" s="279">
        <f>'Initial unit rates'!V214</f>
        <v>-9.459356998098762E-3</v>
      </c>
      <c r="W86" s="279">
        <f>'Initial unit rates'!W214</f>
        <v>-9.459356998098762E-3</v>
      </c>
      <c r="X86" s="279">
        <f>'Initial unit rates'!X214</f>
        <v>-9.3329915420172892E-3</v>
      </c>
      <c r="Y86" s="279">
        <f>'Initial unit rates'!Y214</f>
        <v>-9.3329915420172892E-3</v>
      </c>
      <c r="Z86" s="268"/>
      <c r="AA86" s="268"/>
    </row>
    <row r="87" spans="4:27" x14ac:dyDescent="0.25">
      <c r="D87"/>
      <c r="F87" t="s">
        <v>195</v>
      </c>
      <c r="G87" t="s">
        <v>269</v>
      </c>
      <c r="H87" s="268"/>
      <c r="I87" s="268"/>
      <c r="J87" s="279">
        <f>'Initial unit rates'!J215</f>
        <v>1.1895574163169855E-2</v>
      </c>
      <c r="K87" s="279">
        <f>'Initial unit rates'!K215</f>
        <v>1.1895574163169855E-2</v>
      </c>
      <c r="L87" s="279">
        <f>'Initial unit rates'!L215</f>
        <v>1.2653596248660842E-2</v>
      </c>
      <c r="M87" s="279">
        <f>'Initial unit rates'!M215</f>
        <v>1.2653596248660842E-2</v>
      </c>
      <c r="N87" s="279">
        <f>'Initial unit rates'!N215</f>
        <v>9.622538040057407E-3</v>
      </c>
      <c r="O87" s="279">
        <f>'Initial unit rates'!O215</f>
        <v>8.8868545872408181E-3</v>
      </c>
      <c r="P87" s="279">
        <f>'Initial unit rates'!P215</f>
        <v>8.1438795612682312E-3</v>
      </c>
      <c r="Q87" s="279">
        <f>'Initial unit rates'!Q215</f>
        <v>8.884829177183801E-3</v>
      </c>
      <c r="R87" s="279">
        <f>'Initial unit rates'!R215</f>
        <v>-7.5819149324109483E-3</v>
      </c>
      <c r="S87" s="279">
        <f>'Initial unit rates'!S215</f>
        <v>-7.4819650180477145E-3</v>
      </c>
      <c r="T87" s="279">
        <f>'Initial unit rates'!T215</f>
        <v>-7.5819149324109483E-3</v>
      </c>
      <c r="U87" s="279">
        <f>'Initial unit rates'!U215</f>
        <v>-7.5819149324109483E-3</v>
      </c>
      <c r="V87" s="279">
        <f>'Initial unit rates'!V215</f>
        <v>-7.4819650180477145E-3</v>
      </c>
      <c r="W87" s="279">
        <f>'Initial unit rates'!W215</f>
        <v>-7.4819650180477145E-3</v>
      </c>
      <c r="X87" s="279">
        <f>'Initial unit rates'!X215</f>
        <v>-7.3820151036844807E-3</v>
      </c>
      <c r="Y87" s="279">
        <f>'Initial unit rates'!Y215</f>
        <v>-7.3820151036844807E-3</v>
      </c>
      <c r="Z87" s="268"/>
      <c r="AA87" s="268"/>
    </row>
    <row r="88" spans="4:27" x14ac:dyDescent="0.25">
      <c r="D88"/>
      <c r="F88" t="s">
        <v>196</v>
      </c>
      <c r="G88" t="s">
        <v>269</v>
      </c>
      <c r="H88" s="268"/>
      <c r="I88" s="268"/>
      <c r="J88" s="279">
        <f>'Initial unit rates'!J216</f>
        <v>0</v>
      </c>
      <c r="K88" s="279">
        <f>'Initial unit rates'!K216</f>
        <v>0</v>
      </c>
      <c r="L88" s="279">
        <f>'Initial unit rates'!L216</f>
        <v>0</v>
      </c>
      <c r="M88" s="279">
        <f>'Initial unit rates'!M216</f>
        <v>0</v>
      </c>
      <c r="N88" s="279">
        <f>'Initial unit rates'!N216</f>
        <v>0</v>
      </c>
      <c r="O88" s="279">
        <f>'Initial unit rates'!O216</f>
        <v>0</v>
      </c>
      <c r="P88" s="279">
        <f>'Initial unit rates'!P216</f>
        <v>0</v>
      </c>
      <c r="Q88" s="279">
        <f>'Initial unit rates'!Q216</f>
        <v>0</v>
      </c>
      <c r="R88" s="279">
        <f>'Initial unit rates'!R216</f>
        <v>0</v>
      </c>
      <c r="S88" s="279">
        <f>'Initial unit rates'!S216</f>
        <v>0</v>
      </c>
      <c r="T88" s="279">
        <f>'Initial unit rates'!T216</f>
        <v>0</v>
      </c>
      <c r="U88" s="279">
        <f>'Initial unit rates'!U216</f>
        <v>0</v>
      </c>
      <c r="V88" s="279">
        <f>'Initial unit rates'!V216</f>
        <v>0</v>
      </c>
      <c r="W88" s="279">
        <f>'Initial unit rates'!W216</f>
        <v>0</v>
      </c>
      <c r="X88" s="279">
        <f>'Initial unit rates'!X216</f>
        <v>0</v>
      </c>
      <c r="Y88" s="279">
        <f>'Initial unit rates'!Y216</f>
        <v>0</v>
      </c>
      <c r="Z88" s="268"/>
      <c r="AA88" s="268"/>
    </row>
    <row r="89" spans="4:27" x14ac:dyDescent="0.25">
      <c r="D89"/>
      <c r="F89" t="s">
        <v>197</v>
      </c>
      <c r="G89" t="s">
        <v>269</v>
      </c>
      <c r="H89" s="268"/>
      <c r="I89" s="268"/>
      <c r="J89" s="279">
        <f>'Initial unit rates'!J217</f>
        <v>5.4779222753505344E-2</v>
      </c>
      <c r="K89" s="279">
        <f>'Initial unit rates'!K217</f>
        <v>5.4779222753505344E-2</v>
      </c>
      <c r="L89" s="279">
        <f>'Initial unit rates'!L217</f>
        <v>5.8269921067316058E-2</v>
      </c>
      <c r="M89" s="279">
        <f>'Initial unit rates'!M217</f>
        <v>5.8269921067316058E-2</v>
      </c>
      <c r="N89" s="279">
        <f>'Initial unit rates'!N217</f>
        <v>4.4311871585181323E-2</v>
      </c>
      <c r="O89" s="279">
        <f>'Initial unit rates'!O217</f>
        <v>4.092404286963415E-2</v>
      </c>
      <c r="P89" s="279">
        <f>'Initial unit rates'!P217</f>
        <v>3.7502636396119442E-2</v>
      </c>
      <c r="Q89" s="279">
        <f>'Initial unit rates'!Q217</f>
        <v>4.0914715838659549E-2</v>
      </c>
      <c r="R89" s="279">
        <f>'Initial unit rates'!R217</f>
        <v>-3.4914784379772461E-2</v>
      </c>
      <c r="S89" s="279">
        <f>'Initial unit rates'!S217</f>
        <v>-3.4454514152543823E-2</v>
      </c>
      <c r="T89" s="279">
        <f>'Initial unit rates'!T217</f>
        <v>-3.4914784379772461E-2</v>
      </c>
      <c r="U89" s="279">
        <f>'Initial unit rates'!U217</f>
        <v>-3.4914784379772461E-2</v>
      </c>
      <c r="V89" s="279">
        <f>'Initial unit rates'!V217</f>
        <v>-3.4454514152543823E-2</v>
      </c>
      <c r="W89" s="279">
        <f>'Initial unit rates'!W217</f>
        <v>-3.4454514152543823E-2</v>
      </c>
      <c r="X89" s="279">
        <f>'Initial unit rates'!X217</f>
        <v>0</v>
      </c>
      <c r="Y89" s="279">
        <f>'Initial unit rates'!Y217</f>
        <v>0</v>
      </c>
      <c r="Z89" s="268"/>
      <c r="AA89" s="268"/>
    </row>
    <row r="90" spans="4:27" x14ac:dyDescent="0.25">
      <c r="D90"/>
      <c r="F90" t="s">
        <v>198</v>
      </c>
      <c r="G90" t="s">
        <v>269</v>
      </c>
      <c r="H90" s="268"/>
      <c r="I90" s="268"/>
      <c r="J90" s="279">
        <f>'Initial unit rates'!J218</f>
        <v>2.2475094533321874E-2</v>
      </c>
      <c r="K90" s="279">
        <f>'Initial unit rates'!K218</f>
        <v>2.2475094533321874E-2</v>
      </c>
      <c r="L90" s="279">
        <f>'Initial unit rates'!L218</f>
        <v>2.3907275762749463E-2</v>
      </c>
      <c r="M90" s="279">
        <f>'Initial unit rates'!M218</f>
        <v>2.3907275762749463E-2</v>
      </c>
      <c r="N90" s="279">
        <f>'Initial unit rates'!N218</f>
        <v>1.8180497144086268E-2</v>
      </c>
      <c r="O90" s="279">
        <f>'Initial unit rates'!O218</f>
        <v>1.6790521769896559E-2</v>
      </c>
      <c r="P90" s="279">
        <f>'Initial unit rates'!P218</f>
        <v>0</v>
      </c>
      <c r="Q90" s="279">
        <f>'Initial unit rates'!Q218</f>
        <v>1.6786695028801441E-2</v>
      </c>
      <c r="R90" s="279">
        <f>'Initial unit rates'!R218</f>
        <v>-1.4325013026872892E-2</v>
      </c>
      <c r="S90" s="279">
        <f>'Initial unit rates'!S218</f>
        <v>0</v>
      </c>
      <c r="T90" s="279">
        <f>'Initial unit rates'!T218</f>
        <v>-1.4325013026872892E-2</v>
      </c>
      <c r="U90" s="279">
        <f>'Initial unit rates'!U218</f>
        <v>-1.4325013026872892E-2</v>
      </c>
      <c r="V90" s="279">
        <f>'Initial unit rates'!V218</f>
        <v>0</v>
      </c>
      <c r="W90" s="279">
        <f>'Initial unit rates'!W218</f>
        <v>0</v>
      </c>
      <c r="X90" s="279">
        <f>'Initial unit rates'!X218</f>
        <v>0</v>
      </c>
      <c r="Y90" s="279">
        <f>'Initial unit rates'!Y218</f>
        <v>0</v>
      </c>
      <c r="Z90" s="268"/>
      <c r="AA90" s="268"/>
    </row>
    <row r="91" spans="4:27" x14ac:dyDescent="0.25">
      <c r="D91"/>
      <c r="F91" t="s">
        <v>199</v>
      </c>
      <c r="G91" t="s">
        <v>269</v>
      </c>
      <c r="H91" s="268"/>
      <c r="I91" s="268"/>
      <c r="J91" s="279">
        <f>'Initial unit rates'!J219</f>
        <v>5.5464151934457188E-2</v>
      </c>
      <c r="K91" s="279">
        <f>'Initial unit rates'!K219</f>
        <v>5.5464151934457188E-2</v>
      </c>
      <c r="L91" s="279">
        <f>'Initial unit rates'!L219</f>
        <v>5.8998496014250876E-2</v>
      </c>
      <c r="M91" s="279">
        <f>'Initial unit rates'!M219</f>
        <v>5.8998496014250876E-2</v>
      </c>
      <c r="N91" s="279">
        <f>'Initial unit rates'!N219</f>
        <v>4.4865922781706181E-2</v>
      </c>
      <c r="O91" s="279">
        <f>'Initial unit rates'!O219</f>
        <v>0</v>
      </c>
      <c r="P91" s="279">
        <f>'Initial unit rates'!P219</f>
        <v>0</v>
      </c>
      <c r="Q91" s="279">
        <f>'Initial unit rates'!Q219</f>
        <v>4.1426290873857678E-2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25">
      <c r="D92"/>
      <c r="F92" s="95" t="s">
        <v>334</v>
      </c>
      <c r="G92" s="95" t="s">
        <v>269</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25">
      <c r="D93"/>
      <c r="F93" s="96" t="s">
        <v>335</v>
      </c>
      <c r="G93" s="96" t="s">
        <v>269</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25">
      <c r="D94"/>
      <c r="J94" s="106"/>
      <c r="K94" s="106"/>
      <c r="L94" s="106"/>
      <c r="M94" s="106"/>
      <c r="N94" s="106"/>
      <c r="O94" s="106"/>
      <c r="P94" s="106"/>
      <c r="Q94" s="106"/>
      <c r="R94" s="106"/>
      <c r="S94" s="106"/>
      <c r="T94" s="106"/>
      <c r="U94" s="106"/>
      <c r="V94" s="106"/>
      <c r="W94" s="106"/>
      <c r="X94" s="106"/>
      <c r="Y94" s="106"/>
    </row>
    <row r="95" spans="4:27" x14ac:dyDescent="0.25">
      <c r="D95"/>
      <c r="E95" s="75" t="s">
        <v>579</v>
      </c>
      <c r="J95" s="106"/>
      <c r="K95" s="106"/>
      <c r="L95" s="106"/>
      <c r="M95" s="106"/>
      <c r="N95" s="106"/>
      <c r="O95" s="106"/>
      <c r="P95" s="106"/>
      <c r="Q95" s="106"/>
      <c r="R95" s="106"/>
      <c r="S95" s="106"/>
      <c r="T95" s="106"/>
      <c r="U95" s="106"/>
      <c r="V95" s="106"/>
      <c r="W95" s="106"/>
      <c r="X95" s="106"/>
      <c r="Y95" s="106"/>
    </row>
    <row r="96" spans="4:27" x14ac:dyDescent="0.25">
      <c r="D96"/>
      <c r="F96" s="95" t="s">
        <v>189</v>
      </c>
      <c r="G96" s="95" t="s">
        <v>269</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8"/>
      <c r="AA96" s="268"/>
    </row>
    <row r="97" spans="3:42" x14ac:dyDescent="0.25">
      <c r="D97"/>
      <c r="F97" t="s">
        <v>191</v>
      </c>
      <c r="G97" t="s">
        <v>269</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25">
      <c r="D98"/>
      <c r="F98" t="s">
        <v>192</v>
      </c>
      <c r="G98" t="s">
        <v>269</v>
      </c>
      <c r="H98" s="268"/>
      <c r="I98" s="268"/>
      <c r="J98" s="279">
        <f>'Initial unit rates'!J224</f>
        <v>7.1298906481428639E-3</v>
      </c>
      <c r="K98" s="279">
        <f>'Initial unit rates'!K224</f>
        <v>7.1298906481428639E-3</v>
      </c>
      <c r="L98" s="279">
        <f>'Initial unit rates'!L224</f>
        <v>7.5842289175104133E-3</v>
      </c>
      <c r="M98" s="279">
        <f>'Initial unit rates'!M224</f>
        <v>7.5842289175104133E-3</v>
      </c>
      <c r="N98" s="279">
        <f>'Initial unit rates'!N224</f>
        <v>5.7674932745677698E-3</v>
      </c>
      <c r="O98" s="279">
        <f>'Initial unit rates'!O224</f>
        <v>5.3265441872617824E-3</v>
      </c>
      <c r="P98" s="279">
        <f>'Initial unit rates'!P224</f>
        <v>4.8812247250128006E-3</v>
      </c>
      <c r="Q98" s="279">
        <f>'Initial unit rates'!Q224</f>
        <v>5.3253302103636428E-3</v>
      </c>
      <c r="R98" s="279">
        <f>'Initial unit rates'!R224</f>
        <v>-4.5443980786553694E-3</v>
      </c>
      <c r="S98" s="279">
        <f>'Initial unit rates'!S224</f>
        <v>-4.4844907593510619E-3</v>
      </c>
      <c r="T98" s="279">
        <f>'Initial unit rates'!T224</f>
        <v>-4.5443980786553694E-3</v>
      </c>
      <c r="U98" s="279">
        <f>'Initial unit rates'!U224</f>
        <v>-4.5443980786553694E-3</v>
      </c>
      <c r="V98" s="279">
        <f>'Initial unit rates'!V224</f>
        <v>-4.4844907593510619E-3</v>
      </c>
      <c r="W98" s="279">
        <f>'Initial unit rates'!W224</f>
        <v>-4.4844907593510619E-3</v>
      </c>
      <c r="X98" s="279">
        <f>'Initial unit rates'!X224</f>
        <v>-4.4245834400467527E-3</v>
      </c>
      <c r="Y98" s="279">
        <f>'Initial unit rates'!Y224</f>
        <v>-4.4245834400467527E-3</v>
      </c>
      <c r="Z98" s="268"/>
      <c r="AA98" s="268"/>
    </row>
    <row r="99" spans="3:42" x14ac:dyDescent="0.25">
      <c r="D99"/>
      <c r="F99" t="s">
        <v>193</v>
      </c>
      <c r="G99" t="s">
        <v>269</v>
      </c>
      <c r="H99" s="268"/>
      <c r="I99" s="268"/>
      <c r="J99" s="279">
        <f>'Initial unit rates'!J225</f>
        <v>1.0212960756742363E-3</v>
      </c>
      <c r="K99" s="279">
        <f>'Initial unit rates'!K225</f>
        <v>1.0212960756742363E-3</v>
      </c>
      <c r="L99" s="279">
        <f>'Initial unit rates'!L225</f>
        <v>1.0863761609704343E-3</v>
      </c>
      <c r="M99" s="279">
        <f>'Initial unit rates'!M225</f>
        <v>1.0863761609704343E-3</v>
      </c>
      <c r="N99" s="279">
        <f>'Initial unit rates'!N225</f>
        <v>8.2614426202004597E-4</v>
      </c>
      <c r="O99" s="279">
        <f>'Initial unit rates'!O225</f>
        <v>7.6298206295391557E-4</v>
      </c>
      <c r="P99" s="279">
        <f>'Initial unit rates'!P225</f>
        <v>6.99193844920767E-4</v>
      </c>
      <c r="Q99" s="279">
        <f>'Initial unit rates'!Q225</f>
        <v>7.6280817110855432E-4</v>
      </c>
      <c r="R99" s="279">
        <f>'Initial unit rates'!R225</f>
        <v>-6.509462982074157E-4</v>
      </c>
      <c r="S99" s="279">
        <f>'Initial unit rates'!S225</f>
        <v>-6.4236508523669638E-4</v>
      </c>
      <c r="T99" s="279">
        <f>'Initial unit rates'!T225</f>
        <v>-6.509462982074157E-4</v>
      </c>
      <c r="U99" s="279">
        <f>'Initial unit rates'!U225</f>
        <v>-6.509462982074157E-4</v>
      </c>
      <c r="V99" s="279">
        <f>'Initial unit rates'!V225</f>
        <v>-6.4236508523669638E-4</v>
      </c>
      <c r="W99" s="279">
        <f>'Initial unit rates'!W225</f>
        <v>-6.4236508523669638E-4</v>
      </c>
      <c r="X99" s="279">
        <f>'Initial unit rates'!X225</f>
        <v>-6.3378387226597718E-4</v>
      </c>
      <c r="Y99" s="279">
        <f>'Initial unit rates'!Y225</f>
        <v>-6.3378387226597718E-4</v>
      </c>
      <c r="Z99" s="268"/>
      <c r="AA99" s="268"/>
    </row>
    <row r="100" spans="3:42" x14ac:dyDescent="0.25">
      <c r="D100"/>
      <c r="F100" t="s">
        <v>194</v>
      </c>
      <c r="G100" t="s">
        <v>269</v>
      </c>
      <c r="H100" s="268"/>
      <c r="I100" s="268"/>
      <c r="J100" s="279">
        <f>'Initial unit rates'!J226</f>
        <v>1.0792712232539027E-2</v>
      </c>
      <c r="K100" s="279">
        <f>'Initial unit rates'!K226</f>
        <v>1.0792712232539027E-2</v>
      </c>
      <c r="L100" s="279">
        <f>'Initial unit rates'!L226</f>
        <v>1.148045660892592E-2</v>
      </c>
      <c r="M100" s="279">
        <f>'Initial unit rates'!M226</f>
        <v>1.148045660892592E-2</v>
      </c>
      <c r="N100" s="279">
        <f>'Initial unit rates'!N226</f>
        <v>8.730413731061596E-3</v>
      </c>
      <c r="O100" s="279">
        <f>'Initial unit rates'!O226</f>
        <v>8.0629369290528795E-3</v>
      </c>
      <c r="P100" s="279">
        <f>'Initial unit rates'!P226</f>
        <v>7.3888445698868741E-3</v>
      </c>
      <c r="Q100" s="279">
        <f>'Initial unit rates'!Q226</f>
        <v>8.0610992987209217E-3</v>
      </c>
      <c r="R100" s="279">
        <f>'Initial unit rates'!R226</f>
        <v>-6.8789807801338254E-3</v>
      </c>
      <c r="S100" s="279">
        <f>'Initial unit rates'!S226</f>
        <v>-6.7882974176838497E-3</v>
      </c>
      <c r="T100" s="279">
        <f>'Initial unit rates'!T226</f>
        <v>-6.8789807801338254E-3</v>
      </c>
      <c r="U100" s="279">
        <f>'Initial unit rates'!U226</f>
        <v>-6.8789807801338254E-3</v>
      </c>
      <c r="V100" s="279">
        <f>'Initial unit rates'!V226</f>
        <v>-6.7882974176838497E-3</v>
      </c>
      <c r="W100" s="279">
        <f>'Initial unit rates'!W226</f>
        <v>-6.7882974176838497E-3</v>
      </c>
      <c r="X100" s="279">
        <f>'Initial unit rates'!X226</f>
        <v>-6.6976140552338741E-3</v>
      </c>
      <c r="Y100" s="279">
        <f>'Initial unit rates'!Y226</f>
        <v>-6.6976140552338741E-3</v>
      </c>
      <c r="Z100" s="268"/>
      <c r="AA100" s="268"/>
    </row>
    <row r="101" spans="3:42" x14ac:dyDescent="0.25">
      <c r="D101"/>
      <c r="F101" t="s">
        <v>195</v>
      </c>
      <c r="G101" t="s">
        <v>269</v>
      </c>
      <c r="H101" s="268"/>
      <c r="I101" s="268"/>
      <c r="J101" s="279">
        <f>'Initial unit rates'!J227</f>
        <v>8.5365945475937496E-3</v>
      </c>
      <c r="K101" s="279">
        <f>'Initial unit rates'!K227</f>
        <v>8.5365945475937496E-3</v>
      </c>
      <c r="L101" s="279">
        <f>'Initial unit rates'!L227</f>
        <v>9.0805722583958675E-3</v>
      </c>
      <c r="M101" s="279">
        <f>'Initial unit rates'!M227</f>
        <v>9.0805722583958675E-3</v>
      </c>
      <c r="N101" s="279">
        <f>'Initial unit rates'!N227</f>
        <v>6.9054006675099708E-3</v>
      </c>
      <c r="O101" s="279">
        <f>'Initial unit rates'!O227</f>
        <v>6.3774537802118881E-3</v>
      </c>
      <c r="P101" s="279">
        <f>'Initial unit rates'!P227</f>
        <v>5.8442742574148299E-3</v>
      </c>
      <c r="Q101" s="279">
        <f>'Initial unit rates'!Q227</f>
        <v>6.3760002896773227E-3</v>
      </c>
      <c r="R101" s="279">
        <f>'Initial unit rates'!R227</f>
        <v>-5.4409928251072971E-3</v>
      </c>
      <c r="S101" s="279">
        <f>'Initial unit rates'!S227</f>
        <v>-5.3692659893714197E-3</v>
      </c>
      <c r="T101" s="279">
        <f>'Initial unit rates'!T227</f>
        <v>-5.4409928251072971E-3</v>
      </c>
      <c r="U101" s="279">
        <f>'Initial unit rates'!U227</f>
        <v>-5.4409928251072971E-3</v>
      </c>
      <c r="V101" s="279">
        <f>'Initial unit rates'!V227</f>
        <v>-5.3692659893714197E-3</v>
      </c>
      <c r="W101" s="279">
        <f>'Initial unit rates'!W227</f>
        <v>-5.3692659893714197E-3</v>
      </c>
      <c r="X101" s="279">
        <f>'Initial unit rates'!X227</f>
        <v>-5.2975391536355413E-3</v>
      </c>
      <c r="Y101" s="279">
        <f>'Initial unit rates'!Y227</f>
        <v>-5.2975391536355413E-3</v>
      </c>
      <c r="Z101" s="268"/>
      <c r="AA101" s="268"/>
    </row>
    <row r="102" spans="3:42" x14ac:dyDescent="0.25">
      <c r="D102"/>
      <c r="F102" t="s">
        <v>196</v>
      </c>
      <c r="G102" t="s">
        <v>269</v>
      </c>
      <c r="H102" s="268"/>
      <c r="I102" s="268"/>
      <c r="J102" s="279">
        <f>'Initial unit rates'!J228</f>
        <v>0</v>
      </c>
      <c r="K102" s="279">
        <f>'Initial unit rates'!K228</f>
        <v>0</v>
      </c>
      <c r="L102" s="279">
        <f>'Initial unit rates'!L228</f>
        <v>0</v>
      </c>
      <c r="M102" s="279">
        <f>'Initial unit rates'!M228</f>
        <v>0</v>
      </c>
      <c r="N102" s="279">
        <f>'Initial unit rates'!N228</f>
        <v>0</v>
      </c>
      <c r="O102" s="279">
        <f>'Initial unit rates'!O228</f>
        <v>0</v>
      </c>
      <c r="P102" s="279">
        <f>'Initial unit rates'!P228</f>
        <v>0</v>
      </c>
      <c r="Q102" s="279">
        <f>'Initial unit rates'!Q228</f>
        <v>0</v>
      </c>
      <c r="R102" s="279">
        <f>'Initial unit rates'!R228</f>
        <v>0</v>
      </c>
      <c r="S102" s="279">
        <f>'Initial unit rates'!S228</f>
        <v>0</v>
      </c>
      <c r="T102" s="279">
        <f>'Initial unit rates'!T228</f>
        <v>0</v>
      </c>
      <c r="U102" s="279">
        <f>'Initial unit rates'!U228</f>
        <v>0</v>
      </c>
      <c r="V102" s="279">
        <f>'Initial unit rates'!V228</f>
        <v>0</v>
      </c>
      <c r="W102" s="279">
        <f>'Initial unit rates'!W228</f>
        <v>0</v>
      </c>
      <c r="X102" s="279">
        <f>'Initial unit rates'!X228</f>
        <v>0</v>
      </c>
      <c r="Y102" s="279">
        <f>'Initial unit rates'!Y228</f>
        <v>0</v>
      </c>
      <c r="Z102" s="268"/>
      <c r="AA102" s="268"/>
    </row>
    <row r="103" spans="3:42" x14ac:dyDescent="0.25">
      <c r="D103"/>
      <c r="F103" t="s">
        <v>197</v>
      </c>
      <c r="G103" t="s">
        <v>269</v>
      </c>
      <c r="H103" s="268"/>
      <c r="I103" s="268"/>
      <c r="J103" s="279">
        <f>'Initial unit rates'!J229</f>
        <v>3.9311092332712315E-2</v>
      </c>
      <c r="K103" s="279">
        <f>'Initial unit rates'!K229</f>
        <v>3.9311092332712315E-2</v>
      </c>
      <c r="L103" s="279">
        <f>'Initial unit rates'!L229</f>
        <v>4.1816114434565246E-2</v>
      </c>
      <c r="M103" s="279">
        <f>'Initial unit rates'!M229</f>
        <v>4.1816114434565246E-2</v>
      </c>
      <c r="N103" s="279">
        <f>'Initial unit rates'!N229</f>
        <v>3.1799430290545438E-2</v>
      </c>
      <c r="O103" s="279">
        <f>'Initial unit rates'!O229</f>
        <v>2.9368230270721021E-2</v>
      </c>
      <c r="P103" s="279">
        <f>'Initial unit rates'!P229</f>
        <v>2.6912933918794044E-2</v>
      </c>
      <c r="Q103" s="279">
        <f>'Initial unit rates'!Q229</f>
        <v>2.9361536934134576E-2</v>
      </c>
      <c r="R103" s="279">
        <f>'Initial unit rates'!R229</f>
        <v>-2.5055819406312178E-2</v>
      </c>
      <c r="S103" s="279">
        <f>'Initial unit rates'!S229</f>
        <v>-2.4725516702274165E-2</v>
      </c>
      <c r="T103" s="279">
        <f>'Initial unit rates'!T229</f>
        <v>-2.5055819406312178E-2</v>
      </c>
      <c r="U103" s="279">
        <f>'Initial unit rates'!U229</f>
        <v>-2.5055819406312178E-2</v>
      </c>
      <c r="V103" s="279">
        <f>'Initial unit rates'!V229</f>
        <v>-2.4725516702274165E-2</v>
      </c>
      <c r="W103" s="279">
        <f>'Initial unit rates'!W229</f>
        <v>-2.4725516702274165E-2</v>
      </c>
      <c r="X103" s="279">
        <f>'Initial unit rates'!X229</f>
        <v>0</v>
      </c>
      <c r="Y103" s="279">
        <f>'Initial unit rates'!Y229</f>
        <v>0</v>
      </c>
      <c r="Z103" s="268"/>
      <c r="AA103" s="268"/>
    </row>
    <row r="104" spans="3:42" x14ac:dyDescent="0.25">
      <c r="D104"/>
      <c r="F104" t="s">
        <v>198</v>
      </c>
      <c r="G104" t="s">
        <v>269</v>
      </c>
      <c r="H104" s="268"/>
      <c r="I104" s="268"/>
      <c r="J104" s="279">
        <f>'Initial unit rates'!J230</f>
        <v>1.6128752325703943E-2</v>
      </c>
      <c r="K104" s="279">
        <f>'Initial unit rates'!K230</f>
        <v>1.6128752325703943E-2</v>
      </c>
      <c r="L104" s="279">
        <f>'Initial unit rates'!L230</f>
        <v>1.7156525370249424E-2</v>
      </c>
      <c r="M104" s="279">
        <f>'Initial unit rates'!M230</f>
        <v>1.7156525370249424E-2</v>
      </c>
      <c r="N104" s="279">
        <f>'Initial unit rates'!N230</f>
        <v>1.3046829910343222E-2</v>
      </c>
      <c r="O104" s="279">
        <f>'Initial unit rates'!O230</f>
        <v>1.2049344960240104E-2</v>
      </c>
      <c r="P104" s="279">
        <f>'Initial unit rates'!P230</f>
        <v>0</v>
      </c>
      <c r="Q104" s="279">
        <f>'Initial unit rates'!Q230</f>
        <v>1.2046598784501164E-2</v>
      </c>
      <c r="R104" s="279">
        <f>'Initial unit rates'!R230</f>
        <v>-1.0280027380101368E-2</v>
      </c>
      <c r="S104" s="279">
        <f>'Initial unit rates'!S230</f>
        <v>0</v>
      </c>
      <c r="T104" s="279">
        <f>'Initial unit rates'!T230</f>
        <v>-1.0280027380101368E-2</v>
      </c>
      <c r="U104" s="279">
        <f>'Initial unit rates'!U230</f>
        <v>-1.0280027380101368E-2</v>
      </c>
      <c r="V104" s="279">
        <f>'Initial unit rates'!V230</f>
        <v>0</v>
      </c>
      <c r="W104" s="279">
        <f>'Initial unit rates'!W230</f>
        <v>0</v>
      </c>
      <c r="X104" s="279">
        <f>'Initial unit rates'!X230</f>
        <v>0</v>
      </c>
      <c r="Y104" s="279">
        <f>'Initial unit rates'!Y230</f>
        <v>0</v>
      </c>
      <c r="Z104" s="268"/>
      <c r="AA104" s="268"/>
    </row>
    <row r="105" spans="3:42" x14ac:dyDescent="0.25">
      <c r="D105"/>
      <c r="F105" t="s">
        <v>199</v>
      </c>
      <c r="G105" t="s">
        <v>269</v>
      </c>
      <c r="H105" s="268"/>
      <c r="I105" s="268"/>
      <c r="J105" s="279">
        <f>'Initial unit rates'!J231</f>
        <v>3.9802616544271953E-2</v>
      </c>
      <c r="K105" s="279">
        <f>'Initial unit rates'!K231</f>
        <v>3.9802616544271953E-2</v>
      </c>
      <c r="L105" s="279">
        <f>'Initial unit rates'!L231</f>
        <v>4.2338960060527009E-2</v>
      </c>
      <c r="M105" s="279">
        <f>'Initial unit rates'!M231</f>
        <v>4.2338960060527009E-2</v>
      </c>
      <c r="N105" s="279">
        <f>'Initial unit rates'!N231</f>
        <v>3.2197032823930133E-2</v>
      </c>
      <c r="O105" s="279">
        <f>'Initial unit rates'!O231</f>
        <v>0</v>
      </c>
      <c r="P105" s="279">
        <f>'Initial unit rates'!P231</f>
        <v>0</v>
      </c>
      <c r="Q105" s="279">
        <f>'Initial unit rates'!Q231</f>
        <v>2.9728657393916873E-2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25">
      <c r="D106"/>
      <c r="F106" s="95" t="s">
        <v>334</v>
      </c>
      <c r="G106" s="95" t="s">
        <v>269</v>
      </c>
      <c r="H106" s="266"/>
      <c r="I106" s="266" t="s">
        <v>154</v>
      </c>
      <c r="J106" s="280"/>
      <c r="K106" s="280"/>
      <c r="L106" s="280"/>
      <c r="M106" s="280"/>
      <c r="N106" s="280"/>
      <c r="O106" s="280"/>
      <c r="P106" s="280"/>
      <c r="Q106" s="278">
        <f>'Service model charges'!$Q$44</f>
        <v>1.221008124060708</v>
      </c>
      <c r="R106" s="280"/>
      <c r="S106" s="280"/>
      <c r="T106" s="280"/>
      <c r="U106" s="280"/>
      <c r="V106" s="280"/>
      <c r="W106" s="280"/>
      <c r="X106" s="280"/>
      <c r="Y106" s="280"/>
      <c r="Z106" s="268"/>
      <c r="AA106" s="268" t="s">
        <v>611</v>
      </c>
    </row>
    <row r="107" spans="3:42" x14ac:dyDescent="0.25">
      <c r="D107"/>
      <c r="F107" s="96" t="s">
        <v>335</v>
      </c>
      <c r="G107" s="96" t="s">
        <v>269</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25">
      <c r="C109" s="93" t="str">
        <f ca="1">INDEX('Version control'!$H$41:$H$64,MATCH($A$1,'Version control'!$F$41:$F$64,0),1)&amp;"-D: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25">
      <c r="D110" s="75"/>
      <c r="E110" s="75"/>
      <c r="J110" s="97"/>
      <c r="K110" s="97"/>
      <c r="L110" s="97"/>
      <c r="M110" s="97"/>
      <c r="N110" s="97"/>
      <c r="O110" s="97"/>
      <c r="P110" s="97"/>
      <c r="Q110" s="97"/>
      <c r="R110" s="97"/>
      <c r="S110" s="97"/>
      <c r="T110" s="97"/>
      <c r="U110" s="97"/>
      <c r="V110" s="97"/>
      <c r="W110" s="97"/>
      <c r="X110" s="97"/>
      <c r="Y110" s="97"/>
    </row>
    <row r="111" spans="3:42" x14ac:dyDescent="0.25">
      <c r="D111"/>
      <c r="E111" s="75" t="s">
        <v>121</v>
      </c>
      <c r="H111" s="62"/>
      <c r="I111" t="s">
        <v>154</v>
      </c>
      <c r="J111" s="97"/>
      <c r="L111" s="97"/>
      <c r="AA111" t="s">
        <v>203</v>
      </c>
      <c r="AP111" s="3"/>
    </row>
    <row r="112" spans="3:42" x14ac:dyDescent="0.25">
      <c r="C112" s="75"/>
      <c r="D112"/>
      <c r="E112"/>
      <c r="F112" s="95" t="s">
        <v>191</v>
      </c>
      <c r="G112" s="95" t="s">
        <v>167</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25">
      <c r="C113" s="75"/>
      <c r="D113"/>
      <c r="E113"/>
      <c r="F113" t="s">
        <v>192</v>
      </c>
      <c r="G113" t="s">
        <v>167</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0</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25">
      <c r="C114" s="75"/>
      <c r="D114"/>
      <c r="E114"/>
      <c r="F114" t="s">
        <v>193</v>
      </c>
      <c r="G114" t="s">
        <v>167</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25">
      <c r="C115" s="75"/>
      <c r="D115"/>
      <c r="E115"/>
      <c r="F115" t="s">
        <v>194</v>
      </c>
      <c r="G115" t="s">
        <v>167</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25">
      <c r="C116" s="75"/>
      <c r="D116"/>
      <c r="E116"/>
      <c r="F116" t="s">
        <v>195</v>
      </c>
      <c r="G116" t="s">
        <v>167</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25">
      <c r="C117" s="75"/>
      <c r="D117"/>
      <c r="E117"/>
      <c r="F117" t="s">
        <v>196</v>
      </c>
      <c r="G117" t="s">
        <v>167</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25">
      <c r="C118" s="75"/>
      <c r="D118"/>
      <c r="E118"/>
      <c r="F118" t="s">
        <v>197</v>
      </c>
      <c r="G118" t="s">
        <v>167</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25">
      <c r="C119" s="75"/>
      <c r="D119"/>
      <c r="E119"/>
      <c r="F119" t="s">
        <v>198</v>
      </c>
      <c r="G119" t="s">
        <v>167</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25">
      <c r="C120" s="75"/>
      <c r="D120"/>
      <c r="E120"/>
      <c r="F120" s="96" t="s">
        <v>199</v>
      </c>
      <c r="G120" s="96" t="s">
        <v>167</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25">
      <c r="B122" s="85" t="s">
        <v>612</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25">
      <c r="C124" s="93" t="str">
        <f ca="1">INDEX('Version control'!$H$41:$H$64,MATCH($A$1,'Version control'!$F$41:$F$64,0),1)&amp;"-E: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25">
      <c r="C125" s="75"/>
      <c r="D125"/>
      <c r="E125" s="75"/>
      <c r="I125" t="s">
        <v>154</v>
      </c>
      <c r="AA125" t="s">
        <v>613</v>
      </c>
    </row>
    <row r="126" spans="2:42" x14ac:dyDescent="0.25">
      <c r="E126" s="75" t="s">
        <v>578</v>
      </c>
    </row>
    <row r="127" spans="2:42" x14ac:dyDescent="0.25">
      <c r="F127" s="95" t="s">
        <v>189</v>
      </c>
      <c r="G127" s="95" t="s">
        <v>269</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25">
      <c r="F128" t="s">
        <v>191</v>
      </c>
      <c r="G128" t="s">
        <v>269</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25">
      <c r="F129" t="s">
        <v>192</v>
      </c>
      <c r="G129" t="s">
        <v>269</v>
      </c>
      <c r="H129" s="268"/>
      <c r="I129" s="268"/>
      <c r="J129" s="282">
        <f t="shared" ref="J129:K129" si="14">J24 * (1 - J$113)</f>
        <v>3.73452048891926</v>
      </c>
      <c r="K129" s="282">
        <f t="shared" si="14"/>
        <v>3.73452048891926</v>
      </c>
      <c r="L129" s="282">
        <f t="shared" ref="L129:M129" si="15">L24 * (1 - L$113)</f>
        <v>3.9724954677213793</v>
      </c>
      <c r="M129" s="282">
        <f t="shared" si="15"/>
        <v>3.9724954677213793</v>
      </c>
      <c r="N129" s="282">
        <f t="shared" ref="N129:P129" si="16">N24 * (1 - N$113)</f>
        <v>3.0209189546529194</v>
      </c>
      <c r="O129" s="282">
        <f t="shared" si="16"/>
        <v>2.7899570111421332</v>
      </c>
      <c r="P129" s="282">
        <f t="shared" si="16"/>
        <v>2.556705936482734</v>
      </c>
      <c r="Q129" s="282">
        <f t="shared" ref="Q129:S129" si="17">Q24 * (1 - Q$113)</f>
        <v>8.3456390656286406</v>
      </c>
      <c r="R129" s="282">
        <f t="shared" si="17"/>
        <v>-2.3802816301206953</v>
      </c>
      <c r="S129" s="282">
        <f t="shared" si="17"/>
        <v>-2.3489031528874658</v>
      </c>
      <c r="T129" s="282">
        <f t="shared" ref="T129:U129" si="18">T24 * (1 - T$113)</f>
        <v>-2.3802816301206953</v>
      </c>
      <c r="U129" s="282">
        <f t="shared" si="18"/>
        <v>-2.3802816301206953</v>
      </c>
      <c r="V129" s="282">
        <f t="shared" ref="V129:W129" si="19">V24 * (1 - V$113)</f>
        <v>-2.3489031528874658</v>
      </c>
      <c r="W129" s="282">
        <f t="shared" si="19"/>
        <v>-2.3489031528874658</v>
      </c>
      <c r="X129" s="282">
        <f t="shared" ref="X129:Y129" si="20">X24 * (1 - X$113)</f>
        <v>-2.3175246756542367</v>
      </c>
      <c r="Y129" s="282">
        <f t="shared" si="20"/>
        <v>-2.3175246756542367</v>
      </c>
      <c r="Z129" s="268"/>
      <c r="AA129" s="268"/>
    </row>
    <row r="130" spans="4:27" x14ac:dyDescent="0.25">
      <c r="F130" t="s">
        <v>193</v>
      </c>
      <c r="G130" t="s">
        <v>269</v>
      </c>
      <c r="H130" s="268"/>
      <c r="I130" s="268"/>
      <c r="J130" s="282">
        <f t="shared" ref="J130:K130" si="21">J25 * (1 - J$114)</f>
        <v>0.5349382351118841</v>
      </c>
      <c r="K130" s="282">
        <f t="shared" si="21"/>
        <v>0.5349382351118841</v>
      </c>
      <c r="L130" s="282">
        <f t="shared" ref="L130:M130" si="22">L25 * (1 - L$114)</f>
        <v>0.56902612284443577</v>
      </c>
      <c r="M130" s="282">
        <f t="shared" si="22"/>
        <v>0.56902612284443577</v>
      </c>
      <c r="N130" s="282">
        <f t="shared" ref="N130:P130" si="23">N25 * (1 - N$114)</f>
        <v>0.43272089651481049</v>
      </c>
      <c r="O130" s="282">
        <f t="shared" si="23"/>
        <v>0.3996375663238908</v>
      </c>
      <c r="P130" s="282">
        <f t="shared" si="23"/>
        <v>0.36622633760350476</v>
      </c>
      <c r="Q130" s="282">
        <f t="shared" ref="Q130:S130" si="24">Q25 * (1 - Q$114)</f>
        <v>1.1954416760852047</v>
      </c>
      <c r="R130" s="282">
        <f t="shared" si="24"/>
        <v>-0.34095505917400581</v>
      </c>
      <c r="S130" s="282">
        <f t="shared" si="24"/>
        <v>-0.33646035971220151</v>
      </c>
      <c r="T130" s="282">
        <f t="shared" ref="T130:U130" si="25">T25 * (1 - T$114)</f>
        <v>-0.34095505917400581</v>
      </c>
      <c r="U130" s="282">
        <f t="shared" si="25"/>
        <v>-0.34095505917400581</v>
      </c>
      <c r="V130" s="282">
        <f t="shared" ref="V130:W130" si="26">V25 * (1 - V$114)</f>
        <v>-0.33646035971220151</v>
      </c>
      <c r="W130" s="282">
        <f t="shared" si="26"/>
        <v>-0.33646035971220151</v>
      </c>
      <c r="X130" s="282">
        <f t="shared" ref="X130:Y130" si="27">X25 * (1 - X$114)</f>
        <v>-0.33196566025039737</v>
      </c>
      <c r="Y130" s="282">
        <f t="shared" si="27"/>
        <v>-0.33196566025039737</v>
      </c>
      <c r="Z130" s="268"/>
      <c r="AA130" s="268"/>
    </row>
    <row r="131" spans="4:27" x14ac:dyDescent="0.25">
      <c r="F131" t="s">
        <v>194</v>
      </c>
      <c r="G131" t="s">
        <v>269</v>
      </c>
      <c r="H131" s="268"/>
      <c r="I131" s="268"/>
      <c r="J131" s="282">
        <f t="shared" ref="J131:K131" si="28">J26 * (1 - J$115)</f>
        <v>1.156873405471248</v>
      </c>
      <c r="K131" s="282">
        <f t="shared" si="28"/>
        <v>1.156873405471248</v>
      </c>
      <c r="L131" s="282">
        <f t="shared" ref="L131:M131" si="29">L26 * (1 - L$115)</f>
        <v>1.2305928896622234</v>
      </c>
      <c r="M131" s="282">
        <f t="shared" si="29"/>
        <v>1.2305928896622234</v>
      </c>
      <c r="N131" s="282">
        <f t="shared" ref="N131:P131" si="30">N26 * (1 - N$115)</f>
        <v>0.93581513586322251</v>
      </c>
      <c r="O131" s="282">
        <f t="shared" si="30"/>
        <v>0.86426813781718825</v>
      </c>
      <c r="P131" s="282">
        <f t="shared" si="30"/>
        <v>0.63360961329379051</v>
      </c>
      <c r="Q131" s="282">
        <f t="shared" ref="Q131:S131" si="31">Q26 * (1 - Q$115)</f>
        <v>2.5567564746531457</v>
      </c>
      <c r="R131" s="282">
        <f t="shared" si="31"/>
        <v>-0.73735959505078963</v>
      </c>
      <c r="S131" s="282">
        <f t="shared" si="31"/>
        <v>-0.72763922374126888</v>
      </c>
      <c r="T131" s="282">
        <f t="shared" ref="T131:U131" si="32">T26 * (1 - T$115)</f>
        <v>-0.73735959505078963</v>
      </c>
      <c r="U131" s="282">
        <f t="shared" si="32"/>
        <v>-0.73735959505078963</v>
      </c>
      <c r="V131" s="282">
        <f t="shared" ref="V131:W131" si="33">V26 * (1 - V$115)</f>
        <v>-0.72763922374126888</v>
      </c>
      <c r="W131" s="282">
        <f t="shared" si="33"/>
        <v>-0.72763922374126888</v>
      </c>
      <c r="X131" s="282">
        <f t="shared" ref="X131:Y131" si="34">X26 * (1 - X$115)</f>
        <v>-0.71791885243174802</v>
      </c>
      <c r="Y131" s="282">
        <f t="shared" si="34"/>
        <v>-0.71791885243174802</v>
      </c>
      <c r="Z131" s="268"/>
      <c r="AA131" s="268"/>
    </row>
    <row r="132" spans="4:27" x14ac:dyDescent="0.25">
      <c r="F132" t="s">
        <v>195</v>
      </c>
      <c r="G132" t="s">
        <v>269</v>
      </c>
      <c r="H132" s="268"/>
      <c r="I132" s="268"/>
      <c r="J132" s="282">
        <f t="shared" ref="J132:K132" si="35">J27 * (1 - J$116)</f>
        <v>0.91503961123206545</v>
      </c>
      <c r="K132" s="282">
        <f t="shared" si="35"/>
        <v>0.91503961123206545</v>
      </c>
      <c r="L132" s="282">
        <f t="shared" ref="L132:M132" si="36">L27 * (1 - L$116)</f>
        <v>0.97334871215470287</v>
      </c>
      <c r="M132" s="282">
        <f t="shared" si="36"/>
        <v>0.97334871215470287</v>
      </c>
      <c r="N132" s="282">
        <f t="shared" ref="N132:P132" si="37">N27 * (1 - N$116)</f>
        <v>0.74019154909741569</v>
      </c>
      <c r="O132" s="282">
        <f t="shared" si="37"/>
        <v>0.68360079598022705</v>
      </c>
      <c r="P132" s="282">
        <f t="shared" si="37"/>
        <v>0</v>
      </c>
      <c r="Q132" s="282">
        <f t="shared" ref="Q132:S132" si="38">Q27 * (1 - Q$116)</f>
        <v>2.022289940729237</v>
      </c>
      <c r="R132" s="282">
        <f t="shared" si="38"/>
        <v>-0.58322132223159362</v>
      </c>
      <c r="S132" s="282">
        <f t="shared" si="38"/>
        <v>-0.57553290555434089</v>
      </c>
      <c r="T132" s="282">
        <f t="shared" ref="T132:U132" si="39">T27 * (1 - T$116)</f>
        <v>-0.58322132223159362</v>
      </c>
      <c r="U132" s="282">
        <f t="shared" si="39"/>
        <v>-0.58322132223159362</v>
      </c>
      <c r="V132" s="282">
        <f t="shared" ref="V132:W132" si="40">V27 * (1 - V$116)</f>
        <v>-0.57553290555434089</v>
      </c>
      <c r="W132" s="282">
        <f t="shared" si="40"/>
        <v>-0.57553290555434089</v>
      </c>
      <c r="X132" s="282">
        <f t="shared" ref="X132:Y132" si="41">X27 * (1 - X$116)</f>
        <v>-0.56784448887708816</v>
      </c>
      <c r="Y132" s="282">
        <f t="shared" si="41"/>
        <v>-0.56784448887708816</v>
      </c>
      <c r="Z132" s="268"/>
      <c r="AA132" s="268"/>
    </row>
    <row r="133" spans="4:27" x14ac:dyDescent="0.25">
      <c r="F133" t="s">
        <v>196</v>
      </c>
      <c r="G133" t="s">
        <v>269</v>
      </c>
      <c r="H133" s="268"/>
      <c r="I133" s="268"/>
      <c r="J133" s="282">
        <f t="shared" ref="J133:K133" si="42">J28 * (1 - J$117)</f>
        <v>0</v>
      </c>
      <c r="K133" s="282">
        <f t="shared" si="42"/>
        <v>0</v>
      </c>
      <c r="L133" s="282">
        <f t="shared" ref="L133:M133" si="43">L28 * (1 - L$117)</f>
        <v>0</v>
      </c>
      <c r="M133" s="282">
        <f t="shared" si="43"/>
        <v>0</v>
      </c>
      <c r="N133" s="282">
        <f t="shared" ref="N133:P133" si="44">N28 * (1 - N$117)</f>
        <v>0</v>
      </c>
      <c r="O133" s="282">
        <f t="shared" si="44"/>
        <v>0</v>
      </c>
      <c r="P133" s="282">
        <f t="shared" si="44"/>
        <v>0</v>
      </c>
      <c r="Q133" s="282">
        <f t="shared" ref="Q133:S133" si="45">Q28 * (1 - Q$117)</f>
        <v>0</v>
      </c>
      <c r="R133" s="282">
        <f t="shared" si="45"/>
        <v>0</v>
      </c>
      <c r="S133" s="282">
        <f t="shared" si="45"/>
        <v>0</v>
      </c>
      <c r="T133" s="282">
        <f t="shared" ref="T133:U133" si="46">T28 * (1 - T$117)</f>
        <v>0</v>
      </c>
      <c r="U133" s="282">
        <f t="shared" si="46"/>
        <v>0</v>
      </c>
      <c r="V133" s="282">
        <f t="shared" ref="V133:W133" si="47">V28 * (1 - V$117)</f>
        <v>0</v>
      </c>
      <c r="W133" s="282">
        <f t="shared" si="47"/>
        <v>0</v>
      </c>
      <c r="X133" s="282">
        <f t="shared" ref="X133:Y133" si="48">X28 * (1 - X$117)</f>
        <v>0</v>
      </c>
      <c r="Y133" s="282">
        <f t="shared" si="48"/>
        <v>0</v>
      </c>
      <c r="Z133" s="268"/>
      <c r="AA133" s="268"/>
    </row>
    <row r="134" spans="4:27" x14ac:dyDescent="0.25">
      <c r="F134" t="s">
        <v>197</v>
      </c>
      <c r="G134" t="s">
        <v>269</v>
      </c>
      <c r="H134" s="268"/>
      <c r="I134" s="268"/>
      <c r="J134" s="282">
        <f t="shared" ref="J134:K134" si="49">J29 * (1 - J$118)</f>
        <v>4.2137653890768751</v>
      </c>
      <c r="K134" s="282">
        <f t="shared" si="49"/>
        <v>4.2137653890768751</v>
      </c>
      <c r="L134" s="282">
        <f t="shared" ref="L134:M134" si="50">L29 * (1 - L$118)</f>
        <v>4.4822793072942231</v>
      </c>
      <c r="M134" s="282">
        <f t="shared" si="50"/>
        <v>4.4822793072942231</v>
      </c>
      <c r="N134" s="282">
        <f t="shared" ref="N134:P134" si="51">N29 * (1 - N$118)</f>
        <v>2.7268708305856029</v>
      </c>
      <c r="O134" s="282">
        <f t="shared" si="51"/>
        <v>0</v>
      </c>
      <c r="P134" s="282">
        <f t="shared" si="51"/>
        <v>0</v>
      </c>
      <c r="Q134" s="282">
        <f t="shared" ref="Q134:S134" si="52">Q29 * (1 - Q$118)</f>
        <v>9.3126628118856765</v>
      </c>
      <c r="R134" s="282">
        <f t="shared" si="52"/>
        <v>-2.6857392746988666</v>
      </c>
      <c r="S134" s="282">
        <f t="shared" si="52"/>
        <v>-2.6503340488553788</v>
      </c>
      <c r="T134" s="282">
        <f t="shared" ref="T134:U134" si="53">T29 * (1 - T$118)</f>
        <v>-2.6857392746988666</v>
      </c>
      <c r="U134" s="282">
        <f t="shared" si="53"/>
        <v>-2.6857392746988666</v>
      </c>
      <c r="V134" s="282">
        <f t="shared" ref="V134:W134" si="54">V29 * (1 - V$118)</f>
        <v>-2.6503340488553788</v>
      </c>
      <c r="W134" s="282">
        <f t="shared" si="54"/>
        <v>-2.6503340488553788</v>
      </c>
      <c r="X134" s="282">
        <f t="shared" ref="X134:Y134" si="55">X29 * (1 - X$118)</f>
        <v>0</v>
      </c>
      <c r="Y134" s="282">
        <f t="shared" si="55"/>
        <v>0</v>
      </c>
      <c r="Z134" s="268"/>
      <c r="AA134" s="268"/>
    </row>
    <row r="135" spans="4:27" x14ac:dyDescent="0.25">
      <c r="F135" t="s">
        <v>198</v>
      </c>
      <c r="G135" t="s">
        <v>269</v>
      </c>
      <c r="H135" s="268"/>
      <c r="I135" s="268"/>
      <c r="J135" s="282">
        <f t="shared" ref="J135:K135" si="56">J30 * (1 - J$119)</f>
        <v>1.7288448192646617</v>
      </c>
      <c r="K135" s="282">
        <f t="shared" si="56"/>
        <v>1.7288448192646617</v>
      </c>
      <c r="L135" s="282">
        <f t="shared" ref="L135:M135" si="57">L30 * (1 - L$119)</f>
        <v>1.8390120577193432</v>
      </c>
      <c r="M135" s="282">
        <f t="shared" si="57"/>
        <v>1.8390120577193432</v>
      </c>
      <c r="N135" s="282">
        <f t="shared" ref="N135:P135" si="58">N30 * (1 - N$119)</f>
        <v>0</v>
      </c>
      <c r="O135" s="282">
        <f t="shared" si="58"/>
        <v>0</v>
      </c>
      <c r="P135" s="282">
        <f t="shared" si="58"/>
        <v>0</v>
      </c>
      <c r="Q135" s="282">
        <f t="shared" ref="Q135:S135" si="59">Q30 * (1 - Q$119)</f>
        <v>3.8208460531815098</v>
      </c>
      <c r="R135" s="282">
        <f t="shared" si="59"/>
        <v>-1.1019185935209304</v>
      </c>
      <c r="S135" s="282">
        <f t="shared" si="59"/>
        <v>0</v>
      </c>
      <c r="T135" s="282">
        <f t="shared" ref="T135:U135" si="60">T30 * (1 - T$119)</f>
        <v>-1.1019185935209304</v>
      </c>
      <c r="U135" s="282">
        <f t="shared" si="60"/>
        <v>-1.1019185935209304</v>
      </c>
      <c r="V135" s="282">
        <f t="shared" ref="V135:W135" si="61">V30 * (1 - V$119)</f>
        <v>0</v>
      </c>
      <c r="W135" s="282">
        <f t="shared" si="61"/>
        <v>0</v>
      </c>
      <c r="X135" s="282">
        <f t="shared" ref="X135:Y135" si="62">X30 * (1 - X$119)</f>
        <v>0</v>
      </c>
      <c r="Y135" s="282">
        <f t="shared" si="62"/>
        <v>0</v>
      </c>
      <c r="Z135" s="268"/>
      <c r="AA135" s="268"/>
    </row>
    <row r="136" spans="4:27" x14ac:dyDescent="0.25">
      <c r="F136" t="s">
        <v>199</v>
      </c>
      <c r="G136" t="s">
        <v>269</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9.4291032101170913</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25">
      <c r="D137"/>
      <c r="F137" s="95" t="s">
        <v>334</v>
      </c>
      <c r="G137" s="95" t="s">
        <v>269</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25">
      <c r="D138"/>
      <c r="F138" s="96" t="s">
        <v>335</v>
      </c>
      <c r="G138" s="96" t="s">
        <v>269</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25">
      <c r="E139"/>
      <c r="J139" s="106"/>
      <c r="K139" s="106"/>
      <c r="L139" s="106"/>
      <c r="M139" s="106"/>
      <c r="N139" s="106"/>
      <c r="O139" s="106"/>
      <c r="P139" s="106"/>
      <c r="Q139" s="106"/>
      <c r="R139" s="106"/>
      <c r="S139" s="106"/>
      <c r="T139" s="106"/>
      <c r="U139" s="106"/>
      <c r="V139" s="106"/>
      <c r="W139" s="106"/>
      <c r="X139" s="106"/>
      <c r="Y139" s="106"/>
    </row>
    <row r="140" spans="4:27" x14ac:dyDescent="0.25">
      <c r="E140" s="75" t="s">
        <v>579</v>
      </c>
      <c r="J140" s="106"/>
      <c r="K140" s="106"/>
      <c r="L140" s="106"/>
      <c r="M140" s="106"/>
      <c r="N140" s="106"/>
      <c r="O140" s="106"/>
      <c r="P140" s="106"/>
      <c r="Q140" s="106"/>
      <c r="R140" s="106"/>
      <c r="S140" s="106"/>
      <c r="T140" s="106"/>
      <c r="U140" s="106"/>
      <c r="V140" s="106"/>
      <c r="W140" s="106"/>
      <c r="X140" s="106"/>
      <c r="Y140" s="106"/>
    </row>
    <row r="141" spans="4:27" x14ac:dyDescent="0.25">
      <c r="F141" s="95" t="s">
        <v>189</v>
      </c>
      <c r="G141" s="95" t="s">
        <v>269</v>
      </c>
      <c r="H141" s="266"/>
      <c r="I141" s="266"/>
      <c r="J141" s="281">
        <f t="shared" ref="J141:K141" si="70">J36 * (1 - J$112)</f>
        <v>1.6550590728205479</v>
      </c>
      <c r="K141" s="281">
        <f t="shared" si="70"/>
        <v>1.6550590728205479</v>
      </c>
      <c r="L141" s="281">
        <f t="shared" ref="L141:M141" si="71">L36 * (1 - L$112)</f>
        <v>1.7605244595922527</v>
      </c>
      <c r="M141" s="281">
        <f t="shared" si="71"/>
        <v>1.7605244595922527</v>
      </c>
      <c r="N141" s="281">
        <f t="shared" ref="N141:P141" si="72">N36 * (1 - N$112)</f>
        <v>1.3388062373707263</v>
      </c>
      <c r="O141" s="281">
        <f t="shared" si="72"/>
        <v>1.2364488768426509</v>
      </c>
      <c r="P141" s="281">
        <f t="shared" si="72"/>
        <v>1.1330770226767364</v>
      </c>
      <c r="Q141" s="281">
        <f t="shared" ref="Q141:S141" si="73">Q36 * (1 - Q$112)</f>
        <v>3.9285938653359938</v>
      </c>
      <c r="R141" s="281">
        <f t="shared" si="73"/>
        <v>-1.0548895686844664</v>
      </c>
      <c r="S141" s="281">
        <f t="shared" si="73"/>
        <v>-1.0409833031839177</v>
      </c>
      <c r="T141" s="281">
        <f t="shared" ref="T141:U141" si="74">T36 * (1 - T$112)</f>
        <v>-1.0548895686844664</v>
      </c>
      <c r="U141" s="281">
        <f t="shared" si="74"/>
        <v>-1.0548895686844664</v>
      </c>
      <c r="V141" s="281">
        <f t="shared" ref="V141:W141" si="75">V36 * (1 - V$112)</f>
        <v>-1.0409833031839177</v>
      </c>
      <c r="W141" s="281">
        <f t="shared" si="75"/>
        <v>-1.0409833031839177</v>
      </c>
      <c r="X141" s="281">
        <f t="shared" ref="X141:Y141" si="76">X36 * (1 - X$112)</f>
        <v>-1.0270770376833691</v>
      </c>
      <c r="Y141" s="281">
        <f t="shared" si="76"/>
        <v>-1.0270770376833691</v>
      </c>
      <c r="Z141" s="268"/>
      <c r="AA141" s="268"/>
    </row>
    <row r="142" spans="4:27" x14ac:dyDescent="0.25">
      <c r="F142" t="s">
        <v>191</v>
      </c>
      <c r="G142" t="s">
        <v>269</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25">
      <c r="F143" t="s">
        <v>192</v>
      </c>
      <c r="G143" t="s">
        <v>269</v>
      </c>
      <c r="H143" s="268"/>
      <c r="I143" s="268"/>
      <c r="J143" s="282">
        <f t="shared" ref="J143:K143" si="84">J38 * (1 - J$113)</f>
        <v>2.6799956695062206</v>
      </c>
      <c r="K143" s="282">
        <f t="shared" si="84"/>
        <v>2.6799956695062206</v>
      </c>
      <c r="L143" s="282">
        <f t="shared" ref="L143:M143" si="85">L38 * (1 - L$113)</f>
        <v>2.8507731266209571</v>
      </c>
      <c r="M143" s="282">
        <f t="shared" si="85"/>
        <v>2.8507731266209571</v>
      </c>
      <c r="N143" s="282">
        <f t="shared" ref="N143:P143" si="86">N38 * (1 - N$113)</f>
        <v>2.1678953805236758</v>
      </c>
      <c r="O143" s="282">
        <f t="shared" si="86"/>
        <v>2.0021506723968301</v>
      </c>
      <c r="P143" s="282">
        <f t="shared" si="86"/>
        <v>1.8347632201523878</v>
      </c>
      <c r="Q143" s="282">
        <f t="shared" ref="Q143:S143" si="87">Q38 * (1 - Q$113)</f>
        <v>5.9890624837940889</v>
      </c>
      <c r="R143" s="282">
        <f t="shared" si="87"/>
        <v>-1.7081562358156304</v>
      </c>
      <c r="S143" s="282">
        <f t="shared" si="87"/>
        <v>-1.6856381686768178</v>
      </c>
      <c r="T143" s="282">
        <f t="shared" ref="T143:U143" si="88">T38 * (1 - T$113)</f>
        <v>-1.7081562358156304</v>
      </c>
      <c r="U143" s="282">
        <f t="shared" si="88"/>
        <v>-1.7081562358156304</v>
      </c>
      <c r="V143" s="282">
        <f t="shared" ref="V143:W143" si="89">V38 * (1 - V$113)</f>
        <v>-1.6856381686768178</v>
      </c>
      <c r="W143" s="282">
        <f t="shared" si="89"/>
        <v>-1.6856381686768178</v>
      </c>
      <c r="X143" s="282">
        <f t="shared" ref="X143:Y143" si="90">X38 * (1 - X$113)</f>
        <v>-1.663120101538005</v>
      </c>
      <c r="Y143" s="282">
        <f t="shared" si="90"/>
        <v>-1.663120101538005</v>
      </c>
      <c r="Z143" s="268"/>
      <c r="AA143" s="268"/>
    </row>
    <row r="144" spans="4:27" x14ac:dyDescent="0.25">
      <c r="F144" t="s">
        <v>193</v>
      </c>
      <c r="G144" t="s">
        <v>269</v>
      </c>
      <c r="H144" s="268"/>
      <c r="I144" s="268"/>
      <c r="J144" s="282">
        <f t="shared" ref="J144:K144" si="91">J39 * (1 - J$114)</f>
        <v>0.38388654120573079</v>
      </c>
      <c r="K144" s="282">
        <f t="shared" si="91"/>
        <v>0.38388654120573079</v>
      </c>
      <c r="L144" s="282">
        <f t="shared" ref="L144:M144" si="92">L39 * (1 - L$114)</f>
        <v>0.40834895660200843</v>
      </c>
      <c r="M144" s="282">
        <f t="shared" si="92"/>
        <v>0.40834895660200843</v>
      </c>
      <c r="N144" s="282">
        <f t="shared" ref="N144:P144" si="93">N39 * (1 - N$114)</f>
        <v>0.31053253883744153</v>
      </c>
      <c r="O144" s="282">
        <f t="shared" si="93"/>
        <v>0.28679102184547894</v>
      </c>
      <c r="P144" s="282">
        <f t="shared" si="93"/>
        <v>0.2628141957578467</v>
      </c>
      <c r="Q144" s="282">
        <f t="shared" ref="Q144:S144" si="94">Q39 * (1 - Q$114)</f>
        <v>0.85788216306794285</v>
      </c>
      <c r="R144" s="282">
        <f t="shared" si="94"/>
        <v>-0.24467882417402578</v>
      </c>
      <c r="S144" s="282">
        <f t="shared" si="94"/>
        <v>-0.2414533029513927</v>
      </c>
      <c r="T144" s="282">
        <f t="shared" ref="T144:U144" si="95">T39 * (1 - T$114)</f>
        <v>-0.24467882417402578</v>
      </c>
      <c r="U144" s="282">
        <f t="shared" si="95"/>
        <v>-0.24467882417402578</v>
      </c>
      <c r="V144" s="282">
        <f t="shared" ref="V144:W144" si="96">V39 * (1 - V$114)</f>
        <v>-0.2414533029513927</v>
      </c>
      <c r="W144" s="282">
        <f t="shared" si="96"/>
        <v>-0.2414533029513927</v>
      </c>
      <c r="X144" s="282">
        <f t="shared" ref="X144:Y144" si="97">X39 * (1 - X$114)</f>
        <v>-0.23822778172875961</v>
      </c>
      <c r="Y144" s="282">
        <f t="shared" si="97"/>
        <v>-0.23822778172875961</v>
      </c>
      <c r="Z144" s="268"/>
      <c r="AA144" s="268"/>
    </row>
    <row r="145" spans="3:27" x14ac:dyDescent="0.25">
      <c r="F145" t="s">
        <v>194</v>
      </c>
      <c r="G145" t="s">
        <v>269</v>
      </c>
      <c r="H145" s="268"/>
      <c r="I145" s="268"/>
      <c r="J145" s="282">
        <f t="shared" ref="J145:K145" si="98">J40 * (1 - J$115)</f>
        <v>0.83020450042492444</v>
      </c>
      <c r="K145" s="282">
        <f t="shared" si="98"/>
        <v>0.83020450042492444</v>
      </c>
      <c r="L145" s="282">
        <f t="shared" ref="L145:M145" si="99">L40 * (1 - L$115)</f>
        <v>0.8831076506355745</v>
      </c>
      <c r="M145" s="282">
        <f t="shared" si="99"/>
        <v>0.8831076506355745</v>
      </c>
      <c r="N145" s="282">
        <f t="shared" ref="N145:P145" si="100">N40 * (1 - N$115)</f>
        <v>0.67156694387225102</v>
      </c>
      <c r="O145" s="282">
        <f t="shared" si="100"/>
        <v>0.62022283008348678</v>
      </c>
      <c r="P145" s="282">
        <f t="shared" si="100"/>
        <v>0.45469586385273192</v>
      </c>
      <c r="Q145" s="282">
        <f t="shared" ref="Q145:S145" si="101">Q40 * (1 - Q$115)</f>
        <v>1.8347994877477194</v>
      </c>
      <c r="R145" s="282">
        <f t="shared" si="101"/>
        <v>-0.52914973353830763</v>
      </c>
      <c r="S145" s="282">
        <f t="shared" si="101"/>
        <v>-0.52217412499825455</v>
      </c>
      <c r="T145" s="282">
        <f t="shared" ref="T145:U145" si="102">T40 * (1 - T$115)</f>
        <v>-0.52914973353830763</v>
      </c>
      <c r="U145" s="282">
        <f t="shared" si="102"/>
        <v>-0.52914973353830763</v>
      </c>
      <c r="V145" s="282">
        <f t="shared" ref="V145:W145" si="103">V40 * (1 - V$115)</f>
        <v>-0.52217412499825455</v>
      </c>
      <c r="W145" s="282">
        <f t="shared" si="103"/>
        <v>-0.52217412499825455</v>
      </c>
      <c r="X145" s="282">
        <f t="shared" ref="X145:Y145" si="104">X40 * (1 - X$115)</f>
        <v>-0.51519851645820147</v>
      </c>
      <c r="Y145" s="282">
        <f t="shared" si="104"/>
        <v>-0.51519851645820147</v>
      </c>
      <c r="Z145" s="268"/>
      <c r="AA145" s="268"/>
    </row>
    <row r="146" spans="3:27" x14ac:dyDescent="0.25">
      <c r="F146" t="s">
        <v>195</v>
      </c>
      <c r="G146" t="s">
        <v>269</v>
      </c>
      <c r="H146" s="268"/>
      <c r="I146" s="268"/>
      <c r="J146" s="282">
        <f t="shared" ref="J146:K146" si="105">J41 * (1 - J$116)</f>
        <v>0.65665785013225819</v>
      </c>
      <c r="K146" s="282">
        <f t="shared" si="105"/>
        <v>0.65665785013225819</v>
      </c>
      <c r="L146" s="282">
        <f t="shared" ref="L146:M146" si="106">L41 * (1 - L$116)</f>
        <v>0.69850208111964585</v>
      </c>
      <c r="M146" s="282">
        <f t="shared" si="106"/>
        <v>0.69850208111964585</v>
      </c>
      <c r="N146" s="282">
        <f t="shared" ref="N146:P146" si="107">N41 * (1 - N$116)</f>
        <v>0.53118202245028912</v>
      </c>
      <c r="O146" s="282">
        <f t="shared" si="107"/>
        <v>0.49057092559376847</v>
      </c>
      <c r="P146" s="282">
        <f t="shared" si="107"/>
        <v>0</v>
      </c>
      <c r="Q146" s="282">
        <f t="shared" ref="Q146:S146" si="108">Q41 * (1 - Q$116)</f>
        <v>1.4512514524210769</v>
      </c>
      <c r="R146" s="282">
        <f t="shared" si="108"/>
        <v>-0.41853582610727386</v>
      </c>
      <c r="S146" s="282">
        <f t="shared" si="108"/>
        <v>-0.41301840467083151</v>
      </c>
      <c r="T146" s="282">
        <f t="shared" ref="T146:U146" si="109">T41 * (1 - T$116)</f>
        <v>-0.41853582610727386</v>
      </c>
      <c r="U146" s="282">
        <f t="shared" si="109"/>
        <v>-0.41853582610727386</v>
      </c>
      <c r="V146" s="282">
        <f t="shared" ref="V146:W146" si="110">V41 * (1 - V$116)</f>
        <v>-0.41301840467083151</v>
      </c>
      <c r="W146" s="282">
        <f t="shared" si="110"/>
        <v>-0.41301840467083151</v>
      </c>
      <c r="X146" s="282">
        <f t="shared" ref="X146:Y146" si="111">X41 * (1 - X$116)</f>
        <v>-0.40750098323438905</v>
      </c>
      <c r="Y146" s="282">
        <f t="shared" si="111"/>
        <v>-0.40750098323438905</v>
      </c>
      <c r="Z146" s="268"/>
      <c r="AA146" s="268"/>
    </row>
    <row r="147" spans="3:27" x14ac:dyDescent="0.25">
      <c r="F147" t="s">
        <v>196</v>
      </c>
      <c r="G147" t="s">
        <v>269</v>
      </c>
      <c r="H147" s="268"/>
      <c r="I147" s="268"/>
      <c r="J147" s="282">
        <f t="shared" ref="J147:K147" si="112">J42 * (1 - J$117)</f>
        <v>0</v>
      </c>
      <c r="K147" s="282">
        <f t="shared" si="112"/>
        <v>0</v>
      </c>
      <c r="L147" s="282">
        <f t="shared" ref="L147:M147" si="113">L42 * (1 - L$117)</f>
        <v>0</v>
      </c>
      <c r="M147" s="282">
        <f t="shared" si="113"/>
        <v>0</v>
      </c>
      <c r="N147" s="282">
        <f t="shared" ref="N147:P147" si="114">N42 * (1 - N$117)</f>
        <v>0</v>
      </c>
      <c r="O147" s="282">
        <f t="shared" si="114"/>
        <v>0</v>
      </c>
      <c r="P147" s="282">
        <f t="shared" si="114"/>
        <v>0</v>
      </c>
      <c r="Q147" s="282">
        <f t="shared" ref="Q147:S147" si="115">Q42 * (1 - Q$117)</f>
        <v>0</v>
      </c>
      <c r="R147" s="282">
        <f t="shared" si="115"/>
        <v>0</v>
      </c>
      <c r="S147" s="282">
        <f t="shared" si="115"/>
        <v>0</v>
      </c>
      <c r="T147" s="282">
        <f t="shared" ref="T147:U147" si="116">T42 * (1 - T$117)</f>
        <v>0</v>
      </c>
      <c r="U147" s="282">
        <f t="shared" si="116"/>
        <v>0</v>
      </c>
      <c r="V147" s="282">
        <f t="shared" ref="V147:W147" si="117">V42 * (1 - V$117)</f>
        <v>0</v>
      </c>
      <c r="W147" s="282">
        <f t="shared" si="117"/>
        <v>0</v>
      </c>
      <c r="X147" s="282">
        <f t="shared" ref="X147:Y147" si="118">X42 * (1 - X$117)</f>
        <v>0</v>
      </c>
      <c r="Y147" s="282">
        <f t="shared" si="118"/>
        <v>0</v>
      </c>
      <c r="Z147" s="268"/>
      <c r="AA147" s="268"/>
    </row>
    <row r="148" spans="3:27" x14ac:dyDescent="0.25">
      <c r="F148" t="s">
        <v>197</v>
      </c>
      <c r="G148" t="s">
        <v>269</v>
      </c>
      <c r="H148" s="268"/>
      <c r="I148" s="268"/>
      <c r="J148" s="282">
        <f t="shared" ref="J148:K148" si="119">J43 * (1 - J$118)</f>
        <v>3.0239151260646278</v>
      </c>
      <c r="K148" s="282">
        <f t="shared" si="119"/>
        <v>3.0239151260646278</v>
      </c>
      <c r="L148" s="282">
        <f t="shared" ref="L148:M148" si="120">L43 * (1 - L$118)</f>
        <v>3.2166081746527455</v>
      </c>
      <c r="M148" s="282">
        <f t="shared" si="120"/>
        <v>3.2166081746527455</v>
      </c>
      <c r="N148" s="282">
        <f t="shared" ref="N148:P148" si="121">N43 * (1 - N$118)</f>
        <v>1.9568782763291583</v>
      </c>
      <c r="O148" s="282">
        <f t="shared" si="121"/>
        <v>0</v>
      </c>
      <c r="P148" s="282">
        <f t="shared" si="121"/>
        <v>0</v>
      </c>
      <c r="Q148" s="282">
        <f t="shared" ref="Q148:S148" si="122">Q43 * (1 - Q$118)</f>
        <v>6.6830255936413003</v>
      </c>
      <c r="R148" s="282">
        <f t="shared" si="122"/>
        <v>-1.9273611289514487</v>
      </c>
      <c r="S148" s="282">
        <f t="shared" si="122"/>
        <v>-1.9019533551234638</v>
      </c>
      <c r="T148" s="282">
        <f t="shared" ref="T148:U148" si="123">T43 * (1 - T$118)</f>
        <v>-1.9273611289514487</v>
      </c>
      <c r="U148" s="282">
        <f t="shared" si="123"/>
        <v>-1.9273611289514487</v>
      </c>
      <c r="V148" s="282">
        <f t="shared" ref="V148:W148" si="124">V43 * (1 - V$118)</f>
        <v>-1.9019533551234638</v>
      </c>
      <c r="W148" s="282">
        <f t="shared" si="124"/>
        <v>-1.9019533551234638</v>
      </c>
      <c r="X148" s="282">
        <f t="shared" ref="X148:Y148" si="125">X43 * (1 - X$118)</f>
        <v>0</v>
      </c>
      <c r="Y148" s="282">
        <f t="shared" si="125"/>
        <v>0</v>
      </c>
      <c r="Z148" s="268"/>
      <c r="AA148" s="268"/>
    </row>
    <row r="149" spans="3:27" x14ac:dyDescent="0.25">
      <c r="F149" t="s">
        <v>198</v>
      </c>
      <c r="G149" t="s">
        <v>269</v>
      </c>
      <c r="H149" s="268"/>
      <c r="I149" s="268"/>
      <c r="J149" s="282">
        <f t="shared" ref="J149:K149" si="126">J44 * (1 - J$119)</f>
        <v>1.2406670796491988</v>
      </c>
      <c r="K149" s="282">
        <f t="shared" si="126"/>
        <v>1.2406670796491988</v>
      </c>
      <c r="L149" s="282">
        <f t="shared" ref="L149:M149" si="127">L44 * (1 - L$119)</f>
        <v>1.3197261510496741</v>
      </c>
      <c r="M149" s="282">
        <f t="shared" si="127"/>
        <v>1.3197261510496741</v>
      </c>
      <c r="N149" s="282">
        <f t="shared" ref="N149:P149" si="128">N44 * (1 - N$119)</f>
        <v>0</v>
      </c>
      <c r="O149" s="282">
        <f t="shared" si="128"/>
        <v>0</v>
      </c>
      <c r="P149" s="282">
        <f t="shared" si="128"/>
        <v>0</v>
      </c>
      <c r="Q149" s="282">
        <f t="shared" ref="Q149:S149" si="129">Q44 * (1 - Q$119)</f>
        <v>2.7419452930460979</v>
      </c>
      <c r="R149" s="282">
        <f t="shared" si="129"/>
        <v>-0.79076740040569204</v>
      </c>
      <c r="S149" s="282">
        <f t="shared" si="129"/>
        <v>0</v>
      </c>
      <c r="T149" s="282">
        <f t="shared" ref="T149:U149" si="130">T44 * (1 - T$119)</f>
        <v>-0.79076740040569204</v>
      </c>
      <c r="U149" s="282">
        <f t="shared" si="130"/>
        <v>-0.79076740040569204</v>
      </c>
      <c r="V149" s="282">
        <f t="shared" ref="V149:W149" si="131">V44 * (1 - V$119)</f>
        <v>0</v>
      </c>
      <c r="W149" s="282">
        <f t="shared" si="131"/>
        <v>0</v>
      </c>
      <c r="X149" s="282">
        <f t="shared" ref="X149:Y149" si="132">X44 * (1 - X$119)</f>
        <v>0</v>
      </c>
      <c r="Y149" s="282">
        <f t="shared" si="132"/>
        <v>0</v>
      </c>
      <c r="Z149" s="268"/>
      <c r="AA149" s="268"/>
    </row>
    <row r="150" spans="3:27" x14ac:dyDescent="0.25">
      <c r="F150" t="s">
        <v>199</v>
      </c>
      <c r="G150" t="s">
        <v>269</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6.7665864588023519</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25">
      <c r="D151"/>
      <c r="F151" s="95" t="s">
        <v>334</v>
      </c>
      <c r="G151" s="95" t="s">
        <v>269</v>
      </c>
      <c r="H151" s="266"/>
      <c r="I151" s="266" t="s">
        <v>154</v>
      </c>
      <c r="J151" s="280"/>
      <c r="K151" s="280"/>
      <c r="L151" s="280"/>
      <c r="M151" s="280"/>
      <c r="N151" s="280"/>
      <c r="O151" s="280"/>
      <c r="P151" s="280"/>
      <c r="Q151" s="283">
        <f t="shared" ref="Q151" si="140">Q46</f>
        <v>1.221008124060708</v>
      </c>
      <c r="R151" s="280"/>
      <c r="S151" s="280"/>
      <c r="T151" s="280"/>
      <c r="U151" s="280"/>
      <c r="V151" s="280"/>
      <c r="W151" s="280"/>
      <c r="X151" s="280"/>
      <c r="Y151" s="280"/>
      <c r="Z151" s="268"/>
      <c r="AA151" s="268" t="s">
        <v>611</v>
      </c>
    </row>
    <row r="152" spans="3:27" x14ac:dyDescent="0.25">
      <c r="D152"/>
      <c r="F152" s="96" t="s">
        <v>335</v>
      </c>
      <c r="G152" s="96" t="s">
        <v>269</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25">
      <c r="E153"/>
      <c r="J153" s="106"/>
      <c r="K153" s="106"/>
      <c r="L153" s="106"/>
      <c r="M153" s="106"/>
      <c r="N153" s="106"/>
      <c r="O153" s="106"/>
      <c r="P153" s="106"/>
      <c r="Q153" s="106"/>
      <c r="R153" s="106"/>
      <c r="S153" s="106"/>
      <c r="T153" s="106"/>
      <c r="U153" s="106"/>
      <c r="V153" s="106"/>
      <c r="W153" s="106"/>
      <c r="X153" s="106"/>
      <c r="Y153" s="106"/>
    </row>
    <row r="154" spans="3:27" x14ac:dyDescent="0.25">
      <c r="C154" s="93" t="str">
        <f ca="1">INDEX('Version control'!$H$41:$H$64,MATCH($A$1,'Version control'!$F$41:$F$64,0),1)&amp;"-F: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25">
      <c r="C155" s="75"/>
      <c r="D155" s="75"/>
      <c r="E155"/>
      <c r="I155" t="s">
        <v>154</v>
      </c>
      <c r="J155" s="106"/>
      <c r="K155" s="106"/>
      <c r="L155" s="106"/>
      <c r="M155" s="106"/>
      <c r="N155" s="106"/>
      <c r="O155" s="106"/>
      <c r="P155" s="106"/>
      <c r="Q155" s="106"/>
      <c r="R155" s="106"/>
      <c r="S155" s="106"/>
      <c r="T155" s="106"/>
      <c r="U155" s="106"/>
      <c r="V155" s="106"/>
      <c r="W155" s="106"/>
      <c r="X155" s="106"/>
      <c r="Y155" s="106"/>
      <c r="AA155" t="s">
        <v>613</v>
      </c>
    </row>
    <row r="156" spans="3:27" x14ac:dyDescent="0.25">
      <c r="E156" s="75" t="s">
        <v>578</v>
      </c>
      <c r="J156" s="106"/>
      <c r="K156" s="106"/>
      <c r="L156" s="106"/>
      <c r="M156" s="106"/>
      <c r="N156" s="106"/>
      <c r="O156" s="106"/>
      <c r="P156" s="106"/>
      <c r="Q156" s="106"/>
      <c r="R156" s="106"/>
      <c r="S156" s="106"/>
      <c r="T156" s="106"/>
      <c r="U156" s="106"/>
      <c r="V156" s="106"/>
      <c r="W156" s="106"/>
      <c r="X156" s="106"/>
      <c r="Y156" s="106"/>
    </row>
    <row r="157" spans="3:27" x14ac:dyDescent="0.25">
      <c r="F157" s="95" t="s">
        <v>189</v>
      </c>
      <c r="G157" s="95" t="s">
        <v>269</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25">
      <c r="F158" t="s">
        <v>191</v>
      </c>
      <c r="G158" t="s">
        <v>269</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25">
      <c r="F159" t="s">
        <v>192</v>
      </c>
      <c r="G159" t="s">
        <v>269</v>
      </c>
      <c r="H159" s="268"/>
      <c r="I159" s="268"/>
      <c r="J159" s="282">
        <f t="shared" ref="J159:K159" si="155">J54 * (1 - J$113)</f>
        <v>0.13345372558973559</v>
      </c>
      <c r="K159" s="282">
        <f t="shared" si="155"/>
        <v>0.13345372558973559</v>
      </c>
      <c r="L159" s="282">
        <f t="shared" ref="L159:M159" si="156">L54 * (1 - L$113)</f>
        <v>0.14195780197986724</v>
      </c>
      <c r="M159" s="282">
        <f t="shared" si="156"/>
        <v>0.14195780197986724</v>
      </c>
      <c r="N159" s="282">
        <f t="shared" ref="N159:P159" si="157">N54 * (1 - N$113)</f>
        <v>0.10795305324988345</v>
      </c>
      <c r="O159" s="282">
        <f t="shared" si="157"/>
        <v>9.9699588870074851E-2</v>
      </c>
      <c r="P159" s="282">
        <f t="shared" si="157"/>
        <v>9.1364321998874828E-2</v>
      </c>
      <c r="Q159" s="282">
        <f t="shared" ref="Q159:S159" si="158">Q54 * (1 - Q$113)</f>
        <v>0.14346617079691032</v>
      </c>
      <c r="R159" s="282">
        <f t="shared" si="158"/>
        <v>-8.5059769369304844E-2</v>
      </c>
      <c r="S159" s="282">
        <f t="shared" si="158"/>
        <v>-8.3938454142214194E-2</v>
      </c>
      <c r="T159" s="282">
        <f t="shared" ref="T159:U159" si="159">T54 * (1 - T$113)</f>
        <v>-8.5059769369304844E-2</v>
      </c>
      <c r="U159" s="282">
        <f t="shared" si="159"/>
        <v>-8.5059769369304844E-2</v>
      </c>
      <c r="V159" s="282">
        <f t="shared" ref="V159:W159" si="160">V54 * (1 - V$113)</f>
        <v>-8.3938454142214194E-2</v>
      </c>
      <c r="W159" s="282">
        <f t="shared" si="160"/>
        <v>-8.3938454142214194E-2</v>
      </c>
      <c r="X159" s="282">
        <f t="shared" ref="X159:Y159" si="161">X54 * (1 - X$113)</f>
        <v>-8.2817138915123545E-2</v>
      </c>
      <c r="Y159" s="282">
        <f t="shared" si="161"/>
        <v>-8.2817138915123545E-2</v>
      </c>
      <c r="Z159" s="268"/>
      <c r="AA159" s="268"/>
    </row>
    <row r="160" spans="3:27" x14ac:dyDescent="0.25">
      <c r="F160" t="s">
        <v>193</v>
      </c>
      <c r="G160" t="s">
        <v>269</v>
      </c>
      <c r="H160" s="268"/>
      <c r="I160" s="268"/>
      <c r="J160" s="282">
        <f t="shared" ref="J160:K160" si="162">J55 * (1 - J$114)</f>
        <v>1.9116108921586984E-2</v>
      </c>
      <c r="K160" s="282">
        <f t="shared" si="162"/>
        <v>1.9116108921586984E-2</v>
      </c>
      <c r="L160" s="282">
        <f t="shared" ref="L160:M160" si="163">L55 * (1 - L$114)</f>
        <v>2.0334245394232269E-2</v>
      </c>
      <c r="M160" s="282">
        <f t="shared" si="163"/>
        <v>2.0334245394232269E-2</v>
      </c>
      <c r="N160" s="282">
        <f t="shared" ref="N160:P160" si="164">N55 * (1 - N$114)</f>
        <v>1.5463354921141098E-2</v>
      </c>
      <c r="O160" s="282">
        <f t="shared" si="164"/>
        <v>1.4281116483303175E-2</v>
      </c>
      <c r="P160" s="282">
        <f t="shared" si="164"/>
        <v>1.3087160535679859E-2</v>
      </c>
      <c r="Q160" s="282">
        <f t="shared" ref="Q160:S160" si="165">Q55 * (1 - Q$114)</f>
        <v>2.055030637322032E-2</v>
      </c>
      <c r="R160" s="282">
        <f t="shared" si="165"/>
        <v>-1.2184087097780969E-2</v>
      </c>
      <c r="S160" s="282">
        <f t="shared" si="165"/>
        <v>-1.2023468247151088E-2</v>
      </c>
      <c r="T160" s="282">
        <f t="shared" ref="T160:U160" si="166">T55 * (1 - T$114)</f>
        <v>-1.2184087097780969E-2</v>
      </c>
      <c r="U160" s="282">
        <f t="shared" si="166"/>
        <v>-1.2184087097780969E-2</v>
      </c>
      <c r="V160" s="282">
        <f t="shared" ref="V160:W160" si="167">V55 * (1 - V$114)</f>
        <v>-1.2023468247151088E-2</v>
      </c>
      <c r="W160" s="282">
        <f t="shared" si="167"/>
        <v>-1.2023468247151088E-2</v>
      </c>
      <c r="X160" s="282">
        <f t="shared" ref="X160:Y160" si="168">X55 * (1 - X$114)</f>
        <v>-1.1862849396521208E-2</v>
      </c>
      <c r="Y160" s="282">
        <f t="shared" si="168"/>
        <v>-1.1862849396521208E-2</v>
      </c>
      <c r="Z160" s="268"/>
      <c r="AA160" s="268"/>
    </row>
    <row r="161" spans="4:27" x14ac:dyDescent="0.25">
      <c r="F161" t="s">
        <v>194</v>
      </c>
      <c r="G161" t="s">
        <v>269</v>
      </c>
      <c r="H161" s="268"/>
      <c r="I161" s="268"/>
      <c r="J161" s="282">
        <f t="shared" ref="J161:K161" si="169">J56 * (1 - J$115)</f>
        <v>0.13044449642677292</v>
      </c>
      <c r="K161" s="282">
        <f t="shared" si="169"/>
        <v>0.13044449642677292</v>
      </c>
      <c r="L161" s="282">
        <f t="shared" ref="L161:M161" si="170">L56 * (1 - L$115)</f>
        <v>0.1387568156024532</v>
      </c>
      <c r="M161" s="282">
        <f t="shared" si="170"/>
        <v>0.1387568156024532</v>
      </c>
      <c r="N161" s="282">
        <f t="shared" ref="N161:P161" si="171">N56 * (1 - N$115)</f>
        <v>0.10551883513693933</v>
      </c>
      <c r="O161" s="282">
        <f t="shared" si="171"/>
        <v>9.7451476956844807E-2</v>
      </c>
      <c r="P161" s="282">
        <f t="shared" si="171"/>
        <v>7.1443328670524067E-2</v>
      </c>
      <c r="Q161" s="282">
        <f t="shared" ref="Q161:S161" si="172">Q56 * (1 - Q$115)</f>
        <v>0.10562842500374749</v>
      </c>
      <c r="R161" s="282">
        <f t="shared" si="172"/>
        <v>-8.3141768673184319E-2</v>
      </c>
      <c r="S161" s="282">
        <f t="shared" si="172"/>
        <v>-8.2045737824385276E-2</v>
      </c>
      <c r="T161" s="282">
        <f t="shared" ref="T161:U161" si="173">T56 * (1 - T$115)</f>
        <v>-8.3141768673184319E-2</v>
      </c>
      <c r="U161" s="282">
        <f t="shared" si="173"/>
        <v>-8.3141768673184319E-2</v>
      </c>
      <c r="V161" s="282">
        <f t="shared" ref="V161:W161" si="174">V56 * (1 - V$115)</f>
        <v>-8.2045737824385276E-2</v>
      </c>
      <c r="W161" s="282">
        <f t="shared" si="174"/>
        <v>-8.2045737824385276E-2</v>
      </c>
      <c r="X161" s="282">
        <f t="shared" ref="X161:Y161" si="175">X56 * (1 - X$115)</f>
        <v>-8.0949706975586247E-2</v>
      </c>
      <c r="Y161" s="282">
        <f t="shared" si="175"/>
        <v>-8.0949706975586247E-2</v>
      </c>
      <c r="Z161" s="268"/>
      <c r="AA161" s="268"/>
    </row>
    <row r="162" spans="4:27" x14ac:dyDescent="0.25">
      <c r="F162" t="s">
        <v>195</v>
      </c>
      <c r="G162" t="s">
        <v>269</v>
      </c>
      <c r="H162" s="268"/>
      <c r="I162" s="268"/>
      <c r="J162" s="282">
        <f t="shared" ref="J162:K162" si="176">J57 * (1 - J$116)</f>
        <v>0.10317626866795788</v>
      </c>
      <c r="K162" s="282">
        <f t="shared" si="176"/>
        <v>0.10317626866795788</v>
      </c>
      <c r="L162" s="282">
        <f t="shared" ref="L162:M162" si="177">L57 * (1 - L$116)</f>
        <v>0.10975097361923387</v>
      </c>
      <c r="M162" s="282">
        <f t="shared" si="177"/>
        <v>0.10975097361923387</v>
      </c>
      <c r="N162" s="282">
        <f t="shared" ref="N162:P162" si="178">N57 * (1 - N$116)</f>
        <v>8.3461088676366008E-2</v>
      </c>
      <c r="O162" s="282">
        <f t="shared" si="178"/>
        <v>7.7080137867166193E-2</v>
      </c>
      <c r="P162" s="282">
        <f t="shared" si="178"/>
        <v>0</v>
      </c>
      <c r="Q162" s="282">
        <f t="shared" ref="Q162:S162" si="179">Q57 * (1 - Q$116)</f>
        <v>8.3547769784813028E-2</v>
      </c>
      <c r="R162" s="282">
        <f t="shared" si="179"/>
        <v>-6.5761743094843478E-2</v>
      </c>
      <c r="S162" s="282">
        <f t="shared" si="179"/>
        <v>-6.4894827460824825E-2</v>
      </c>
      <c r="T162" s="282">
        <f t="shared" ref="T162:U162" si="180">T57 * (1 - T$116)</f>
        <v>-6.5761743094843478E-2</v>
      </c>
      <c r="U162" s="282">
        <f t="shared" si="180"/>
        <v>-6.5761743094843478E-2</v>
      </c>
      <c r="V162" s="282">
        <f t="shared" ref="V162:W162" si="181">V57 * (1 - V$116)</f>
        <v>-6.4894827460824825E-2</v>
      </c>
      <c r="W162" s="282">
        <f t="shared" si="181"/>
        <v>-6.4894827460824825E-2</v>
      </c>
      <c r="X162" s="282">
        <f t="shared" ref="X162:Y162" si="182">X57 * (1 - X$116)</f>
        <v>-6.4027911826806158E-2</v>
      </c>
      <c r="Y162" s="282">
        <f t="shared" si="182"/>
        <v>-6.4027911826806158E-2</v>
      </c>
      <c r="Z162" s="268"/>
      <c r="AA162" s="268"/>
    </row>
    <row r="163" spans="4:27" x14ac:dyDescent="0.25">
      <c r="F163" t="s">
        <v>196</v>
      </c>
      <c r="G163" t="s">
        <v>269</v>
      </c>
      <c r="H163" s="268"/>
      <c r="I163" s="268"/>
      <c r="J163" s="282">
        <f t="shared" ref="J163:K163" si="183">J58 * (1 - J$117)</f>
        <v>0</v>
      </c>
      <c r="K163" s="282">
        <f t="shared" si="183"/>
        <v>0</v>
      </c>
      <c r="L163" s="282">
        <f t="shared" ref="L163:M163" si="184">L58 * (1 - L$117)</f>
        <v>0</v>
      </c>
      <c r="M163" s="282">
        <f t="shared" si="184"/>
        <v>0</v>
      </c>
      <c r="N163" s="282">
        <f t="shared" ref="N163:P163" si="185">N58 * (1 - N$117)</f>
        <v>0</v>
      </c>
      <c r="O163" s="282">
        <f t="shared" si="185"/>
        <v>0</v>
      </c>
      <c r="P163" s="282">
        <f t="shared" si="185"/>
        <v>0</v>
      </c>
      <c r="Q163" s="282">
        <f t="shared" ref="Q163:S163" si="186">Q58 * (1 - Q$117)</f>
        <v>0</v>
      </c>
      <c r="R163" s="282">
        <f t="shared" si="186"/>
        <v>0</v>
      </c>
      <c r="S163" s="282">
        <f t="shared" si="186"/>
        <v>0</v>
      </c>
      <c r="T163" s="282">
        <f t="shared" ref="T163:U163" si="187">T58 * (1 - T$117)</f>
        <v>0</v>
      </c>
      <c r="U163" s="282">
        <f t="shared" si="187"/>
        <v>0</v>
      </c>
      <c r="V163" s="282">
        <f t="shared" ref="V163:W163" si="188">V58 * (1 - V$117)</f>
        <v>0</v>
      </c>
      <c r="W163" s="282">
        <f t="shared" si="188"/>
        <v>0</v>
      </c>
      <c r="X163" s="282">
        <f t="shared" ref="X163:Y163" si="189">X58 * (1 - X$117)</f>
        <v>0</v>
      </c>
      <c r="Y163" s="282">
        <f t="shared" si="189"/>
        <v>0</v>
      </c>
      <c r="Z163" s="268"/>
      <c r="AA163" s="268"/>
    </row>
    <row r="164" spans="4:27" x14ac:dyDescent="0.25">
      <c r="F164" t="s">
        <v>197</v>
      </c>
      <c r="G164" t="s">
        <v>269</v>
      </c>
      <c r="H164" s="268"/>
      <c r="I164" s="268"/>
      <c r="J164" s="282">
        <f t="shared" ref="J164:K164" si="190">J59 * (1 - J$118)</f>
        <v>0.47512761693643996</v>
      </c>
      <c r="K164" s="282">
        <f t="shared" si="190"/>
        <v>0.47512761693643996</v>
      </c>
      <c r="L164" s="282">
        <f t="shared" ref="L164:M164" si="191">L59 * (1 - L$118)</f>
        <v>0.5054041905699862</v>
      </c>
      <c r="M164" s="282">
        <f t="shared" si="191"/>
        <v>0.5054041905699862</v>
      </c>
      <c r="N164" s="282">
        <f t="shared" ref="N164:P164" si="192">N59 * (1 - N$118)</f>
        <v>0.30747123292345008</v>
      </c>
      <c r="O164" s="282">
        <f t="shared" si="192"/>
        <v>0</v>
      </c>
      <c r="P164" s="282">
        <f t="shared" si="192"/>
        <v>0</v>
      </c>
      <c r="Q164" s="282">
        <f t="shared" ref="Q164:S164" si="193">Q59 * (1 - Q$118)</f>
        <v>0.38473820841459005</v>
      </c>
      <c r="R164" s="282">
        <f t="shared" si="193"/>
        <v>-0.30283340040908835</v>
      </c>
      <c r="S164" s="282">
        <f t="shared" si="193"/>
        <v>-0.29884124635473125</v>
      </c>
      <c r="T164" s="282">
        <f t="shared" ref="T164:U164" si="194">T59 * (1 - T$118)</f>
        <v>-0.30283340040908835</v>
      </c>
      <c r="U164" s="282">
        <f t="shared" si="194"/>
        <v>-0.30283340040908835</v>
      </c>
      <c r="V164" s="282">
        <f t="shared" ref="V164:W164" si="195">V59 * (1 - V$118)</f>
        <v>-0.29884124635473125</v>
      </c>
      <c r="W164" s="282">
        <f t="shared" si="195"/>
        <v>-0.29884124635473125</v>
      </c>
      <c r="X164" s="282">
        <f t="shared" ref="X164:Y164" si="196">X59 * (1 - X$118)</f>
        <v>0</v>
      </c>
      <c r="Y164" s="282">
        <f t="shared" si="196"/>
        <v>0</v>
      </c>
      <c r="Z164" s="268"/>
      <c r="AA164" s="268"/>
    </row>
    <row r="165" spans="4:27" x14ac:dyDescent="0.25">
      <c r="F165" t="s">
        <v>198</v>
      </c>
      <c r="G165" t="s">
        <v>269</v>
      </c>
      <c r="H165" s="268"/>
      <c r="I165" s="268"/>
      <c r="J165" s="282">
        <f t="shared" ref="J165:K165" si="197">J60 * (1 - J$119)</f>
        <v>0.19493774408026091</v>
      </c>
      <c r="K165" s="282">
        <f t="shared" si="197"/>
        <v>0.19493774408026091</v>
      </c>
      <c r="L165" s="282">
        <f t="shared" ref="L165:M165" si="198">L60 * (1 - L$119)</f>
        <v>0.20735976871578732</v>
      </c>
      <c r="M165" s="282">
        <f t="shared" si="198"/>
        <v>0.20735976871578732</v>
      </c>
      <c r="N165" s="282">
        <f t="shared" ref="N165:P165" si="199">N60 * (1 - N$119)</f>
        <v>0</v>
      </c>
      <c r="O165" s="282">
        <f t="shared" si="199"/>
        <v>0</v>
      </c>
      <c r="P165" s="282">
        <f t="shared" si="199"/>
        <v>0</v>
      </c>
      <c r="Q165" s="282">
        <f t="shared" ref="Q165:S165" si="200">Q60 * (1 - Q$119)</f>
        <v>0.15785232374706296</v>
      </c>
      <c r="R165" s="282">
        <f t="shared" si="200"/>
        <v>-0.12424800791110245</v>
      </c>
      <c r="S165" s="282">
        <f t="shared" si="200"/>
        <v>0</v>
      </c>
      <c r="T165" s="282">
        <f t="shared" ref="T165:U165" si="201">T60 * (1 - T$119)</f>
        <v>-0.12424800791110245</v>
      </c>
      <c r="U165" s="282">
        <f t="shared" si="201"/>
        <v>-0.12424800791110245</v>
      </c>
      <c r="V165" s="282">
        <f t="shared" ref="V165:W165" si="202">V60 * (1 - V$119)</f>
        <v>0</v>
      </c>
      <c r="W165" s="282">
        <f t="shared" si="202"/>
        <v>0</v>
      </c>
      <c r="X165" s="282">
        <f t="shared" ref="X165:Y165" si="203">X60 * (1 - X$119)</f>
        <v>0</v>
      </c>
      <c r="Y165" s="282">
        <f t="shared" si="203"/>
        <v>0</v>
      </c>
      <c r="Z165" s="268"/>
      <c r="AA165" s="268"/>
    </row>
    <row r="166" spans="4:27" x14ac:dyDescent="0.25">
      <c r="F166" t="s">
        <v>199</v>
      </c>
      <c r="G166" t="s">
        <v>269</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0.38954876272194228</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25">
      <c r="D167"/>
      <c r="F167" s="95" t="s">
        <v>334</v>
      </c>
      <c r="G167" s="95" t="s">
        <v>269</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25">
      <c r="D168"/>
      <c r="F168" s="96" t="s">
        <v>335</v>
      </c>
      <c r="G168" s="96" t="s">
        <v>269</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25">
      <c r="D169"/>
      <c r="J169" s="106"/>
      <c r="K169" s="106"/>
      <c r="L169" s="106"/>
      <c r="M169" s="106"/>
      <c r="N169" s="106"/>
      <c r="O169" s="106"/>
      <c r="P169" s="106"/>
      <c r="Q169" s="106"/>
      <c r="R169" s="106"/>
      <c r="S169" s="106"/>
      <c r="T169" s="106"/>
      <c r="U169" s="106"/>
      <c r="V169" s="106"/>
      <c r="W169" s="106"/>
      <c r="X169" s="106"/>
      <c r="Y169" s="106"/>
    </row>
    <row r="170" spans="4:27" x14ac:dyDescent="0.25">
      <c r="E170" s="75" t="s">
        <v>579</v>
      </c>
      <c r="J170" s="106"/>
      <c r="K170" s="106"/>
      <c r="L170" s="106"/>
      <c r="M170" s="106"/>
      <c r="N170" s="106"/>
      <c r="O170" s="106"/>
      <c r="P170" s="106"/>
      <c r="Q170" s="106"/>
      <c r="R170" s="106"/>
      <c r="S170" s="106"/>
      <c r="T170" s="106"/>
      <c r="U170" s="106"/>
      <c r="V170" s="106"/>
      <c r="W170" s="106"/>
      <c r="X170" s="106"/>
      <c r="Y170" s="106"/>
    </row>
    <row r="171" spans="4:27" x14ac:dyDescent="0.25">
      <c r="F171" s="95" t="s">
        <v>189</v>
      </c>
      <c r="G171" s="95" t="s">
        <v>269</v>
      </c>
      <c r="H171" s="266"/>
      <c r="I171" s="266"/>
      <c r="J171" s="281">
        <f t="shared" ref="J171:K171" si="211">J66 * (1 - J$112)</f>
        <v>0</v>
      </c>
      <c r="K171" s="281">
        <f t="shared" si="211"/>
        <v>0</v>
      </c>
      <c r="L171" s="281">
        <f t="shared" ref="L171:M171" si="212">L66 * (1 - L$112)</f>
        <v>0</v>
      </c>
      <c r="M171" s="281">
        <f t="shared" si="212"/>
        <v>0</v>
      </c>
      <c r="N171" s="281">
        <f t="shared" ref="N171:P171" si="213">N66 * (1 - N$112)</f>
        <v>0</v>
      </c>
      <c r="O171" s="281">
        <f t="shared" si="213"/>
        <v>0</v>
      </c>
      <c r="P171" s="281">
        <f t="shared" si="213"/>
        <v>0</v>
      </c>
      <c r="Q171" s="281">
        <f t="shared" ref="Q171:S171" si="214">Q66 * (1 - Q$112)</f>
        <v>1.4672467057096598E-2</v>
      </c>
      <c r="R171" s="281">
        <f t="shared" si="214"/>
        <v>0</v>
      </c>
      <c r="S171" s="281">
        <f t="shared" si="214"/>
        <v>0</v>
      </c>
      <c r="T171" s="281">
        <f t="shared" ref="T171:U171" si="215">T66 * (1 - T$112)</f>
        <v>0</v>
      </c>
      <c r="U171" s="281">
        <f t="shared" si="215"/>
        <v>0</v>
      </c>
      <c r="V171" s="281">
        <f t="shared" ref="V171:W171" si="216">V66 * (1 - V$112)</f>
        <v>0</v>
      </c>
      <c r="W171" s="281">
        <f t="shared" si="216"/>
        <v>0</v>
      </c>
      <c r="X171" s="281">
        <f t="shared" ref="X171:Y171" si="217">X66 * (1 - X$112)</f>
        <v>0</v>
      </c>
      <c r="Y171" s="281">
        <f t="shared" si="217"/>
        <v>0</v>
      </c>
      <c r="Z171" s="268"/>
      <c r="AA171" s="268"/>
    </row>
    <row r="172" spans="4:27" x14ac:dyDescent="0.25">
      <c r="F172" t="s">
        <v>191</v>
      </c>
      <c r="G172" t="s">
        <v>269</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25">
      <c r="F173" t="s">
        <v>192</v>
      </c>
      <c r="G173" t="s">
        <v>269</v>
      </c>
      <c r="H173" s="268"/>
      <c r="I173" s="268"/>
      <c r="J173" s="282">
        <f t="shared" ref="J173:K173" si="225">J68 * (1 - J$113)</f>
        <v>9.5770101602378796E-2</v>
      </c>
      <c r="K173" s="282">
        <f t="shared" si="225"/>
        <v>9.5770101602378796E-2</v>
      </c>
      <c r="L173" s="282">
        <f t="shared" ref="L173:M173" si="226">L68 * (1 - L$113)</f>
        <v>0.10187286311254484</v>
      </c>
      <c r="M173" s="282">
        <f t="shared" si="226"/>
        <v>0.10187286311254484</v>
      </c>
      <c r="N173" s="282">
        <f t="shared" ref="N173:P173" si="227">N68 * (1 - N$113)</f>
        <v>7.7470110574594048E-2</v>
      </c>
      <c r="O173" s="282">
        <f t="shared" si="227"/>
        <v>7.1547195206492248E-2</v>
      </c>
      <c r="P173" s="282">
        <f t="shared" si="227"/>
        <v>6.5565576097619899E-2</v>
      </c>
      <c r="Q173" s="282">
        <f t="shared" ref="Q173:S173" si="228">Q68 * (1 - Q$113)</f>
        <v>0.10295531048689664</v>
      </c>
      <c r="R173" s="282">
        <f t="shared" si="228"/>
        <v>-6.1041253953571045E-2</v>
      </c>
      <c r="S173" s="282">
        <f t="shared" si="228"/>
        <v>-6.0236566989964636E-2</v>
      </c>
      <c r="T173" s="282">
        <f t="shared" ref="T173:U173" si="229">T68 * (1 - T$113)</f>
        <v>-6.1041253953571045E-2</v>
      </c>
      <c r="U173" s="282">
        <f t="shared" si="229"/>
        <v>-6.1041253953571045E-2</v>
      </c>
      <c r="V173" s="282">
        <f t="shared" ref="V173:W173" si="230">V68 * (1 - V$113)</f>
        <v>-6.0236566989964636E-2</v>
      </c>
      <c r="W173" s="282">
        <f t="shared" si="230"/>
        <v>-6.0236566989964636E-2</v>
      </c>
      <c r="X173" s="282">
        <f t="shared" ref="X173:Y173" si="231">X68 * (1 - X$113)</f>
        <v>-5.9431880026358228E-2</v>
      </c>
      <c r="Y173" s="282">
        <f t="shared" si="231"/>
        <v>-5.9431880026358228E-2</v>
      </c>
      <c r="Z173" s="268"/>
      <c r="AA173" s="268"/>
    </row>
    <row r="174" spans="4:27" x14ac:dyDescent="0.25">
      <c r="F174" t="s">
        <v>193</v>
      </c>
      <c r="G174" t="s">
        <v>269</v>
      </c>
      <c r="H174" s="268"/>
      <c r="I174" s="268"/>
      <c r="J174" s="282">
        <f t="shared" ref="J174:K174" si="232">J69 * (1 - J$114)</f>
        <v>1.3718250918604062E-2</v>
      </c>
      <c r="K174" s="282">
        <f t="shared" si="232"/>
        <v>1.3718250918604062E-2</v>
      </c>
      <c r="L174" s="282">
        <f t="shared" ref="L174:M174" si="233">L69 * (1 - L$114)</f>
        <v>1.4592419498276712E-2</v>
      </c>
      <c r="M174" s="282">
        <f t="shared" si="233"/>
        <v>1.4592419498276712E-2</v>
      </c>
      <c r="N174" s="282">
        <f t="shared" ref="N174:P174" si="234">N69 * (1 - N$114)</f>
        <v>1.1096933153174036E-2</v>
      </c>
      <c r="O174" s="282">
        <f t="shared" si="234"/>
        <v>1.0248526000734944E-2</v>
      </c>
      <c r="P174" s="282">
        <f t="shared" si="234"/>
        <v>9.3917100376934137E-3</v>
      </c>
      <c r="Q174" s="282">
        <f t="shared" ref="Q174:S174" si="235">Q69 * (1 - Q$114)</f>
        <v>1.4747470860226748E-2</v>
      </c>
      <c r="R174" s="282">
        <f t="shared" si="235"/>
        <v>-8.7436394460347986E-3</v>
      </c>
      <c r="S174" s="282">
        <f t="shared" si="235"/>
        <v>-8.628374895898747E-3</v>
      </c>
      <c r="T174" s="282">
        <f t="shared" ref="T174:U174" si="236">T69 * (1 - T$114)</f>
        <v>-8.7436394460347986E-3</v>
      </c>
      <c r="U174" s="282">
        <f t="shared" si="236"/>
        <v>-8.7436394460347986E-3</v>
      </c>
      <c r="V174" s="282">
        <f t="shared" ref="V174:W174" si="237">V69 * (1 - V$114)</f>
        <v>-8.628374895898747E-3</v>
      </c>
      <c r="W174" s="282">
        <f t="shared" si="237"/>
        <v>-8.628374895898747E-3</v>
      </c>
      <c r="X174" s="282">
        <f t="shared" ref="X174:Y174" si="238">X69 * (1 - X$114)</f>
        <v>-8.5131103457626953E-3</v>
      </c>
      <c r="Y174" s="282">
        <f t="shared" si="238"/>
        <v>-8.5131103457626953E-3</v>
      </c>
      <c r="Z174" s="268"/>
      <c r="AA174" s="268"/>
    </row>
    <row r="175" spans="4:27" x14ac:dyDescent="0.25">
      <c r="F175" t="s">
        <v>194</v>
      </c>
      <c r="G175" t="s">
        <v>269</v>
      </c>
      <c r="H175" s="268"/>
      <c r="I175" s="268"/>
      <c r="J175" s="282">
        <f t="shared" ref="J175:K175" si="239">J70 * (1 - J$115)</f>
        <v>9.3610595141182334E-2</v>
      </c>
      <c r="K175" s="282">
        <f t="shared" si="239"/>
        <v>9.3610595141182334E-2</v>
      </c>
      <c r="L175" s="282">
        <f t="shared" ref="L175:M175" si="240">L70 * (1 - L$115)</f>
        <v>9.9575746346129521E-2</v>
      </c>
      <c r="M175" s="282">
        <f t="shared" si="240"/>
        <v>9.9575746346129521E-2</v>
      </c>
      <c r="N175" s="282">
        <f t="shared" ref="N175:P175" si="241">N70 * (1 - N$115)</f>
        <v>7.572324802003573E-2</v>
      </c>
      <c r="O175" s="282">
        <f t="shared" si="241"/>
        <v>6.9933887631959332E-2</v>
      </c>
      <c r="P175" s="282">
        <f t="shared" si="241"/>
        <v>5.1269717764361046E-2</v>
      </c>
      <c r="Q175" s="282">
        <f t="shared" ref="Q175:S175" si="242">Q70 * (1 - Q$115)</f>
        <v>7.5801892753499925E-2</v>
      </c>
      <c r="R175" s="282">
        <f t="shared" si="242"/>
        <v>-5.9664843360841789E-2</v>
      </c>
      <c r="S175" s="282">
        <f t="shared" si="242"/>
        <v>-5.8878301169644244E-2</v>
      </c>
      <c r="T175" s="282">
        <f t="shared" ref="T175:U175" si="243">T70 * (1 - T$115)</f>
        <v>-5.9664843360841789E-2</v>
      </c>
      <c r="U175" s="282">
        <f t="shared" si="243"/>
        <v>-5.9664843360841789E-2</v>
      </c>
      <c r="V175" s="282">
        <f t="shared" ref="V175:W175" si="244">V70 * (1 - V$115)</f>
        <v>-5.8878301169644244E-2</v>
      </c>
      <c r="W175" s="282">
        <f t="shared" si="244"/>
        <v>-5.8878301169644244E-2</v>
      </c>
      <c r="X175" s="282">
        <f t="shared" ref="X175:Y175" si="245">X70 * (1 - X$115)</f>
        <v>-5.8091758978446706E-2</v>
      </c>
      <c r="Y175" s="282">
        <f t="shared" si="245"/>
        <v>-5.8091758978446706E-2</v>
      </c>
      <c r="Z175" s="268"/>
      <c r="AA175" s="268"/>
    </row>
    <row r="176" spans="4:27" x14ac:dyDescent="0.25">
      <c r="F176" t="s">
        <v>195</v>
      </c>
      <c r="G176" t="s">
        <v>269</v>
      </c>
      <c r="H176" s="268"/>
      <c r="I176" s="268"/>
      <c r="J176" s="282">
        <f t="shared" ref="J176:K176" si="246">J71 * (1 - J$116)</f>
        <v>7.404215723179973E-2</v>
      </c>
      <c r="K176" s="282">
        <f t="shared" si="246"/>
        <v>7.404215723179973E-2</v>
      </c>
      <c r="L176" s="282">
        <f t="shared" ref="L176:M176" si="247">L71 * (1 - L$116)</f>
        <v>7.8760348188304533E-2</v>
      </c>
      <c r="M176" s="282">
        <f t="shared" si="247"/>
        <v>7.8760348188304533E-2</v>
      </c>
      <c r="N176" s="282">
        <f t="shared" ref="N176:P176" si="248">N71 * (1 - N$116)</f>
        <v>5.9893996267688279E-2</v>
      </c>
      <c r="O176" s="282">
        <f t="shared" si="248"/>
        <v>5.5314848667152132E-2</v>
      </c>
      <c r="P176" s="282">
        <f t="shared" si="248"/>
        <v>0</v>
      </c>
      <c r="Q176" s="282">
        <f t="shared" ref="Q176:S176" si="249">Q71 * (1 - Q$116)</f>
        <v>5.9956201039614222E-2</v>
      </c>
      <c r="R176" s="282">
        <f t="shared" si="249"/>
        <v>-4.7192454087824236E-2</v>
      </c>
      <c r="S176" s="282">
        <f t="shared" si="249"/>
        <v>-4.657033134090377E-2</v>
      </c>
      <c r="T176" s="282">
        <f t="shared" ref="T176:U176" si="250">T71 * (1 - T$116)</f>
        <v>-4.7192454087824236E-2</v>
      </c>
      <c r="U176" s="282">
        <f t="shared" si="250"/>
        <v>-4.7192454087824236E-2</v>
      </c>
      <c r="V176" s="282">
        <f t="shared" ref="V176:W176" si="251">V71 * (1 - V$116)</f>
        <v>-4.657033134090377E-2</v>
      </c>
      <c r="W176" s="282">
        <f t="shared" si="251"/>
        <v>-4.657033134090377E-2</v>
      </c>
      <c r="X176" s="282">
        <f t="shared" ref="X176:Y176" si="252">X71 * (1 - X$116)</f>
        <v>-4.5948208593983297E-2</v>
      </c>
      <c r="Y176" s="282">
        <f t="shared" si="252"/>
        <v>-4.5948208593983297E-2</v>
      </c>
      <c r="Z176" s="268"/>
      <c r="AA176" s="268"/>
    </row>
    <row r="177" spans="3:27" x14ac:dyDescent="0.25">
      <c r="F177" t="s">
        <v>196</v>
      </c>
      <c r="G177" t="s">
        <v>269</v>
      </c>
      <c r="H177" s="268"/>
      <c r="I177" s="268"/>
      <c r="J177" s="282">
        <f t="shared" ref="J177:K177" si="253">J72 * (1 - J$117)</f>
        <v>0</v>
      </c>
      <c r="K177" s="282">
        <f t="shared" si="253"/>
        <v>0</v>
      </c>
      <c r="L177" s="282">
        <f t="shared" ref="L177:M177" si="254">L72 * (1 - L$117)</f>
        <v>0</v>
      </c>
      <c r="M177" s="282">
        <f t="shared" si="254"/>
        <v>0</v>
      </c>
      <c r="N177" s="282">
        <f t="shared" ref="N177:P177" si="255">N72 * (1 - N$117)</f>
        <v>0</v>
      </c>
      <c r="O177" s="282">
        <f t="shared" si="255"/>
        <v>0</v>
      </c>
      <c r="P177" s="282">
        <f t="shared" si="255"/>
        <v>0</v>
      </c>
      <c r="Q177" s="282">
        <f t="shared" ref="Q177:S177" si="256">Q72 * (1 - Q$117)</f>
        <v>0</v>
      </c>
      <c r="R177" s="282">
        <f t="shared" si="256"/>
        <v>0</v>
      </c>
      <c r="S177" s="282">
        <f t="shared" si="256"/>
        <v>0</v>
      </c>
      <c r="T177" s="282">
        <f t="shared" ref="T177:U177" si="257">T72 * (1 - T$117)</f>
        <v>0</v>
      </c>
      <c r="U177" s="282">
        <f t="shared" si="257"/>
        <v>0</v>
      </c>
      <c r="V177" s="282">
        <f t="shared" ref="V177:W177" si="258">V72 * (1 - V$117)</f>
        <v>0</v>
      </c>
      <c r="W177" s="282">
        <f t="shared" si="258"/>
        <v>0</v>
      </c>
      <c r="X177" s="282">
        <f t="shared" ref="X177:Y177" si="259">X72 * (1 - X$117)</f>
        <v>0</v>
      </c>
      <c r="Y177" s="282">
        <f t="shared" si="259"/>
        <v>0</v>
      </c>
      <c r="Z177" s="268"/>
      <c r="AA177" s="268"/>
    </row>
    <row r="178" spans="3:27" x14ac:dyDescent="0.25">
      <c r="F178" t="s">
        <v>197</v>
      </c>
      <c r="G178" t="s">
        <v>269</v>
      </c>
      <c r="H178" s="268"/>
      <c r="I178" s="268"/>
      <c r="J178" s="282">
        <f t="shared" ref="J178:K178" si="260">J73 * (1 - J$118)</f>
        <v>0.34096477971686368</v>
      </c>
      <c r="K178" s="282">
        <f t="shared" si="260"/>
        <v>0.34096477971686368</v>
      </c>
      <c r="L178" s="282">
        <f t="shared" ref="L178:M178" si="261">L73 * (1 - L$118)</f>
        <v>0.36269209021526494</v>
      </c>
      <c r="M178" s="282">
        <f t="shared" si="261"/>
        <v>0.36269209021526494</v>
      </c>
      <c r="N178" s="282">
        <f t="shared" ref="N178:P178" si="262">N73 * (1 - N$118)</f>
        <v>0.22064990008156307</v>
      </c>
      <c r="O178" s="282">
        <f t="shared" si="262"/>
        <v>0</v>
      </c>
      <c r="P178" s="282">
        <f t="shared" si="262"/>
        <v>0</v>
      </c>
      <c r="Q178" s="282">
        <f t="shared" ref="Q178:S178" si="263">Q73 * (1 - Q$118)</f>
        <v>0.2760988286191125</v>
      </c>
      <c r="R178" s="282">
        <f t="shared" si="263"/>
        <v>-0.21732166260334759</v>
      </c>
      <c r="S178" s="282">
        <f t="shared" si="263"/>
        <v>-0.21445678192872722</v>
      </c>
      <c r="T178" s="282">
        <f t="shared" ref="T178:U178" si="264">T73 * (1 - T$118)</f>
        <v>-0.21732166260334759</v>
      </c>
      <c r="U178" s="282">
        <f t="shared" si="264"/>
        <v>-0.21732166260334759</v>
      </c>
      <c r="V178" s="282">
        <f t="shared" ref="V178:W178" si="265">V73 * (1 - V$118)</f>
        <v>-0.21445678192872722</v>
      </c>
      <c r="W178" s="282">
        <f t="shared" si="265"/>
        <v>-0.21445678192872722</v>
      </c>
      <c r="X178" s="282">
        <f t="shared" ref="X178:Y178" si="266">X73 * (1 - X$118)</f>
        <v>0</v>
      </c>
      <c r="Y178" s="282">
        <f t="shared" si="266"/>
        <v>0</v>
      </c>
      <c r="Z178" s="268"/>
      <c r="AA178" s="268"/>
    </row>
    <row r="179" spans="3:27" x14ac:dyDescent="0.25">
      <c r="F179" t="s">
        <v>198</v>
      </c>
      <c r="G179" t="s">
        <v>269</v>
      </c>
      <c r="H179" s="268"/>
      <c r="I179" s="268"/>
      <c r="J179" s="282">
        <f t="shared" ref="J179:K179" si="267">J74 * (1 - J$119)</f>
        <v>0.13989274165412297</v>
      </c>
      <c r="K179" s="282">
        <f t="shared" si="267"/>
        <v>0.13989274165412297</v>
      </c>
      <c r="L179" s="282">
        <f t="shared" ref="L179:M179" si="268">L74 * (1 - L$119)</f>
        <v>0.14880713168852988</v>
      </c>
      <c r="M179" s="282">
        <f t="shared" si="268"/>
        <v>0.14880713168852988</v>
      </c>
      <c r="N179" s="282">
        <f t="shared" ref="N179:P179" si="269">N74 * (1 - N$119)</f>
        <v>0</v>
      </c>
      <c r="O179" s="282">
        <f t="shared" si="269"/>
        <v>0</v>
      </c>
      <c r="P179" s="282">
        <f t="shared" si="269"/>
        <v>0</v>
      </c>
      <c r="Q179" s="282">
        <f t="shared" ref="Q179:S179" si="270">Q74 * (1 - Q$119)</f>
        <v>0.1132792135747655</v>
      </c>
      <c r="R179" s="282">
        <f t="shared" si="270"/>
        <v>-8.9163822807916099E-2</v>
      </c>
      <c r="S179" s="282">
        <f t="shared" si="270"/>
        <v>0</v>
      </c>
      <c r="T179" s="282">
        <f t="shared" ref="T179:U179" si="271">T74 * (1 - T$119)</f>
        <v>-8.9163822807916099E-2</v>
      </c>
      <c r="U179" s="282">
        <f t="shared" si="271"/>
        <v>-8.9163822807916099E-2</v>
      </c>
      <c r="V179" s="282">
        <f t="shared" ref="V179:W179" si="272">V74 * (1 - V$119)</f>
        <v>0</v>
      </c>
      <c r="W179" s="282">
        <f t="shared" si="272"/>
        <v>0</v>
      </c>
      <c r="X179" s="282">
        <f t="shared" ref="X179:Y179" si="273">X74 * (1 - X$119)</f>
        <v>0</v>
      </c>
      <c r="Y179" s="282">
        <f t="shared" si="273"/>
        <v>0</v>
      </c>
      <c r="Z179" s="268"/>
      <c r="AA179" s="268"/>
    </row>
    <row r="180" spans="3:27" x14ac:dyDescent="0.25">
      <c r="F180" t="s">
        <v>199</v>
      </c>
      <c r="G180" t="s">
        <v>269</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0.27955101605519195</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25">
      <c r="F181" s="95" t="s">
        <v>334</v>
      </c>
      <c r="G181" s="95" t="s">
        <v>269</v>
      </c>
      <c r="H181" s="266"/>
      <c r="I181" s="266" t="s">
        <v>154</v>
      </c>
      <c r="J181" s="280"/>
      <c r="K181" s="280"/>
      <c r="L181" s="280"/>
      <c r="M181" s="280"/>
      <c r="N181" s="280"/>
      <c r="O181" s="280"/>
      <c r="P181" s="280"/>
      <c r="Q181" s="283">
        <f>Q76</f>
        <v>1.221008124060708</v>
      </c>
      <c r="R181" s="280"/>
      <c r="S181" s="280"/>
      <c r="T181" s="280"/>
      <c r="U181" s="280"/>
      <c r="V181" s="280"/>
      <c r="W181" s="280"/>
      <c r="X181" s="280"/>
      <c r="Y181" s="280"/>
      <c r="Z181" s="268"/>
      <c r="AA181" s="268" t="s">
        <v>611</v>
      </c>
    </row>
    <row r="182" spans="3:27" x14ac:dyDescent="0.25">
      <c r="F182" s="96" t="s">
        <v>335</v>
      </c>
      <c r="G182" s="96" t="s">
        <v>269</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25">
      <c r="E183"/>
      <c r="J183" s="106"/>
      <c r="K183" s="106"/>
      <c r="L183" s="106"/>
      <c r="M183" s="106"/>
      <c r="N183" s="106"/>
      <c r="O183" s="106"/>
      <c r="P183" s="106"/>
      <c r="Q183" s="106"/>
      <c r="R183" s="106"/>
      <c r="S183" s="106"/>
      <c r="T183" s="106"/>
      <c r="U183" s="106"/>
      <c r="V183" s="106"/>
      <c r="W183" s="106"/>
      <c r="X183" s="106"/>
      <c r="Y183" s="106"/>
    </row>
    <row r="184" spans="3:27" x14ac:dyDescent="0.25">
      <c r="C184" s="93" t="str">
        <f ca="1">INDEX('Version control'!$H$41:$H$64,MATCH($A$1,'Version control'!$F$41:$F$64,0),1)&amp;"-G: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25">
      <c r="C185" s="75"/>
      <c r="D185" s="75"/>
      <c r="E185"/>
      <c r="I185" t="s">
        <v>154</v>
      </c>
      <c r="J185" s="106"/>
      <c r="K185" s="106"/>
      <c r="L185" s="106"/>
      <c r="M185" s="106"/>
      <c r="N185" s="106"/>
      <c r="O185" s="106"/>
      <c r="P185" s="106"/>
      <c r="Q185" s="106"/>
      <c r="R185" s="106"/>
      <c r="S185" s="106"/>
      <c r="T185" s="106"/>
      <c r="U185" s="106"/>
      <c r="V185" s="106"/>
      <c r="W185" s="106"/>
      <c r="X185" s="106"/>
      <c r="Y185" s="106"/>
      <c r="AA185" t="s">
        <v>613</v>
      </c>
    </row>
    <row r="186" spans="3:27" x14ac:dyDescent="0.25">
      <c r="E186" s="75" t="s">
        <v>578</v>
      </c>
      <c r="J186" s="106"/>
      <c r="K186" s="106"/>
      <c r="L186" s="106"/>
      <c r="M186" s="106"/>
      <c r="N186" s="106"/>
      <c r="O186" s="106"/>
      <c r="P186" s="106"/>
      <c r="Q186" s="106"/>
      <c r="R186" s="106"/>
      <c r="S186" s="106"/>
      <c r="T186" s="106"/>
      <c r="U186" s="106"/>
      <c r="V186" s="106"/>
      <c r="W186" s="106"/>
      <c r="X186" s="106"/>
      <c r="Y186" s="106"/>
    </row>
    <row r="187" spans="3:27" x14ac:dyDescent="0.25">
      <c r="F187" s="95" t="s">
        <v>189</v>
      </c>
      <c r="G187" s="95" t="s">
        <v>269</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25">
      <c r="F188" t="s">
        <v>191</v>
      </c>
      <c r="G188" t="s">
        <v>269</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25">
      <c r="F189" t="s">
        <v>192</v>
      </c>
      <c r="G189" t="s">
        <v>269</v>
      </c>
      <c r="H189" s="268"/>
      <c r="I189" s="268"/>
      <c r="J189" s="282">
        <f t="shared" ref="J189:K189" si="295">J84 * (1 - J$113)</f>
        <v>9.9353603486043024E-3</v>
      </c>
      <c r="K189" s="282">
        <f t="shared" si="295"/>
        <v>9.9353603486043024E-3</v>
      </c>
      <c r="L189" s="282">
        <f t="shared" ref="L189:M189" si="296">L84 * (1 - L$113)</f>
        <v>1.056847166111842E-2</v>
      </c>
      <c r="M189" s="282">
        <f t="shared" si="296"/>
        <v>1.056847166111842E-2</v>
      </c>
      <c r="N189" s="282">
        <f t="shared" ref="N189:P189" si="297">N84 * (1 - N$113)</f>
        <v>8.0368867937558337E-3</v>
      </c>
      <c r="O189" s="282">
        <f t="shared" si="297"/>
        <v>7.4224330392772455E-3</v>
      </c>
      <c r="P189" s="282">
        <f t="shared" si="297"/>
        <v>6.8018892545219012E-3</v>
      </c>
      <c r="Q189" s="282">
        <f t="shared" ref="Q189:S189" si="298">Q84 * (1 - Q$113)</f>
        <v>7.4207413866933386E-3</v>
      </c>
      <c r="R189" s="282">
        <f t="shared" si="298"/>
        <v>-6.3325280438496639E-3</v>
      </c>
      <c r="S189" s="282">
        <f t="shared" si="298"/>
        <v>-6.2490483897876155E-3</v>
      </c>
      <c r="T189" s="282">
        <f t="shared" ref="T189:U189" si="299">T84 * (1 - T$113)</f>
        <v>-6.3325280438496639E-3</v>
      </c>
      <c r="U189" s="282">
        <f t="shared" si="299"/>
        <v>-6.3325280438496639E-3</v>
      </c>
      <c r="V189" s="282">
        <f t="shared" ref="V189:W189" si="300">V84 * (1 - V$113)</f>
        <v>-6.2490483897876155E-3</v>
      </c>
      <c r="W189" s="282">
        <f t="shared" si="300"/>
        <v>-6.2490483897876155E-3</v>
      </c>
      <c r="X189" s="282">
        <f t="shared" ref="X189:Y189" si="301">X84 * (1 - X$113)</f>
        <v>-6.1655687357255679E-3</v>
      </c>
      <c r="Y189" s="282">
        <f t="shared" si="301"/>
        <v>-6.1655687357255679E-3</v>
      </c>
      <c r="Z189" s="268"/>
      <c r="AA189" s="268"/>
    </row>
    <row r="190" spans="3:27" x14ac:dyDescent="0.25">
      <c r="F190" t="s">
        <v>193</v>
      </c>
      <c r="G190" t="s">
        <v>269</v>
      </c>
      <c r="H190" s="268"/>
      <c r="I190" s="268"/>
      <c r="J190" s="282">
        <f t="shared" ref="J190:K190" si="302">J85 * (1 - J$114)</f>
        <v>1.4231557025467122E-3</v>
      </c>
      <c r="K190" s="282">
        <f t="shared" si="302"/>
        <v>1.4231557025467122E-3</v>
      </c>
      <c r="L190" s="282">
        <f t="shared" ref="L190:M190" si="303">L85 * (1 - L$114)</f>
        <v>1.5138435028012713E-3</v>
      </c>
      <c r="M190" s="282">
        <f t="shared" si="303"/>
        <v>1.5138435028012713E-3</v>
      </c>
      <c r="N190" s="282">
        <f t="shared" ref="N190:P190" si="304">N85 * (1 - N$114)</f>
        <v>1.151215544271902E-3</v>
      </c>
      <c r="O190" s="282">
        <f t="shared" si="304"/>
        <v>1.0632002802095084E-3</v>
      </c>
      <c r="P190" s="282">
        <f t="shared" si="304"/>
        <v>9.7431267120813504E-4</v>
      </c>
      <c r="Q190" s="282">
        <f t="shared" ref="Q190:S190" si="305">Q85 * (1 - Q$114)</f>
        <v>1.0629579653928293E-3</v>
      </c>
      <c r="R190" s="282">
        <f t="shared" si="305"/>
        <v>-9.0708067759290019E-4</v>
      </c>
      <c r="S190" s="282">
        <f t="shared" si="305"/>
        <v>-8.9512292854741933E-4</v>
      </c>
      <c r="T190" s="282">
        <f t="shared" ref="T190:U190" si="306">T85 * (1 - T$114)</f>
        <v>-9.0708067759290019E-4</v>
      </c>
      <c r="U190" s="282">
        <f t="shared" si="306"/>
        <v>-9.0708067759290019E-4</v>
      </c>
      <c r="V190" s="282">
        <f t="shared" ref="V190:W190" si="307">V85 * (1 - V$114)</f>
        <v>-8.9512292854741933E-4</v>
      </c>
      <c r="W190" s="282">
        <f t="shared" si="307"/>
        <v>-8.9512292854741933E-4</v>
      </c>
      <c r="X190" s="282">
        <f t="shared" ref="X190:Y190" si="308">X85 * (1 - X$114)</f>
        <v>-8.8316517950193859E-4</v>
      </c>
      <c r="Y190" s="282">
        <f t="shared" si="308"/>
        <v>-8.8316517950193859E-4</v>
      </c>
      <c r="Z190" s="268"/>
      <c r="AA190" s="268"/>
    </row>
    <row r="191" spans="3:27" x14ac:dyDescent="0.25">
      <c r="F191" t="s">
        <v>194</v>
      </c>
      <c r="G191" t="s">
        <v>269</v>
      </c>
      <c r="H191" s="268"/>
      <c r="I191" s="268"/>
      <c r="J191" s="282">
        <f t="shared" ref="J191:K191" si="309">J86 * (1 - J$115)</f>
        <v>1.5039429138649573E-2</v>
      </c>
      <c r="K191" s="282">
        <f t="shared" si="309"/>
        <v>1.5039429138649573E-2</v>
      </c>
      <c r="L191" s="282">
        <f t="shared" ref="L191:M191" si="310">L86 * (1 - L$115)</f>
        <v>1.5997787203918042E-2</v>
      </c>
      <c r="M191" s="282">
        <f t="shared" si="310"/>
        <v>1.5997787203918042E-2</v>
      </c>
      <c r="N191" s="282">
        <f t="shared" ref="N191:P191" si="311">N86 * (1 - N$115)</f>
        <v>1.2165657327871253E-2</v>
      </c>
      <c r="O191" s="282">
        <f t="shared" si="311"/>
        <v>1.1235541723080321E-2</v>
      </c>
      <c r="P191" s="282">
        <f t="shared" si="311"/>
        <v>8.2369659771178386E-3</v>
      </c>
      <c r="Q191" s="282">
        <f t="shared" ref="Q191:S191" si="312">Q86 * (1 - Q$115)</f>
        <v>1.1232981021880747E-2</v>
      </c>
      <c r="R191" s="282">
        <f t="shared" si="312"/>
        <v>-9.585722454180233E-3</v>
      </c>
      <c r="S191" s="282">
        <f t="shared" si="312"/>
        <v>-9.459356998098762E-3</v>
      </c>
      <c r="T191" s="282">
        <f t="shared" ref="T191:U191" si="313">T86 * (1 - T$115)</f>
        <v>-9.585722454180233E-3</v>
      </c>
      <c r="U191" s="282">
        <f t="shared" si="313"/>
        <v>-9.585722454180233E-3</v>
      </c>
      <c r="V191" s="282">
        <f t="shared" ref="V191:W191" si="314">V86 * (1 - V$115)</f>
        <v>-9.459356998098762E-3</v>
      </c>
      <c r="W191" s="282">
        <f t="shared" si="314"/>
        <v>-9.459356998098762E-3</v>
      </c>
      <c r="X191" s="282">
        <f t="shared" ref="X191:Y191" si="315">X86 * (1 - X$115)</f>
        <v>-9.3329915420172892E-3</v>
      </c>
      <c r="Y191" s="282">
        <f t="shared" si="315"/>
        <v>-9.3329915420172892E-3</v>
      </c>
      <c r="Z191" s="268"/>
      <c r="AA191" s="268"/>
    </row>
    <row r="192" spans="3:27" x14ac:dyDescent="0.25">
      <c r="F192" t="s">
        <v>195</v>
      </c>
      <c r="G192" t="s">
        <v>269</v>
      </c>
      <c r="H192" s="268"/>
      <c r="I192" s="268"/>
      <c r="J192" s="282">
        <f t="shared" ref="J192:K192" si="316">J87 * (1 - J$116)</f>
        <v>1.1895574163169855E-2</v>
      </c>
      <c r="K192" s="282">
        <f t="shared" si="316"/>
        <v>1.1895574163169855E-2</v>
      </c>
      <c r="L192" s="282">
        <f t="shared" ref="L192:M192" si="317">L87 * (1 - L$116)</f>
        <v>1.2653596248660842E-2</v>
      </c>
      <c r="M192" s="282">
        <f t="shared" si="317"/>
        <v>1.2653596248660842E-2</v>
      </c>
      <c r="N192" s="282">
        <f t="shared" ref="N192:P192" si="318">N87 * (1 - N$116)</f>
        <v>9.622538040057407E-3</v>
      </c>
      <c r="O192" s="282">
        <f t="shared" si="318"/>
        <v>8.8868545872408181E-3</v>
      </c>
      <c r="P192" s="282">
        <f t="shared" si="318"/>
        <v>0</v>
      </c>
      <c r="Q192" s="282">
        <f t="shared" ref="Q192:S192" si="319">Q87 * (1 - Q$116)</f>
        <v>8.884829177183801E-3</v>
      </c>
      <c r="R192" s="282">
        <f t="shared" si="319"/>
        <v>-7.5819149324109483E-3</v>
      </c>
      <c r="S192" s="282">
        <f t="shared" si="319"/>
        <v>-7.4819650180477145E-3</v>
      </c>
      <c r="T192" s="282">
        <f t="shared" ref="T192:U192" si="320">T87 * (1 - T$116)</f>
        <v>-7.5819149324109483E-3</v>
      </c>
      <c r="U192" s="282">
        <f t="shared" si="320"/>
        <v>-7.5819149324109483E-3</v>
      </c>
      <c r="V192" s="282">
        <f t="shared" ref="V192:W192" si="321">V87 * (1 - V$116)</f>
        <v>-7.4819650180477145E-3</v>
      </c>
      <c r="W192" s="282">
        <f t="shared" si="321"/>
        <v>-7.4819650180477145E-3</v>
      </c>
      <c r="X192" s="282">
        <f t="shared" ref="X192:Y192" si="322">X87 * (1 - X$116)</f>
        <v>-7.3820151036844807E-3</v>
      </c>
      <c r="Y192" s="282">
        <f t="shared" si="322"/>
        <v>-7.3820151036844807E-3</v>
      </c>
      <c r="Z192" s="268"/>
      <c r="AA192" s="268"/>
    </row>
    <row r="193" spans="4:27" x14ac:dyDescent="0.25">
      <c r="F193" t="s">
        <v>196</v>
      </c>
      <c r="G193" t="s">
        <v>269</v>
      </c>
      <c r="H193" s="268"/>
      <c r="I193" s="268"/>
      <c r="J193" s="282">
        <f t="shared" ref="J193:K193" si="323">J88 * (1 - J$117)</f>
        <v>0</v>
      </c>
      <c r="K193" s="282">
        <f t="shared" si="323"/>
        <v>0</v>
      </c>
      <c r="L193" s="282">
        <f t="shared" ref="L193:M193" si="324">L88 * (1 - L$117)</f>
        <v>0</v>
      </c>
      <c r="M193" s="282">
        <f t="shared" si="324"/>
        <v>0</v>
      </c>
      <c r="N193" s="282">
        <f t="shared" ref="N193:P193" si="325">N88 * (1 - N$117)</f>
        <v>0</v>
      </c>
      <c r="O193" s="282">
        <f t="shared" si="325"/>
        <v>0</v>
      </c>
      <c r="P193" s="282">
        <f t="shared" si="325"/>
        <v>0</v>
      </c>
      <c r="Q193" s="282">
        <f t="shared" ref="Q193:S193" si="326">Q88 * (1 - Q$117)</f>
        <v>0</v>
      </c>
      <c r="R193" s="282">
        <f t="shared" si="326"/>
        <v>0</v>
      </c>
      <c r="S193" s="282">
        <f t="shared" si="326"/>
        <v>0</v>
      </c>
      <c r="T193" s="282">
        <f t="shared" ref="T193:U193" si="327">T88 * (1 - T$117)</f>
        <v>0</v>
      </c>
      <c r="U193" s="282">
        <f t="shared" si="327"/>
        <v>0</v>
      </c>
      <c r="V193" s="282">
        <f t="shared" ref="V193:W193" si="328">V88 * (1 - V$117)</f>
        <v>0</v>
      </c>
      <c r="W193" s="282">
        <f t="shared" si="328"/>
        <v>0</v>
      </c>
      <c r="X193" s="282">
        <f t="shared" ref="X193:Y193" si="329">X88 * (1 - X$117)</f>
        <v>0</v>
      </c>
      <c r="Y193" s="282">
        <f t="shared" si="329"/>
        <v>0</v>
      </c>
      <c r="Z193" s="268"/>
      <c r="AA193" s="268"/>
    </row>
    <row r="194" spans="4:27" x14ac:dyDescent="0.25">
      <c r="F194" t="s">
        <v>197</v>
      </c>
      <c r="G194" t="s">
        <v>269</v>
      </c>
      <c r="H194" s="268"/>
      <c r="I194" s="268"/>
      <c r="J194" s="282">
        <f t="shared" ref="J194:K194" si="330">J89 * (1 - J$118)</f>
        <v>5.4779222753505344E-2</v>
      </c>
      <c r="K194" s="282">
        <f t="shared" si="330"/>
        <v>5.4779222753505344E-2</v>
      </c>
      <c r="L194" s="282">
        <f t="shared" ref="L194:M194" si="331">L89 * (1 - L$118)</f>
        <v>5.8269921067316058E-2</v>
      </c>
      <c r="M194" s="282">
        <f t="shared" si="331"/>
        <v>5.8269921067316058E-2</v>
      </c>
      <c r="N194" s="282">
        <f t="shared" ref="N194:P194" si="332">N89 * (1 - N$118)</f>
        <v>3.5449497268145058E-2</v>
      </c>
      <c r="O194" s="282">
        <f t="shared" si="332"/>
        <v>0</v>
      </c>
      <c r="P194" s="282">
        <f t="shared" si="332"/>
        <v>0</v>
      </c>
      <c r="Q194" s="282">
        <f t="shared" ref="Q194:S194" si="333">Q89 * (1 - Q$118)</f>
        <v>4.0914715838659549E-2</v>
      </c>
      <c r="R194" s="282">
        <f t="shared" si="333"/>
        <v>-3.4914784379772461E-2</v>
      </c>
      <c r="S194" s="282">
        <f t="shared" si="333"/>
        <v>-3.4454514152543823E-2</v>
      </c>
      <c r="T194" s="282">
        <f t="shared" ref="T194:U194" si="334">T89 * (1 - T$118)</f>
        <v>-3.4914784379772461E-2</v>
      </c>
      <c r="U194" s="282">
        <f t="shared" si="334"/>
        <v>-3.4914784379772461E-2</v>
      </c>
      <c r="V194" s="282">
        <f t="shared" ref="V194:W194" si="335">V89 * (1 - V$118)</f>
        <v>-3.4454514152543823E-2</v>
      </c>
      <c r="W194" s="282">
        <f t="shared" si="335"/>
        <v>-3.4454514152543823E-2</v>
      </c>
      <c r="X194" s="282">
        <f t="shared" ref="X194:Y194" si="336">X89 * (1 - X$118)</f>
        <v>0</v>
      </c>
      <c r="Y194" s="282">
        <f t="shared" si="336"/>
        <v>0</v>
      </c>
      <c r="Z194" s="268"/>
      <c r="AA194" s="268"/>
    </row>
    <row r="195" spans="4:27" x14ac:dyDescent="0.25">
      <c r="F195" t="s">
        <v>198</v>
      </c>
      <c r="G195" t="s">
        <v>269</v>
      </c>
      <c r="H195" s="268"/>
      <c r="I195" s="268"/>
      <c r="J195" s="282">
        <f t="shared" ref="J195:K195" si="337">J90 * (1 - J$119)</f>
        <v>2.2475094533321874E-2</v>
      </c>
      <c r="K195" s="282">
        <f t="shared" si="337"/>
        <v>2.2475094533321874E-2</v>
      </c>
      <c r="L195" s="282">
        <f t="shared" ref="L195:M195" si="338">L90 * (1 - L$119)</f>
        <v>2.3907275762749463E-2</v>
      </c>
      <c r="M195" s="282">
        <f t="shared" si="338"/>
        <v>2.3907275762749463E-2</v>
      </c>
      <c r="N195" s="282">
        <f t="shared" ref="N195:P195" si="339">N90 * (1 - N$119)</f>
        <v>0</v>
      </c>
      <c r="O195" s="282">
        <f t="shared" si="339"/>
        <v>0</v>
      </c>
      <c r="P195" s="282">
        <f t="shared" si="339"/>
        <v>0</v>
      </c>
      <c r="Q195" s="282">
        <f t="shared" ref="Q195:S195" si="340">Q90 * (1 - Q$119)</f>
        <v>1.6786695028801441E-2</v>
      </c>
      <c r="R195" s="282">
        <f t="shared" si="340"/>
        <v>-1.4325013026872892E-2</v>
      </c>
      <c r="S195" s="282">
        <f t="shared" si="340"/>
        <v>0</v>
      </c>
      <c r="T195" s="282">
        <f t="shared" ref="T195:U195" si="341">T90 * (1 - T$119)</f>
        <v>-1.4325013026872892E-2</v>
      </c>
      <c r="U195" s="282">
        <f t="shared" si="341"/>
        <v>-1.4325013026872892E-2</v>
      </c>
      <c r="V195" s="282">
        <f t="shared" ref="V195:W195" si="342">V90 * (1 - V$119)</f>
        <v>0</v>
      </c>
      <c r="W195" s="282">
        <f t="shared" si="342"/>
        <v>0</v>
      </c>
      <c r="X195" s="282">
        <f t="shared" ref="X195:Y195" si="343">X90 * (1 - X$119)</f>
        <v>0</v>
      </c>
      <c r="Y195" s="282">
        <f t="shared" si="343"/>
        <v>0</v>
      </c>
      <c r="Z195" s="268"/>
      <c r="AA195" s="268"/>
    </row>
    <row r="196" spans="4:27" x14ac:dyDescent="0.25">
      <c r="F196" t="s">
        <v>199</v>
      </c>
      <c r="G196" t="s">
        <v>269</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4.1426290873857678E-2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25">
      <c r="D197"/>
      <c r="F197" s="95" t="s">
        <v>334</v>
      </c>
      <c r="G197" s="95" t="s">
        <v>269</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25">
      <c r="D198"/>
      <c r="F198" s="96" t="s">
        <v>335</v>
      </c>
      <c r="G198" s="96" t="s">
        <v>269</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25">
      <c r="D199"/>
      <c r="J199" s="106"/>
      <c r="K199" s="106"/>
      <c r="L199" s="106"/>
      <c r="M199" s="106"/>
      <c r="N199" s="106"/>
      <c r="O199" s="106"/>
      <c r="P199" s="106"/>
      <c r="Q199" s="106"/>
      <c r="R199" s="106"/>
      <c r="S199" s="106"/>
      <c r="T199" s="106"/>
      <c r="U199" s="106"/>
      <c r="V199" s="106"/>
      <c r="W199" s="106"/>
      <c r="X199" s="106"/>
      <c r="Y199" s="106"/>
    </row>
    <row r="200" spans="4:27" x14ac:dyDescent="0.25">
      <c r="E200" s="75" t="s">
        <v>579</v>
      </c>
      <c r="J200" s="106"/>
      <c r="K200" s="106"/>
      <c r="L200" s="106"/>
      <c r="M200" s="106"/>
      <c r="N200" s="106"/>
      <c r="O200" s="106"/>
      <c r="P200" s="106"/>
      <c r="Q200" s="106"/>
      <c r="R200" s="106"/>
      <c r="S200" s="106"/>
      <c r="T200" s="106"/>
      <c r="U200" s="106"/>
      <c r="V200" s="106"/>
      <c r="W200" s="106"/>
      <c r="X200" s="106"/>
      <c r="Y200" s="106"/>
    </row>
    <row r="201" spans="4:27" x14ac:dyDescent="0.25">
      <c r="F201" s="95" t="s">
        <v>189</v>
      </c>
      <c r="G201" s="95" t="s">
        <v>269</v>
      </c>
      <c r="H201" s="266"/>
      <c r="I201" s="266"/>
      <c r="J201" s="281">
        <f t="shared" ref="J201:K201" si="351">J96 * (1 - J$112)</f>
        <v>0</v>
      </c>
      <c r="K201" s="281">
        <f t="shared" si="351"/>
        <v>0</v>
      </c>
      <c r="L201" s="281">
        <f t="shared" ref="L201:M201" si="352">L96 * (1 - L$112)</f>
        <v>0</v>
      </c>
      <c r="M201" s="281">
        <f t="shared" si="352"/>
        <v>0</v>
      </c>
      <c r="N201" s="281">
        <f t="shared" ref="N201:P201" si="353">N96 * (1 - N$112)</f>
        <v>0</v>
      </c>
      <c r="O201" s="281">
        <f t="shared" si="353"/>
        <v>0</v>
      </c>
      <c r="P201" s="281">
        <f t="shared" si="353"/>
        <v>0</v>
      </c>
      <c r="Q201" s="281">
        <f t="shared" ref="Q201:S201" si="354">Q96 * (1 - Q$112)</f>
        <v>0</v>
      </c>
      <c r="R201" s="281">
        <f t="shared" si="354"/>
        <v>0</v>
      </c>
      <c r="S201" s="281">
        <f t="shared" si="354"/>
        <v>0</v>
      </c>
      <c r="T201" s="281">
        <f t="shared" ref="T201:U201" si="355">T96 * (1 - T$112)</f>
        <v>0</v>
      </c>
      <c r="U201" s="281">
        <f t="shared" si="355"/>
        <v>0</v>
      </c>
      <c r="V201" s="281">
        <f t="shared" ref="V201:W201" si="356">V96 * (1 - V$112)</f>
        <v>0</v>
      </c>
      <c r="W201" s="281">
        <f t="shared" si="356"/>
        <v>0</v>
      </c>
      <c r="X201" s="281">
        <f t="shared" ref="X201:Y201" si="357">X96 * (1 - X$112)</f>
        <v>0</v>
      </c>
      <c r="Y201" s="281">
        <f t="shared" si="357"/>
        <v>0</v>
      </c>
      <c r="Z201" s="268"/>
      <c r="AA201" s="268"/>
    </row>
    <row r="202" spans="4:27" x14ac:dyDescent="0.25">
      <c r="F202" t="s">
        <v>191</v>
      </c>
      <c r="G202" t="s">
        <v>269</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25">
      <c r="F203" t="s">
        <v>192</v>
      </c>
      <c r="G203" t="s">
        <v>269</v>
      </c>
      <c r="H203" s="268"/>
      <c r="I203" s="268"/>
      <c r="J203" s="282">
        <f t="shared" ref="J203:K203" si="365">J98 * (1 - J$113)</f>
        <v>7.1298906481428639E-3</v>
      </c>
      <c r="K203" s="282">
        <f t="shared" si="365"/>
        <v>7.1298906481428639E-3</v>
      </c>
      <c r="L203" s="282">
        <f t="shared" ref="L203:M203" si="366">L98 * (1 - L$113)</f>
        <v>7.5842289175104133E-3</v>
      </c>
      <c r="M203" s="282">
        <f t="shared" si="366"/>
        <v>7.5842289175104133E-3</v>
      </c>
      <c r="N203" s="282">
        <f t="shared" ref="N203:P203" si="367">N98 * (1 - N$113)</f>
        <v>5.7674932745677698E-3</v>
      </c>
      <c r="O203" s="282">
        <f t="shared" si="367"/>
        <v>5.3265441872617824E-3</v>
      </c>
      <c r="P203" s="282">
        <f t="shared" si="367"/>
        <v>4.8812247250128006E-3</v>
      </c>
      <c r="Q203" s="282">
        <f t="shared" ref="Q203:S203" si="368">Q98 * (1 - Q$113)</f>
        <v>5.3253302103636428E-3</v>
      </c>
      <c r="R203" s="282">
        <f t="shared" si="368"/>
        <v>-4.5443980786553694E-3</v>
      </c>
      <c r="S203" s="282">
        <f t="shared" si="368"/>
        <v>-4.4844907593510619E-3</v>
      </c>
      <c r="T203" s="282">
        <f t="shared" ref="T203:U203" si="369">T98 * (1 - T$113)</f>
        <v>-4.5443980786553694E-3</v>
      </c>
      <c r="U203" s="282">
        <f t="shared" si="369"/>
        <v>-4.5443980786553694E-3</v>
      </c>
      <c r="V203" s="282">
        <f t="shared" ref="V203:W203" si="370">V98 * (1 - V$113)</f>
        <v>-4.4844907593510619E-3</v>
      </c>
      <c r="W203" s="282">
        <f t="shared" si="370"/>
        <v>-4.4844907593510619E-3</v>
      </c>
      <c r="X203" s="282">
        <f t="shared" ref="X203:Y203" si="371">X98 * (1 - X$113)</f>
        <v>-4.4245834400467527E-3</v>
      </c>
      <c r="Y203" s="282">
        <f t="shared" si="371"/>
        <v>-4.4245834400467527E-3</v>
      </c>
      <c r="Z203" s="268"/>
      <c r="AA203" s="268"/>
    </row>
    <row r="204" spans="4:27" x14ac:dyDescent="0.25">
      <c r="F204" t="s">
        <v>193</v>
      </c>
      <c r="G204" t="s">
        <v>269</v>
      </c>
      <c r="H204" s="268"/>
      <c r="I204" s="268"/>
      <c r="J204" s="282">
        <f t="shared" ref="J204:K204" si="372">J99 * (1 - J$114)</f>
        <v>1.0212960756742363E-3</v>
      </c>
      <c r="K204" s="282">
        <f t="shared" si="372"/>
        <v>1.0212960756742363E-3</v>
      </c>
      <c r="L204" s="282">
        <f t="shared" ref="L204:M204" si="373">L99 * (1 - L$114)</f>
        <v>1.0863761609704343E-3</v>
      </c>
      <c r="M204" s="282">
        <f t="shared" si="373"/>
        <v>1.0863761609704343E-3</v>
      </c>
      <c r="N204" s="282">
        <f t="shared" ref="N204:P204" si="374">N99 * (1 - N$114)</f>
        <v>8.2614426202004597E-4</v>
      </c>
      <c r="O204" s="282">
        <f t="shared" si="374"/>
        <v>7.6298206295391557E-4</v>
      </c>
      <c r="P204" s="282">
        <f t="shared" si="374"/>
        <v>6.99193844920767E-4</v>
      </c>
      <c r="Q204" s="282">
        <f t="shared" ref="Q204:S204" si="375">Q99 * (1 - Q$114)</f>
        <v>7.6280817110855432E-4</v>
      </c>
      <c r="R204" s="282">
        <f t="shared" si="375"/>
        <v>-6.509462982074157E-4</v>
      </c>
      <c r="S204" s="282">
        <f t="shared" si="375"/>
        <v>-6.4236508523669638E-4</v>
      </c>
      <c r="T204" s="282">
        <f t="shared" ref="T204:U204" si="376">T99 * (1 - T$114)</f>
        <v>-6.509462982074157E-4</v>
      </c>
      <c r="U204" s="282">
        <f t="shared" si="376"/>
        <v>-6.509462982074157E-4</v>
      </c>
      <c r="V204" s="282">
        <f t="shared" ref="V204:W204" si="377">V99 * (1 - V$114)</f>
        <v>-6.4236508523669638E-4</v>
      </c>
      <c r="W204" s="282">
        <f t="shared" si="377"/>
        <v>-6.4236508523669638E-4</v>
      </c>
      <c r="X204" s="282">
        <f t="shared" ref="X204:Y204" si="378">X99 * (1 - X$114)</f>
        <v>-6.3378387226597718E-4</v>
      </c>
      <c r="Y204" s="282">
        <f t="shared" si="378"/>
        <v>-6.3378387226597718E-4</v>
      </c>
      <c r="Z204" s="268"/>
      <c r="AA204" s="268"/>
    </row>
    <row r="205" spans="4:27" x14ac:dyDescent="0.25">
      <c r="F205" t="s">
        <v>194</v>
      </c>
      <c r="G205" t="s">
        <v>269</v>
      </c>
      <c r="H205" s="268"/>
      <c r="I205" s="268"/>
      <c r="J205" s="282">
        <f t="shared" ref="J205:K205" si="379">J100 * (1 - J$115)</f>
        <v>1.0792712232539027E-2</v>
      </c>
      <c r="K205" s="282">
        <f t="shared" si="379"/>
        <v>1.0792712232539027E-2</v>
      </c>
      <c r="L205" s="282">
        <f t="shared" ref="L205:M205" si="380">L100 * (1 - L$115)</f>
        <v>1.148045660892592E-2</v>
      </c>
      <c r="M205" s="282">
        <f t="shared" si="380"/>
        <v>1.148045660892592E-2</v>
      </c>
      <c r="N205" s="282">
        <f t="shared" ref="N205:P205" si="381">N100 * (1 - N$115)</f>
        <v>8.730413731061596E-3</v>
      </c>
      <c r="O205" s="282">
        <f t="shared" si="381"/>
        <v>8.0629369290528795E-3</v>
      </c>
      <c r="P205" s="282">
        <f t="shared" si="381"/>
        <v>5.9110756559094995E-3</v>
      </c>
      <c r="Q205" s="282">
        <f t="shared" ref="Q205:S205" si="382">Q100 * (1 - Q$115)</f>
        <v>8.0610992987209217E-3</v>
      </c>
      <c r="R205" s="282">
        <f t="shared" si="382"/>
        <v>-6.8789807801338254E-3</v>
      </c>
      <c r="S205" s="282">
        <f t="shared" si="382"/>
        <v>-6.7882974176838497E-3</v>
      </c>
      <c r="T205" s="282">
        <f t="shared" ref="T205:U205" si="383">T100 * (1 - T$115)</f>
        <v>-6.8789807801338254E-3</v>
      </c>
      <c r="U205" s="282">
        <f t="shared" si="383"/>
        <v>-6.8789807801338254E-3</v>
      </c>
      <c r="V205" s="282">
        <f t="shared" ref="V205:W205" si="384">V100 * (1 - V$115)</f>
        <v>-6.7882974176838497E-3</v>
      </c>
      <c r="W205" s="282">
        <f t="shared" si="384"/>
        <v>-6.7882974176838497E-3</v>
      </c>
      <c r="X205" s="282">
        <f t="shared" ref="X205:Y205" si="385">X100 * (1 - X$115)</f>
        <v>-6.6976140552338741E-3</v>
      </c>
      <c r="Y205" s="282">
        <f t="shared" si="385"/>
        <v>-6.6976140552338741E-3</v>
      </c>
      <c r="Z205" s="268"/>
      <c r="AA205" s="268"/>
    </row>
    <row r="206" spans="4:27" x14ac:dyDescent="0.25">
      <c r="F206" t="s">
        <v>195</v>
      </c>
      <c r="G206" t="s">
        <v>269</v>
      </c>
      <c r="H206" s="268"/>
      <c r="I206" s="268"/>
      <c r="J206" s="282">
        <f t="shared" ref="J206:K206" si="386">J101 * (1 - J$116)</f>
        <v>8.5365945475937496E-3</v>
      </c>
      <c r="K206" s="282">
        <f t="shared" si="386"/>
        <v>8.5365945475937496E-3</v>
      </c>
      <c r="L206" s="282">
        <f t="shared" ref="L206:M206" si="387">L101 * (1 - L$116)</f>
        <v>9.0805722583958675E-3</v>
      </c>
      <c r="M206" s="282">
        <f t="shared" si="387"/>
        <v>9.0805722583958675E-3</v>
      </c>
      <c r="N206" s="282">
        <f t="shared" ref="N206:P206" si="388">N101 * (1 - N$116)</f>
        <v>6.9054006675099708E-3</v>
      </c>
      <c r="O206" s="282">
        <f t="shared" si="388"/>
        <v>6.3774537802118881E-3</v>
      </c>
      <c r="P206" s="282">
        <f t="shared" si="388"/>
        <v>0</v>
      </c>
      <c r="Q206" s="282">
        <f t="shared" ref="Q206:S206" si="389">Q101 * (1 - Q$116)</f>
        <v>6.3760002896773227E-3</v>
      </c>
      <c r="R206" s="282">
        <f t="shared" si="389"/>
        <v>-5.4409928251072971E-3</v>
      </c>
      <c r="S206" s="282">
        <f t="shared" si="389"/>
        <v>-5.3692659893714197E-3</v>
      </c>
      <c r="T206" s="282">
        <f t="shared" ref="T206:U206" si="390">T101 * (1 - T$116)</f>
        <v>-5.4409928251072971E-3</v>
      </c>
      <c r="U206" s="282">
        <f t="shared" si="390"/>
        <v>-5.4409928251072971E-3</v>
      </c>
      <c r="V206" s="282">
        <f t="shared" ref="V206:W206" si="391">V101 * (1 - V$116)</f>
        <v>-5.3692659893714197E-3</v>
      </c>
      <c r="W206" s="282">
        <f t="shared" si="391"/>
        <v>-5.3692659893714197E-3</v>
      </c>
      <c r="X206" s="282">
        <f t="shared" ref="X206:Y206" si="392">X101 * (1 - X$116)</f>
        <v>-5.2975391536355413E-3</v>
      </c>
      <c r="Y206" s="282">
        <f t="shared" si="392"/>
        <v>-5.2975391536355413E-3</v>
      </c>
      <c r="Z206" s="268"/>
      <c r="AA206" s="268"/>
    </row>
    <row r="207" spans="4:27" x14ac:dyDescent="0.25">
      <c r="F207" t="s">
        <v>196</v>
      </c>
      <c r="G207" t="s">
        <v>269</v>
      </c>
      <c r="H207" s="268"/>
      <c r="I207" s="268"/>
      <c r="J207" s="282">
        <f t="shared" ref="J207:K207" si="393">J102 * (1 - J$117)</f>
        <v>0</v>
      </c>
      <c r="K207" s="282">
        <f t="shared" si="393"/>
        <v>0</v>
      </c>
      <c r="L207" s="282">
        <f t="shared" ref="L207:M207" si="394">L102 * (1 - L$117)</f>
        <v>0</v>
      </c>
      <c r="M207" s="282">
        <f t="shared" si="394"/>
        <v>0</v>
      </c>
      <c r="N207" s="282">
        <f t="shared" ref="N207:P207" si="395">N102 * (1 - N$117)</f>
        <v>0</v>
      </c>
      <c r="O207" s="282">
        <f t="shared" si="395"/>
        <v>0</v>
      </c>
      <c r="P207" s="282">
        <f t="shared" si="395"/>
        <v>0</v>
      </c>
      <c r="Q207" s="282">
        <f t="shared" ref="Q207:S207" si="396">Q102 * (1 - Q$117)</f>
        <v>0</v>
      </c>
      <c r="R207" s="282">
        <f t="shared" si="396"/>
        <v>0</v>
      </c>
      <c r="S207" s="282">
        <f t="shared" si="396"/>
        <v>0</v>
      </c>
      <c r="T207" s="282">
        <f t="shared" ref="T207:U207" si="397">T102 * (1 - T$117)</f>
        <v>0</v>
      </c>
      <c r="U207" s="282">
        <f t="shared" si="397"/>
        <v>0</v>
      </c>
      <c r="V207" s="282">
        <f t="shared" ref="V207:W207" si="398">V102 * (1 - V$117)</f>
        <v>0</v>
      </c>
      <c r="W207" s="282">
        <f t="shared" si="398"/>
        <v>0</v>
      </c>
      <c r="X207" s="282">
        <f t="shared" ref="X207:Y207" si="399">X102 * (1 - X$117)</f>
        <v>0</v>
      </c>
      <c r="Y207" s="282">
        <f t="shared" si="399"/>
        <v>0</v>
      </c>
      <c r="Z207" s="268"/>
      <c r="AA207" s="268"/>
    </row>
    <row r="208" spans="4:27" x14ac:dyDescent="0.25">
      <c r="F208" t="s">
        <v>197</v>
      </c>
      <c r="G208" t="s">
        <v>269</v>
      </c>
      <c r="H208" s="268"/>
      <c r="I208" s="268"/>
      <c r="J208" s="282">
        <f t="shared" ref="J208:K208" si="400">J103 * (1 - J$118)</f>
        <v>3.9311092332712315E-2</v>
      </c>
      <c r="K208" s="282">
        <f t="shared" si="400"/>
        <v>3.9311092332712315E-2</v>
      </c>
      <c r="L208" s="282">
        <f t="shared" ref="L208:M208" si="401">L103 * (1 - L$118)</f>
        <v>4.1816114434565246E-2</v>
      </c>
      <c r="M208" s="282">
        <f t="shared" si="401"/>
        <v>4.1816114434565246E-2</v>
      </c>
      <c r="N208" s="282">
        <f t="shared" ref="N208:P208" si="402">N103 * (1 - N$118)</f>
        <v>2.5439544232436353E-2</v>
      </c>
      <c r="O208" s="282">
        <f t="shared" si="402"/>
        <v>0</v>
      </c>
      <c r="P208" s="282">
        <f t="shared" si="402"/>
        <v>0</v>
      </c>
      <c r="Q208" s="282">
        <f t="shared" ref="Q208:S208" si="403">Q103 * (1 - Q$118)</f>
        <v>2.9361536934134576E-2</v>
      </c>
      <c r="R208" s="282">
        <f t="shared" si="403"/>
        <v>-2.5055819406312178E-2</v>
      </c>
      <c r="S208" s="282">
        <f t="shared" si="403"/>
        <v>-2.4725516702274165E-2</v>
      </c>
      <c r="T208" s="282">
        <f t="shared" ref="T208:U208" si="404">T103 * (1 - T$118)</f>
        <v>-2.5055819406312178E-2</v>
      </c>
      <c r="U208" s="282">
        <f t="shared" si="404"/>
        <v>-2.5055819406312178E-2</v>
      </c>
      <c r="V208" s="282">
        <f t="shared" ref="V208:W208" si="405">V103 * (1 - V$118)</f>
        <v>-2.4725516702274165E-2</v>
      </c>
      <c r="W208" s="282">
        <f t="shared" si="405"/>
        <v>-2.4725516702274165E-2</v>
      </c>
      <c r="X208" s="282">
        <f t="shared" ref="X208:Y208" si="406">X103 * (1 - X$118)</f>
        <v>0</v>
      </c>
      <c r="Y208" s="282">
        <f t="shared" si="406"/>
        <v>0</v>
      </c>
      <c r="Z208" s="268"/>
      <c r="AA208" s="268"/>
    </row>
    <row r="209" spans="2:27" x14ac:dyDescent="0.25">
      <c r="F209" t="s">
        <v>198</v>
      </c>
      <c r="G209" t="s">
        <v>269</v>
      </c>
      <c r="H209" s="268"/>
      <c r="I209" s="268"/>
      <c r="J209" s="282">
        <f t="shared" ref="J209:K209" si="407">J104 * (1 - J$119)</f>
        <v>1.6128752325703943E-2</v>
      </c>
      <c r="K209" s="282">
        <f t="shared" si="407"/>
        <v>1.6128752325703943E-2</v>
      </c>
      <c r="L209" s="282">
        <f t="shared" ref="L209:M209" si="408">L104 * (1 - L$119)</f>
        <v>1.7156525370249424E-2</v>
      </c>
      <c r="M209" s="282">
        <f t="shared" si="408"/>
        <v>1.7156525370249424E-2</v>
      </c>
      <c r="N209" s="282">
        <f t="shared" ref="N209:P209" si="409">N104 * (1 - N$119)</f>
        <v>0</v>
      </c>
      <c r="O209" s="282">
        <f t="shared" si="409"/>
        <v>0</v>
      </c>
      <c r="P209" s="282">
        <f t="shared" si="409"/>
        <v>0</v>
      </c>
      <c r="Q209" s="282">
        <f t="shared" ref="Q209:S209" si="410">Q104 * (1 - Q$119)</f>
        <v>1.2046598784501164E-2</v>
      </c>
      <c r="R209" s="282">
        <f t="shared" si="410"/>
        <v>-1.0280027380101368E-2</v>
      </c>
      <c r="S209" s="282">
        <f t="shared" si="410"/>
        <v>0</v>
      </c>
      <c r="T209" s="282">
        <f t="shared" ref="T209:U209" si="411">T104 * (1 - T$119)</f>
        <v>-1.0280027380101368E-2</v>
      </c>
      <c r="U209" s="282">
        <f t="shared" si="411"/>
        <v>-1.0280027380101368E-2</v>
      </c>
      <c r="V209" s="282">
        <f t="shared" ref="V209:W209" si="412">V104 * (1 - V$119)</f>
        <v>0</v>
      </c>
      <c r="W209" s="282">
        <f t="shared" si="412"/>
        <v>0</v>
      </c>
      <c r="X209" s="282">
        <f t="shared" ref="X209:Y209" si="413">X104 * (1 - X$119)</f>
        <v>0</v>
      </c>
      <c r="Y209" s="282">
        <f t="shared" si="413"/>
        <v>0</v>
      </c>
      <c r="Z209" s="268"/>
      <c r="AA209" s="268"/>
    </row>
    <row r="210" spans="2:27" x14ac:dyDescent="0.25">
      <c r="F210" t="s">
        <v>199</v>
      </c>
      <c r="G210" t="s">
        <v>269</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2.9728657393916873E-2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25">
      <c r="D211"/>
      <c r="F211" s="95" t="s">
        <v>334</v>
      </c>
      <c r="G211" s="95" t="s">
        <v>269</v>
      </c>
      <c r="H211" s="266"/>
      <c r="I211" s="266" t="s">
        <v>154</v>
      </c>
      <c r="J211" s="280"/>
      <c r="K211" s="280"/>
      <c r="L211" s="280"/>
      <c r="M211" s="280"/>
      <c r="N211" s="280"/>
      <c r="O211" s="280"/>
      <c r="P211" s="280"/>
      <c r="Q211" s="283">
        <f>Q106</f>
        <v>1.221008124060708</v>
      </c>
      <c r="R211" s="280"/>
      <c r="S211" s="280"/>
      <c r="T211" s="280"/>
      <c r="U211" s="280"/>
      <c r="V211" s="280"/>
      <c r="W211" s="280"/>
      <c r="X211" s="280"/>
      <c r="Y211" s="280"/>
      <c r="Z211" s="268"/>
      <c r="AA211" s="268" t="s">
        <v>611</v>
      </c>
    </row>
    <row r="212" spans="2:27" x14ac:dyDescent="0.25">
      <c r="D212"/>
      <c r="F212" s="96" t="s">
        <v>335</v>
      </c>
      <c r="G212" s="96" t="s">
        <v>269</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25">
      <c r="J213" s="106"/>
      <c r="K213" s="106"/>
      <c r="L213" s="106"/>
      <c r="M213" s="106"/>
      <c r="N213" s="106"/>
      <c r="O213" s="106"/>
      <c r="P213" s="106"/>
      <c r="Q213" s="106"/>
      <c r="R213" s="106"/>
      <c r="S213" s="106"/>
      <c r="T213" s="106"/>
      <c r="U213" s="106"/>
      <c r="V213" s="106"/>
      <c r="W213" s="106"/>
      <c r="X213" s="106"/>
      <c r="Y213" s="106"/>
    </row>
    <row r="214" spans="2:27" x14ac:dyDescent="0.25">
      <c r="C214" s="93" t="str">
        <f ca="1">INDEX('Version control'!$H$41:$H$64,MATCH($A$1,'Version control'!$F$41:$F$64,0),1)&amp;"-H: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25">
      <c r="J215" s="106"/>
      <c r="K215" s="106"/>
      <c r="L215" s="106"/>
      <c r="M215" s="106"/>
      <c r="N215" s="106"/>
      <c r="O215" s="106"/>
      <c r="P215" s="106"/>
      <c r="Q215" s="106"/>
      <c r="R215" s="106"/>
      <c r="S215" s="106"/>
      <c r="T215" s="106"/>
      <c r="U215" s="106"/>
      <c r="V215" s="106"/>
      <c r="W215" s="106"/>
      <c r="X215" s="106"/>
      <c r="Y215" s="106"/>
      <c r="AA215" s="3"/>
    </row>
    <row r="216" spans="2:27" x14ac:dyDescent="0.25">
      <c r="D216"/>
      <c r="E216" s="75" t="s">
        <v>614</v>
      </c>
      <c r="F216" s="2"/>
      <c r="J216" s="106"/>
      <c r="K216" s="106"/>
      <c r="L216" s="106"/>
      <c r="M216" s="106"/>
      <c r="N216" s="106"/>
      <c r="O216" s="106"/>
      <c r="P216" s="106"/>
      <c r="Q216" s="106"/>
      <c r="R216" s="106"/>
      <c r="S216" s="106"/>
      <c r="T216" s="106"/>
      <c r="U216" s="106"/>
      <c r="V216" s="106"/>
      <c r="W216" s="106"/>
      <c r="X216" s="106"/>
      <c r="Y216" s="106"/>
      <c r="AA216" s="3"/>
    </row>
    <row r="217" spans="2:27" x14ac:dyDescent="0.25">
      <c r="D217"/>
      <c r="F217" s="95" t="s">
        <v>615</v>
      </c>
      <c r="G217" s="95" t="s">
        <v>269</v>
      </c>
      <c r="H217" s="266"/>
      <c r="I217" s="266"/>
      <c r="J217" s="284">
        <f t="shared" ref="J217:K217" si="421">SUM(J127:J138,J141:J152)</f>
        <v>22.754367788879499</v>
      </c>
      <c r="K217" s="284">
        <f t="shared" si="421"/>
        <v>22.754367788879499</v>
      </c>
      <c r="L217" s="284">
        <f t="shared" ref="L217:M217" si="422">SUM(L127:L138,L141:L152)</f>
        <v>24.204345157669163</v>
      </c>
      <c r="M217" s="284">
        <f t="shared" si="422"/>
        <v>24.204345157669163</v>
      </c>
      <c r="N217" s="284">
        <f t="shared" ref="N217:P217" si="423">SUM(N127:N138,N141:N152)</f>
        <v>14.833378766097514</v>
      </c>
      <c r="O217" s="284">
        <f t="shared" si="423"/>
        <v>9.3736478380256543</v>
      </c>
      <c r="P217" s="284">
        <f t="shared" si="423"/>
        <v>7.2418921898197315</v>
      </c>
      <c r="Q217" s="284">
        <f t="shared" ref="Q217:S217" si="424">SUM(Q127:Q138,Q141:Q152)</f>
        <v>68.156894154197772</v>
      </c>
      <c r="R217" s="284">
        <f t="shared" si="424"/>
        <v>-14.503014192473726</v>
      </c>
      <c r="S217" s="284">
        <f t="shared" si="424"/>
        <v>-12.444090350355333</v>
      </c>
      <c r="T217" s="284">
        <f t="shared" ref="T217:U217" si="425">SUM(T127:T138,T141:T152)</f>
        <v>-14.503014192473726</v>
      </c>
      <c r="U217" s="284">
        <f t="shared" si="425"/>
        <v>-14.503014192473726</v>
      </c>
      <c r="V217" s="284">
        <f t="shared" ref="V217:W217" si="426">SUM(V127:V138,V141:V152)</f>
        <v>-12.444090350355333</v>
      </c>
      <c r="W217" s="284">
        <f t="shared" si="426"/>
        <v>-12.444090350355333</v>
      </c>
      <c r="X217" s="284">
        <f t="shared" ref="X217:Y217" si="427">SUM(X127:X138,X141:X152)</f>
        <v>-7.7863780978561934</v>
      </c>
      <c r="Y217" s="284">
        <f t="shared" si="427"/>
        <v>-7.7863780978561934</v>
      </c>
      <c r="Z217" s="268"/>
      <c r="AA217" s="268"/>
    </row>
    <row r="218" spans="2:27" x14ac:dyDescent="0.25">
      <c r="D218"/>
      <c r="F218" t="s">
        <v>616</v>
      </c>
      <c r="G218" t="s">
        <v>269</v>
      </c>
      <c r="H218" s="268"/>
      <c r="I218" s="268"/>
      <c r="J218" s="284">
        <f t="shared" ref="J218:K218" si="428">SUM(J157:J168,J171:J182)</f>
        <v>1.8142545868877058</v>
      </c>
      <c r="K218" s="284">
        <f t="shared" si="428"/>
        <v>1.8142545868877058</v>
      </c>
      <c r="L218" s="284">
        <f t="shared" ref="L218:M218" si="429">SUM(L157:L168,L171:L182)</f>
        <v>1.9298643949306107</v>
      </c>
      <c r="M218" s="284">
        <f t="shared" si="429"/>
        <v>1.9298643949306107</v>
      </c>
      <c r="N218" s="284">
        <f t="shared" ref="N218:P218" si="430">SUM(N157:N168,N171:N182)</f>
        <v>1.0647017530048353</v>
      </c>
      <c r="O218" s="284">
        <f t="shared" si="430"/>
        <v>0.49555677768372769</v>
      </c>
      <c r="P218" s="284">
        <f t="shared" si="430"/>
        <v>0.30212181510475317</v>
      </c>
      <c r="Q218" s="284">
        <f t="shared" ref="Q218:S218" si="431">SUM(Q157:Q168,Q171:Q182)</f>
        <v>3.4434024913493984</v>
      </c>
      <c r="R218" s="284">
        <f t="shared" si="431"/>
        <v>-1.15635645281484</v>
      </c>
      <c r="S218" s="284">
        <f t="shared" si="431"/>
        <v>-0.93051409035444521</v>
      </c>
      <c r="T218" s="284">
        <f t="shared" ref="T218:U218" si="432">SUM(T157:T168,T171:T182)</f>
        <v>-1.15635645281484</v>
      </c>
      <c r="U218" s="284">
        <f t="shared" si="432"/>
        <v>-1.15635645281484</v>
      </c>
      <c r="V218" s="284">
        <f t="shared" ref="V218:W218" si="433">SUM(V157:V168,V171:V182)</f>
        <v>-0.93051409035444521</v>
      </c>
      <c r="W218" s="284">
        <f t="shared" si="433"/>
        <v>-0.93051409035444521</v>
      </c>
      <c r="X218" s="284">
        <f t="shared" ref="X218:Y218" si="434">SUM(X157:X168,X171:X182)</f>
        <v>-0.41164256505858809</v>
      </c>
      <c r="Y218" s="284">
        <f t="shared" si="434"/>
        <v>-0.41164256505858809</v>
      </c>
      <c r="Z218" s="268"/>
      <c r="AA218" s="268"/>
    </row>
    <row r="219" spans="2:27" x14ac:dyDescent="0.25">
      <c r="D219"/>
      <c r="F219" s="96" t="s">
        <v>617</v>
      </c>
      <c r="G219" s="96" t="s">
        <v>269</v>
      </c>
      <c r="H219" s="270"/>
      <c r="I219" s="270"/>
      <c r="J219" s="285">
        <f t="shared" ref="J219:K219" si="435">SUM(J187:J198,J201:J212)</f>
        <v>0.1984681748021638</v>
      </c>
      <c r="K219" s="285">
        <f t="shared" si="435"/>
        <v>0.1984681748021638</v>
      </c>
      <c r="L219" s="285">
        <f t="shared" ref="L219:M219" si="436">SUM(L187:L198,L201:L212)</f>
        <v>0.21111516919718137</v>
      </c>
      <c r="M219" s="285">
        <f t="shared" si="436"/>
        <v>0.21111516919718137</v>
      </c>
      <c r="N219" s="285">
        <f t="shared" ref="N219:P219" si="437">SUM(N187:N198,N201:N212)</f>
        <v>0.11409479114169718</v>
      </c>
      <c r="O219" s="285">
        <f t="shared" si="437"/>
        <v>4.9137946589288356E-2</v>
      </c>
      <c r="P219" s="285">
        <f t="shared" si="437"/>
        <v>2.7504662128690939E-2</v>
      </c>
      <c r="Q219" s="285">
        <f t="shared" ref="Q219:S219" si="438">SUM(Q187:Q198,Q201:Q212)</f>
        <v>1.4403993664356005</v>
      </c>
      <c r="R219" s="285">
        <f t="shared" si="438"/>
        <v>-0.12649820828319655</v>
      </c>
      <c r="S219" s="285">
        <f t="shared" si="438"/>
        <v>-0.10054994344094254</v>
      </c>
      <c r="T219" s="285">
        <f t="shared" ref="T219:U219" si="439">SUM(T187:T198,T201:T212)</f>
        <v>-0.12649820828319655</v>
      </c>
      <c r="U219" s="285">
        <f t="shared" si="439"/>
        <v>-0.12649820828319655</v>
      </c>
      <c r="V219" s="285">
        <f t="shared" ref="V219:W219" si="440">SUM(V187:V198,V201:V212)</f>
        <v>-0.10054994344094254</v>
      </c>
      <c r="W219" s="285">
        <f t="shared" si="440"/>
        <v>-0.10054994344094254</v>
      </c>
      <c r="X219" s="285">
        <f t="shared" ref="X219:Y219" si="441">SUM(X187:X198,X201:X212)</f>
        <v>-4.0817261082111422E-2</v>
      </c>
      <c r="Y219" s="285">
        <f t="shared" si="441"/>
        <v>-4.0817261082111422E-2</v>
      </c>
      <c r="Z219" s="268"/>
      <c r="AA219" s="268"/>
    </row>
    <row r="221" spans="2:27" x14ac:dyDescent="0.25">
      <c r="B221" s="85" t="s">
        <v>231</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25">
      <c r="AA222" s="3"/>
    </row>
    <row r="223" spans="2:27" x14ac:dyDescent="0.25">
      <c r="E223" t="s">
        <v>232</v>
      </c>
      <c r="G223" s="6" t="s">
        <v>56</v>
      </c>
      <c r="H223" s="113">
        <f t="array" ref="H223">SUM(IF(ISERROR(H22:Y219), 1))</f>
        <v>0</v>
      </c>
      <c r="AA223" s="3"/>
    </row>
    <row r="225" spans="2:27" x14ac:dyDescent="0.25">
      <c r="B225" s="85" t="s">
        <v>107</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H295 &amp; IF(H295 = 1, " issue", " issues") &amp;" identified in checks on this sheet"</f>
        <v>0 issues identified in checks on this sheet</v>
      </c>
      <c r="B4" s="61"/>
      <c r="C4" s="61"/>
      <c r="D4" s="61"/>
      <c r="E4" s="61"/>
      <c r="F4" s="61"/>
      <c r="G4" s="61"/>
      <c r="H4" s="62"/>
      <c r="I4" s="62"/>
      <c r="AA4" s="286"/>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642</v>
      </c>
      <c r="E9"/>
    </row>
    <row r="10" spans="1:27" x14ac:dyDescent="0.25">
      <c r="D10" s="86" t="s">
        <v>643</v>
      </c>
      <c r="E10"/>
    </row>
    <row r="11" spans="1:27" x14ac:dyDescent="0.25">
      <c r="D11" s="86" t="s">
        <v>644</v>
      </c>
      <c r="E11"/>
    </row>
    <row r="12" spans="1:27" x14ac:dyDescent="0.25">
      <c r="D12" s="86" t="s">
        <v>645</v>
      </c>
      <c r="E12"/>
    </row>
    <row r="13" spans="1:27" x14ac:dyDescent="0.25">
      <c r="D13" s="86" t="s">
        <v>646</v>
      </c>
      <c r="E13"/>
    </row>
    <row r="14" spans="1:27" x14ac:dyDescent="0.25">
      <c r="D14" s="86" t="s">
        <v>647</v>
      </c>
      <c r="E14"/>
    </row>
    <row r="15" spans="1:27" x14ac:dyDescent="0.25">
      <c r="D15" s="86" t="s">
        <v>648</v>
      </c>
    </row>
    <row r="17" spans="2:27" x14ac:dyDescent="0.25">
      <c r="B17" s="85" t="s">
        <v>649</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25">
      <c r="D18"/>
      <c r="E18"/>
    </row>
    <row r="19" spans="2:27" x14ac:dyDescent="0.25">
      <c r="C19" s="93" t="str">
        <f ca="1">INDEX('Version control'!$H$41:$H$64,MATCH($A$1,'Version control'!$F$41:$F$64,0),1)&amp;"-A: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25">
      <c r="E21" s="75" t="s">
        <v>650</v>
      </c>
      <c r="F21" s="2"/>
    </row>
    <row r="22" spans="2:27" x14ac:dyDescent="0.25">
      <c r="D22"/>
      <c r="E22" s="86" t="s">
        <v>651</v>
      </c>
      <c r="F22" s="2"/>
    </row>
    <row r="23" spans="2:27" x14ac:dyDescent="0.25">
      <c r="C23" s="105"/>
      <c r="F23" s="145" t="s">
        <v>189</v>
      </c>
      <c r="G23" s="145" t="s">
        <v>167</v>
      </c>
      <c r="H23" s="287">
        <f>'System peak demand'!H226</f>
        <v>2.200000000000002E-2</v>
      </c>
    </row>
    <row r="24" spans="2:27" x14ac:dyDescent="0.25">
      <c r="C24" s="105"/>
      <c r="F24" t="s">
        <v>191</v>
      </c>
      <c r="G24" t="s">
        <v>167</v>
      </c>
      <c r="H24" s="155">
        <f>'System peak demand'!H226</f>
        <v>2.200000000000002E-2</v>
      </c>
    </row>
    <row r="25" spans="2:27" x14ac:dyDescent="0.25">
      <c r="C25" s="105"/>
      <c r="F25" t="s">
        <v>192</v>
      </c>
      <c r="G25" t="s">
        <v>167</v>
      </c>
      <c r="H25" s="155">
        <f>'System peak demand'!H227</f>
        <v>5.3682000000000007E-2</v>
      </c>
    </row>
    <row r="26" spans="2:27" x14ac:dyDescent="0.25">
      <c r="C26" s="105"/>
      <c r="F26" t="s">
        <v>193</v>
      </c>
      <c r="G26" t="s">
        <v>167</v>
      </c>
      <c r="H26" s="155">
        <f>'System peak demand'!H228</f>
        <v>5.3682000000000007E-2</v>
      </c>
    </row>
    <row r="27" spans="2:27" x14ac:dyDescent="0.25">
      <c r="C27" s="105"/>
      <c r="F27" t="s">
        <v>194</v>
      </c>
      <c r="G27" t="s">
        <v>167</v>
      </c>
      <c r="H27" s="155">
        <f>'System peak demand'!H229</f>
        <v>0.13270815000000002</v>
      </c>
    </row>
    <row r="28" spans="2:27" x14ac:dyDescent="0.25">
      <c r="C28" s="105"/>
      <c r="F28" t="s">
        <v>195</v>
      </c>
      <c r="G28" t="s">
        <v>167</v>
      </c>
      <c r="H28" s="155">
        <f>'System peak demand'!H230</f>
        <v>0.13270815000000002</v>
      </c>
    </row>
    <row r="29" spans="2:27" x14ac:dyDescent="0.25">
      <c r="C29" s="105"/>
      <c r="F29" t="s">
        <v>196</v>
      </c>
      <c r="G29" t="s">
        <v>167</v>
      </c>
      <c r="H29" s="155">
        <f>'System peak demand'!H231</f>
        <v>5.3682000000000007E-2</v>
      </c>
    </row>
    <row r="30" spans="2:27" x14ac:dyDescent="0.25">
      <c r="C30" s="105"/>
      <c r="F30" t="s">
        <v>197</v>
      </c>
      <c r="G30" t="s">
        <v>167</v>
      </c>
      <c r="H30" s="155">
        <f>'System peak demand'!H232</f>
        <v>0.55181016550000006</v>
      </c>
    </row>
    <row r="31" spans="2:27" x14ac:dyDescent="0.25">
      <c r="C31" s="105"/>
      <c r="F31" t="s">
        <v>198</v>
      </c>
      <c r="G31" t="s">
        <v>167</v>
      </c>
      <c r="H31" s="155">
        <f>'System peak demand'!H233</f>
        <v>0.55181016550000006</v>
      </c>
    </row>
    <row r="32" spans="2:27" x14ac:dyDescent="0.25">
      <c r="C32" s="105"/>
      <c r="F32" t="s">
        <v>199</v>
      </c>
      <c r="G32" t="s">
        <v>167</v>
      </c>
      <c r="H32" s="155">
        <f>'System peak demand'!H234</f>
        <v>0.55875906733001446</v>
      </c>
    </row>
    <row r="33" spans="3:8" x14ac:dyDescent="0.25">
      <c r="C33" s="105"/>
      <c r="F33" t="s">
        <v>334</v>
      </c>
      <c r="G33" t="s">
        <v>167</v>
      </c>
      <c r="H33" s="100"/>
    </row>
    <row r="34" spans="3:8" x14ac:dyDescent="0.25">
      <c r="C34" s="105"/>
      <c r="F34" s="96" t="s">
        <v>335</v>
      </c>
      <c r="G34" s="96" t="s">
        <v>167</v>
      </c>
      <c r="H34" s="102"/>
    </row>
    <row r="35" spans="3:8" x14ac:dyDescent="0.25">
      <c r="C35" s="105"/>
      <c r="F35" s="2"/>
    </row>
    <row r="36" spans="3:8" x14ac:dyDescent="0.25">
      <c r="E36" s="105" t="s">
        <v>352</v>
      </c>
      <c r="F36" s="2"/>
    </row>
    <row r="37" spans="3:8" x14ac:dyDescent="0.25">
      <c r="C37" s="105"/>
      <c r="F37" s="95" t="s">
        <v>189</v>
      </c>
      <c r="G37" s="98" t="s">
        <v>283</v>
      </c>
      <c r="H37" s="171">
        <f t="array" ref="H37:H46">TRANSPOSE('Load &amp; loss characteristics'!J29:S29)</f>
        <v>1</v>
      </c>
    </row>
    <row r="38" spans="3:8" x14ac:dyDescent="0.25">
      <c r="C38" s="105"/>
      <c r="F38" t="s">
        <v>191</v>
      </c>
      <c r="G38" s="94" t="s">
        <v>283</v>
      </c>
      <c r="H38" s="167">
        <v>1</v>
      </c>
    </row>
    <row r="39" spans="3:8" x14ac:dyDescent="0.25">
      <c r="C39" s="105"/>
      <c r="F39" t="s">
        <v>192</v>
      </c>
      <c r="G39" s="94" t="s">
        <v>283</v>
      </c>
      <c r="H39" s="167">
        <v>1.0009999999999999</v>
      </c>
    </row>
    <row r="40" spans="3:8" x14ac:dyDescent="0.25">
      <c r="C40" s="105"/>
      <c r="F40" t="s">
        <v>193</v>
      </c>
      <c r="G40" s="94" t="s">
        <v>283</v>
      </c>
      <c r="H40" s="167">
        <v>1.0049999999999999</v>
      </c>
    </row>
    <row r="41" spans="3:8" x14ac:dyDescent="0.25">
      <c r="C41" s="105"/>
      <c r="F41" t="s">
        <v>194</v>
      </c>
      <c r="G41" s="94" t="s">
        <v>283</v>
      </c>
      <c r="H41" s="167">
        <v>1.012</v>
      </c>
    </row>
    <row r="42" spans="3:8" x14ac:dyDescent="0.25">
      <c r="C42" s="105"/>
      <c r="F42" t="s">
        <v>195</v>
      </c>
      <c r="G42" s="94" t="s">
        <v>283</v>
      </c>
      <c r="H42" s="167">
        <v>1.018</v>
      </c>
    </row>
    <row r="43" spans="3:8" x14ac:dyDescent="0.25">
      <c r="C43" s="105"/>
      <c r="F43" t="s">
        <v>196</v>
      </c>
      <c r="G43" s="94" t="s">
        <v>283</v>
      </c>
      <c r="H43" s="167">
        <v>1.018</v>
      </c>
    </row>
    <row r="44" spans="3:8" x14ac:dyDescent="0.25">
      <c r="C44" s="105"/>
      <c r="F44" t="s">
        <v>197</v>
      </c>
      <c r="G44" s="94" t="s">
        <v>283</v>
      </c>
      <c r="H44" s="167">
        <v>1.034</v>
      </c>
    </row>
    <row r="45" spans="3:8" x14ac:dyDescent="0.25">
      <c r="C45" s="105"/>
      <c r="F45" t="s">
        <v>198</v>
      </c>
      <c r="G45" s="94" t="s">
        <v>283</v>
      </c>
      <c r="H45" s="167">
        <v>1.048</v>
      </c>
    </row>
    <row r="46" spans="3:8" x14ac:dyDescent="0.25">
      <c r="C46" s="105"/>
      <c r="F46" t="s">
        <v>199</v>
      </c>
      <c r="G46" s="94" t="s">
        <v>283</v>
      </c>
      <c r="H46" s="167">
        <v>1.0620000000000001</v>
      </c>
    </row>
    <row r="47" spans="3:8" x14ac:dyDescent="0.25">
      <c r="C47" s="105"/>
      <c r="F47" t="s">
        <v>334</v>
      </c>
      <c r="G47" s="94" t="s">
        <v>283</v>
      </c>
      <c r="H47" s="119"/>
    </row>
    <row r="48" spans="3:8" x14ac:dyDescent="0.25">
      <c r="C48" s="105"/>
      <c r="F48" s="96" t="s">
        <v>335</v>
      </c>
      <c r="G48" s="101" t="s">
        <v>283</v>
      </c>
      <c r="H48" s="121"/>
    </row>
    <row r="49" spans="3:8" x14ac:dyDescent="0.25">
      <c r="C49" s="105"/>
      <c r="F49" s="2"/>
      <c r="H49" s="106"/>
    </row>
    <row r="50" spans="3:8" x14ac:dyDescent="0.25">
      <c r="C50" s="105"/>
      <c r="E50" s="105" t="s">
        <v>541</v>
      </c>
      <c r="H50" s="106"/>
    </row>
    <row r="51" spans="3:8" x14ac:dyDescent="0.25">
      <c r="C51" s="105"/>
      <c r="E51" s="86"/>
      <c r="F51" s="95" t="s">
        <v>189</v>
      </c>
      <c r="G51" s="95" t="s">
        <v>542</v>
      </c>
      <c r="H51" s="117"/>
    </row>
    <row r="52" spans="3:8" x14ac:dyDescent="0.25">
      <c r="C52" s="105"/>
      <c r="E52" s="86"/>
      <c r="F52" t="s">
        <v>191</v>
      </c>
      <c r="G52" t="s">
        <v>542</v>
      </c>
      <c r="H52" s="119"/>
    </row>
    <row r="53" spans="3:8" x14ac:dyDescent="0.25">
      <c r="C53" s="105"/>
      <c r="E53" s="86"/>
      <c r="F53" t="s">
        <v>192</v>
      </c>
      <c r="G53" t="s">
        <v>542</v>
      </c>
      <c r="H53" s="167">
        <f t="array" ref="H53:H60">TRANSPOSE('Unit costs'!L114:S114)</f>
        <v>14.758726996884906</v>
      </c>
    </row>
    <row r="54" spans="3:8" x14ac:dyDescent="0.25">
      <c r="C54" s="105"/>
      <c r="E54" s="86"/>
      <c r="F54" t="s">
        <v>193</v>
      </c>
      <c r="G54" t="s">
        <v>542</v>
      </c>
      <c r="H54" s="167">
        <v>2.1225096707163735</v>
      </c>
    </row>
    <row r="55" spans="3:8" x14ac:dyDescent="0.25">
      <c r="C55" s="105"/>
      <c r="E55" s="86"/>
      <c r="F55" t="s">
        <v>194</v>
      </c>
      <c r="G55" t="s">
        <v>542</v>
      </c>
      <c r="H55" s="167">
        <v>6.8342962743198372</v>
      </c>
    </row>
    <row r="56" spans="3:8" x14ac:dyDescent="0.25">
      <c r="C56" s="105"/>
      <c r="E56" s="86"/>
      <c r="F56" t="s">
        <v>195</v>
      </c>
      <c r="G56" t="s">
        <v>542</v>
      </c>
      <c r="H56" s="167">
        <v>5.4376985097408861</v>
      </c>
    </row>
    <row r="57" spans="3:8" x14ac:dyDescent="0.25">
      <c r="C57" s="105"/>
      <c r="E57" s="86"/>
      <c r="F57" t="s">
        <v>196</v>
      </c>
      <c r="G57" t="s">
        <v>542</v>
      </c>
      <c r="H57" s="167">
        <v>0</v>
      </c>
    </row>
    <row r="58" spans="3:8" x14ac:dyDescent="0.25">
      <c r="C58" s="105"/>
      <c r="E58" s="86"/>
      <c r="F58" t="s">
        <v>197</v>
      </c>
      <c r="G58" t="s">
        <v>542</v>
      </c>
      <c r="H58" s="167">
        <v>25.434215248726574</v>
      </c>
    </row>
    <row r="59" spans="3:8" x14ac:dyDescent="0.25">
      <c r="C59" s="105"/>
      <c r="E59" s="86"/>
      <c r="F59" t="s">
        <v>198</v>
      </c>
      <c r="G59" t="s">
        <v>542</v>
      </c>
      <c r="H59" s="167">
        <v>10.576567550614797</v>
      </c>
    </row>
    <row r="60" spans="3:8" x14ac:dyDescent="0.25">
      <c r="C60" s="105"/>
      <c r="E60" s="86"/>
      <c r="F60" t="s">
        <v>199</v>
      </c>
      <c r="G60" t="s">
        <v>542</v>
      </c>
      <c r="H60" s="167">
        <v>26.449583118701288</v>
      </c>
    </row>
    <row r="61" spans="3:8" x14ac:dyDescent="0.25">
      <c r="C61" s="105"/>
      <c r="E61" s="86"/>
      <c r="F61" t="s">
        <v>334</v>
      </c>
      <c r="G61" t="s">
        <v>542</v>
      </c>
      <c r="H61" s="119"/>
    </row>
    <row r="62" spans="3:8" x14ac:dyDescent="0.25">
      <c r="C62" s="105"/>
      <c r="E62" s="86"/>
      <c r="F62" s="96" t="s">
        <v>335</v>
      </c>
      <c r="G62" s="96" t="s">
        <v>542</v>
      </c>
      <c r="H62" s="121"/>
    </row>
    <row r="63" spans="3:8" x14ac:dyDescent="0.25">
      <c r="C63" s="105"/>
      <c r="D63"/>
      <c r="E63" s="86"/>
      <c r="H63" s="106"/>
    </row>
    <row r="64" spans="3:8" x14ac:dyDescent="0.25">
      <c r="C64" s="105"/>
      <c r="E64" s="105" t="s">
        <v>560</v>
      </c>
      <c r="H64" s="106"/>
    </row>
    <row r="65" spans="3:25" x14ac:dyDescent="0.25">
      <c r="C65" s="105"/>
      <c r="F65" s="95" t="s">
        <v>189</v>
      </c>
      <c r="G65" s="95" t="s">
        <v>542</v>
      </c>
      <c r="H65" s="171">
        <f t="array" ref="H65:H74">TRANSPOSE('Unit costs'!J115:S115)</f>
        <v>5.185050422347377</v>
      </c>
    </row>
    <row r="66" spans="3:25" x14ac:dyDescent="0.25">
      <c r="C66" s="105"/>
      <c r="F66" t="s">
        <v>191</v>
      </c>
      <c r="G66" t="s">
        <v>542</v>
      </c>
      <c r="H66" s="167">
        <v>0</v>
      </c>
    </row>
    <row r="67" spans="3:25" x14ac:dyDescent="0.25">
      <c r="C67" s="105"/>
      <c r="F67" t="s">
        <v>192</v>
      </c>
      <c r="G67" t="s">
        <v>542</v>
      </c>
      <c r="H67" s="167">
        <v>10.59127257607375</v>
      </c>
    </row>
    <row r="68" spans="3:25" x14ac:dyDescent="0.25">
      <c r="C68" s="105"/>
      <c r="F68" t="s">
        <v>193</v>
      </c>
      <c r="G68" t="s">
        <v>542</v>
      </c>
      <c r="H68" s="167">
        <v>1.5231719153457122</v>
      </c>
    </row>
    <row r="69" spans="3:25" x14ac:dyDescent="0.25">
      <c r="C69" s="105"/>
      <c r="F69" t="s">
        <v>194</v>
      </c>
      <c r="G69" t="s">
        <v>542</v>
      </c>
      <c r="H69" s="167">
        <v>4.9044809028749308</v>
      </c>
    </row>
    <row r="70" spans="3:25" x14ac:dyDescent="0.25">
      <c r="C70" s="105"/>
      <c r="F70" t="s">
        <v>195</v>
      </c>
      <c r="G70" t="s">
        <v>542</v>
      </c>
      <c r="H70" s="167">
        <v>3.9022435414200429</v>
      </c>
    </row>
    <row r="71" spans="3:25" x14ac:dyDescent="0.25">
      <c r="C71" s="105"/>
      <c r="F71" t="s">
        <v>196</v>
      </c>
      <c r="G71" t="s">
        <v>542</v>
      </c>
      <c r="H71" s="167">
        <v>0</v>
      </c>
    </row>
    <row r="72" spans="3:25" x14ac:dyDescent="0.25">
      <c r="C72" s="105"/>
      <c r="F72" t="s">
        <v>197</v>
      </c>
      <c r="G72" t="s">
        <v>542</v>
      </c>
      <c r="H72" s="167">
        <v>18.25229957262928</v>
      </c>
    </row>
    <row r="73" spans="3:25" x14ac:dyDescent="0.25">
      <c r="C73" s="105"/>
      <c r="F73" t="s">
        <v>198</v>
      </c>
      <c r="G73" t="s">
        <v>542</v>
      </c>
      <c r="H73" s="167">
        <v>7.5900387527638191</v>
      </c>
    </row>
    <row r="74" spans="3:25" x14ac:dyDescent="0.25">
      <c r="C74" s="105"/>
      <c r="F74" t="s">
        <v>199</v>
      </c>
      <c r="G74" t="s">
        <v>542</v>
      </c>
      <c r="H74" s="167">
        <v>18.980955768936685</v>
      </c>
    </row>
    <row r="75" spans="3:25" x14ac:dyDescent="0.25">
      <c r="C75" s="105"/>
      <c r="F75" t="s">
        <v>334</v>
      </c>
      <c r="G75" t="s">
        <v>542</v>
      </c>
      <c r="H75" s="119"/>
    </row>
    <row r="76" spans="3:25" x14ac:dyDescent="0.25">
      <c r="C76" s="105"/>
      <c r="F76" s="96" t="s">
        <v>335</v>
      </c>
      <c r="G76" s="96" t="s">
        <v>542</v>
      </c>
      <c r="H76" s="121"/>
    </row>
    <row r="77" spans="3:25" x14ac:dyDescent="0.25">
      <c r="C77" s="105"/>
      <c r="F77" s="2"/>
    </row>
    <row r="78" spans="3:25" x14ac:dyDescent="0.25">
      <c r="E78" s="75" t="s">
        <v>366</v>
      </c>
      <c r="F78" s="2"/>
    </row>
    <row r="79" spans="3:25" x14ac:dyDescent="0.25">
      <c r="E79" s="86" t="s">
        <v>359</v>
      </c>
    </row>
    <row r="80" spans="3:25" x14ac:dyDescent="0.25">
      <c r="C80" s="105"/>
      <c r="F80" s="95" t="s">
        <v>189</v>
      </c>
      <c r="G80" s="98" t="s">
        <v>283</v>
      </c>
      <c r="H80" s="288"/>
      <c r="I80" s="288"/>
      <c r="J80" s="171">
        <f t="array" ref="J80:Y89">TRANSPOSE('Load &amp; loss characteristics'!J145:S160)</f>
        <v>1.0620000000000001</v>
      </c>
      <c r="K80" s="171">
        <v>1.0620000000000001</v>
      </c>
      <c r="L80" s="171">
        <v>1.0620000000000001</v>
      </c>
      <c r="M80" s="171">
        <v>1.0620000000000001</v>
      </c>
      <c r="N80" s="171">
        <v>1.0620000000000001</v>
      </c>
      <c r="O80" s="171">
        <v>1.048</v>
      </c>
      <c r="P80" s="171">
        <v>1.034</v>
      </c>
      <c r="Q80" s="171">
        <v>1.0620000000000001</v>
      </c>
      <c r="R80" s="171">
        <v>-1.0620000000000001</v>
      </c>
      <c r="S80" s="171">
        <v>-1.048</v>
      </c>
      <c r="T80" s="171">
        <v>-1.0620000000000001</v>
      </c>
      <c r="U80" s="171">
        <v>-1.0620000000000001</v>
      </c>
      <c r="V80" s="171">
        <v>-1.048</v>
      </c>
      <c r="W80" s="171">
        <v>-1.048</v>
      </c>
      <c r="X80" s="171">
        <v>-1.034</v>
      </c>
      <c r="Y80" s="171">
        <v>-1.034</v>
      </c>
    </row>
    <row r="81" spans="3:42" x14ac:dyDescent="0.25">
      <c r="C81" s="105"/>
      <c r="F81" t="s">
        <v>191</v>
      </c>
      <c r="G81" s="94" t="s">
        <v>283</v>
      </c>
      <c r="H81" s="289"/>
      <c r="I81" s="289"/>
      <c r="J81" s="167">
        <v>1.0620000000000001</v>
      </c>
      <c r="K81" s="167">
        <v>1.0620000000000001</v>
      </c>
      <c r="L81" s="167">
        <v>1.0620000000000001</v>
      </c>
      <c r="M81" s="167">
        <v>1.0620000000000001</v>
      </c>
      <c r="N81" s="167">
        <v>1.0620000000000001</v>
      </c>
      <c r="O81" s="167">
        <v>1.048</v>
      </c>
      <c r="P81" s="167">
        <v>1.034</v>
      </c>
      <c r="Q81" s="167">
        <v>1.0620000000000001</v>
      </c>
      <c r="R81" s="167">
        <v>-1.0620000000000001</v>
      </c>
      <c r="S81" s="167">
        <v>-1.048</v>
      </c>
      <c r="T81" s="167">
        <v>-1.0620000000000001</v>
      </c>
      <c r="U81" s="167">
        <v>-1.0620000000000001</v>
      </c>
      <c r="V81" s="167">
        <v>-1.048</v>
      </c>
      <c r="W81" s="167">
        <v>-1.048</v>
      </c>
      <c r="X81" s="167">
        <v>-1.034</v>
      </c>
      <c r="Y81" s="167">
        <v>-1.034</v>
      </c>
    </row>
    <row r="82" spans="3:42" x14ac:dyDescent="0.25">
      <c r="C82" s="105"/>
      <c r="F82" t="s">
        <v>192</v>
      </c>
      <c r="G82" s="94" t="s">
        <v>283</v>
      </c>
      <c r="H82" s="289"/>
      <c r="I82" s="289"/>
      <c r="J82" s="167">
        <v>1.0620000000000001</v>
      </c>
      <c r="K82" s="167">
        <v>1.0620000000000001</v>
      </c>
      <c r="L82" s="167">
        <v>1.0620000000000001</v>
      </c>
      <c r="M82" s="167">
        <v>1.0620000000000001</v>
      </c>
      <c r="N82" s="167">
        <v>1.0620000000000001</v>
      </c>
      <c r="O82" s="167">
        <v>1.048</v>
      </c>
      <c r="P82" s="167">
        <v>1.034</v>
      </c>
      <c r="Q82" s="167">
        <v>1.0620000000000001</v>
      </c>
      <c r="R82" s="167">
        <v>-1.0620000000000001</v>
      </c>
      <c r="S82" s="167">
        <v>-1.048</v>
      </c>
      <c r="T82" s="167">
        <v>-1.0620000000000001</v>
      </c>
      <c r="U82" s="167">
        <v>-1.0620000000000001</v>
      </c>
      <c r="V82" s="167">
        <v>-1.048</v>
      </c>
      <c r="W82" s="167">
        <v>-1.048</v>
      </c>
      <c r="X82" s="167">
        <v>-1.034</v>
      </c>
      <c r="Y82" s="167">
        <v>-1.034</v>
      </c>
    </row>
    <row r="83" spans="3:42" x14ac:dyDescent="0.25">
      <c r="C83" s="105"/>
      <c r="F83" t="s">
        <v>193</v>
      </c>
      <c r="G83" s="94" t="s">
        <v>283</v>
      </c>
      <c r="H83" s="289"/>
      <c r="I83" s="289"/>
      <c r="J83" s="167">
        <v>1.0620000000000001</v>
      </c>
      <c r="K83" s="167">
        <v>1.0620000000000001</v>
      </c>
      <c r="L83" s="167">
        <v>1.0620000000000001</v>
      </c>
      <c r="M83" s="167">
        <v>1.0620000000000001</v>
      </c>
      <c r="N83" s="167">
        <v>1.0620000000000001</v>
      </c>
      <c r="O83" s="167">
        <v>1.048</v>
      </c>
      <c r="P83" s="167">
        <v>1.034</v>
      </c>
      <c r="Q83" s="167">
        <v>1.0620000000000001</v>
      </c>
      <c r="R83" s="167">
        <v>-1.0620000000000001</v>
      </c>
      <c r="S83" s="167">
        <v>-1.048</v>
      </c>
      <c r="T83" s="167">
        <v>-1.0620000000000001</v>
      </c>
      <c r="U83" s="167">
        <v>-1.0620000000000001</v>
      </c>
      <c r="V83" s="167">
        <v>-1.048</v>
      </c>
      <c r="W83" s="167">
        <v>-1.048</v>
      </c>
      <c r="X83" s="167">
        <v>-1.034</v>
      </c>
      <c r="Y83" s="167">
        <v>-1.034</v>
      </c>
    </row>
    <row r="84" spans="3:42" x14ac:dyDescent="0.25">
      <c r="C84" s="105"/>
      <c r="F84" t="s">
        <v>194</v>
      </c>
      <c r="G84" s="94" t="s">
        <v>283</v>
      </c>
      <c r="H84" s="289"/>
      <c r="I84" s="289"/>
      <c r="J84" s="167">
        <v>1.0620000000000001</v>
      </c>
      <c r="K84" s="167">
        <v>1.0620000000000001</v>
      </c>
      <c r="L84" s="167">
        <v>1.0620000000000001</v>
      </c>
      <c r="M84" s="167">
        <v>1.0620000000000001</v>
      </c>
      <c r="N84" s="167">
        <v>1.0620000000000001</v>
      </c>
      <c r="O84" s="167">
        <v>1.048</v>
      </c>
      <c r="P84" s="167">
        <v>1.034</v>
      </c>
      <c r="Q84" s="167">
        <v>1.0620000000000001</v>
      </c>
      <c r="R84" s="167">
        <v>-1.0620000000000001</v>
      </c>
      <c r="S84" s="167">
        <v>-1.048</v>
      </c>
      <c r="T84" s="167">
        <v>-1.0620000000000001</v>
      </c>
      <c r="U84" s="167">
        <v>-1.0620000000000001</v>
      </c>
      <c r="V84" s="167">
        <v>-1.048</v>
      </c>
      <c r="W84" s="167">
        <v>-1.048</v>
      </c>
      <c r="X84" s="167">
        <v>-1.034</v>
      </c>
      <c r="Y84" s="167">
        <v>-1.034</v>
      </c>
    </row>
    <row r="85" spans="3:42" x14ac:dyDescent="0.25">
      <c r="C85" s="105"/>
      <c r="F85" t="s">
        <v>195</v>
      </c>
      <c r="G85" s="94" t="s">
        <v>283</v>
      </c>
      <c r="H85" s="289"/>
      <c r="I85" s="289"/>
      <c r="J85" s="167">
        <v>1.0620000000000001</v>
      </c>
      <c r="K85" s="167">
        <v>1.0620000000000001</v>
      </c>
      <c r="L85" s="167">
        <v>1.0620000000000001</v>
      </c>
      <c r="M85" s="167">
        <v>1.0620000000000001</v>
      </c>
      <c r="N85" s="167">
        <v>1.0620000000000001</v>
      </c>
      <c r="O85" s="167">
        <v>1.048</v>
      </c>
      <c r="P85" s="167">
        <v>1.034</v>
      </c>
      <c r="Q85" s="167">
        <v>1.0620000000000001</v>
      </c>
      <c r="R85" s="167">
        <v>-1.0620000000000001</v>
      </c>
      <c r="S85" s="167">
        <v>-1.048</v>
      </c>
      <c r="T85" s="167">
        <v>-1.0620000000000001</v>
      </c>
      <c r="U85" s="167">
        <v>-1.0620000000000001</v>
      </c>
      <c r="V85" s="167">
        <v>-1.048</v>
      </c>
      <c r="W85" s="167">
        <v>-1.048</v>
      </c>
      <c r="X85" s="167">
        <v>-1.034</v>
      </c>
      <c r="Y85" s="167">
        <v>-1.034</v>
      </c>
    </row>
    <row r="86" spans="3:42" x14ac:dyDescent="0.25">
      <c r="C86" s="105"/>
      <c r="F86" t="s">
        <v>196</v>
      </c>
      <c r="G86" s="94" t="s">
        <v>283</v>
      </c>
      <c r="H86" s="289"/>
      <c r="I86" s="289"/>
      <c r="J86" s="167">
        <v>0</v>
      </c>
      <c r="K86" s="167">
        <v>0</v>
      </c>
      <c r="L86" s="167">
        <v>0</v>
      </c>
      <c r="M86" s="167">
        <v>0</v>
      </c>
      <c r="N86" s="167">
        <v>0</v>
      </c>
      <c r="O86" s="167">
        <v>0</v>
      </c>
      <c r="P86" s="167">
        <v>0</v>
      </c>
      <c r="Q86" s="167">
        <v>0</v>
      </c>
      <c r="R86" s="167">
        <v>0</v>
      </c>
      <c r="S86" s="167">
        <v>0</v>
      </c>
      <c r="T86" s="167">
        <v>0</v>
      </c>
      <c r="U86" s="167">
        <v>0</v>
      </c>
      <c r="V86" s="167">
        <v>0</v>
      </c>
      <c r="W86" s="167">
        <v>0</v>
      </c>
      <c r="X86" s="167">
        <v>0</v>
      </c>
      <c r="Y86" s="167">
        <v>0</v>
      </c>
    </row>
    <row r="87" spans="3:42" x14ac:dyDescent="0.25">
      <c r="C87" s="105"/>
      <c r="F87" t="s">
        <v>197</v>
      </c>
      <c r="G87" s="94" t="s">
        <v>283</v>
      </c>
      <c r="H87" s="289"/>
      <c r="I87" s="289"/>
      <c r="J87" s="167">
        <v>1.0620000000000001</v>
      </c>
      <c r="K87" s="167">
        <v>1.0620000000000001</v>
      </c>
      <c r="L87" s="167">
        <v>1.0620000000000001</v>
      </c>
      <c r="M87" s="167">
        <v>1.0620000000000001</v>
      </c>
      <c r="N87" s="167">
        <v>1.0620000000000001</v>
      </c>
      <c r="O87" s="167">
        <v>1.048</v>
      </c>
      <c r="P87" s="167">
        <v>1.034</v>
      </c>
      <c r="Q87" s="167">
        <v>1.0620000000000001</v>
      </c>
      <c r="R87" s="167">
        <v>-1.0620000000000001</v>
      </c>
      <c r="S87" s="167">
        <v>-1.048</v>
      </c>
      <c r="T87" s="167">
        <v>-1.0620000000000001</v>
      </c>
      <c r="U87" s="167">
        <v>-1.0620000000000001</v>
      </c>
      <c r="V87" s="167">
        <v>-1.048</v>
      </c>
      <c r="W87" s="167">
        <v>-1.048</v>
      </c>
      <c r="X87" s="167">
        <v>0</v>
      </c>
      <c r="Y87" s="167">
        <v>0</v>
      </c>
    </row>
    <row r="88" spans="3:42" x14ac:dyDescent="0.25">
      <c r="C88" s="105"/>
      <c r="F88" t="s">
        <v>198</v>
      </c>
      <c r="G88" s="94" t="s">
        <v>283</v>
      </c>
      <c r="H88" s="289"/>
      <c r="I88" s="289"/>
      <c r="J88" s="167">
        <v>1.0620000000000001</v>
      </c>
      <c r="K88" s="167">
        <v>1.0620000000000001</v>
      </c>
      <c r="L88" s="167">
        <v>1.0620000000000001</v>
      </c>
      <c r="M88" s="167">
        <v>1.0620000000000001</v>
      </c>
      <c r="N88" s="167">
        <v>1.0620000000000001</v>
      </c>
      <c r="O88" s="167">
        <v>1.048</v>
      </c>
      <c r="P88" s="167">
        <v>0</v>
      </c>
      <c r="Q88" s="167">
        <v>1.0620000000000001</v>
      </c>
      <c r="R88" s="167">
        <v>-1.0620000000000001</v>
      </c>
      <c r="S88" s="167">
        <v>0</v>
      </c>
      <c r="T88" s="167">
        <v>-1.0620000000000001</v>
      </c>
      <c r="U88" s="167">
        <v>-1.0620000000000001</v>
      </c>
      <c r="V88" s="167">
        <v>0</v>
      </c>
      <c r="W88" s="167">
        <v>0</v>
      </c>
      <c r="X88" s="167">
        <v>0</v>
      </c>
      <c r="Y88" s="167">
        <v>0</v>
      </c>
    </row>
    <row r="89" spans="3:42" x14ac:dyDescent="0.25">
      <c r="C89" s="105"/>
      <c r="F89" t="s">
        <v>199</v>
      </c>
      <c r="G89" s="94" t="s">
        <v>283</v>
      </c>
      <c r="H89" s="289"/>
      <c r="I89" s="289"/>
      <c r="J89" s="167">
        <v>1.0620000000000001</v>
      </c>
      <c r="K89" s="167">
        <v>1.0620000000000001</v>
      </c>
      <c r="L89" s="167">
        <v>1.0620000000000001</v>
      </c>
      <c r="M89" s="167">
        <v>1.0620000000000001</v>
      </c>
      <c r="N89" s="167">
        <v>1.0620000000000001</v>
      </c>
      <c r="O89" s="167">
        <v>0</v>
      </c>
      <c r="P89" s="167">
        <v>0</v>
      </c>
      <c r="Q89" s="167">
        <v>1.0620000000000001</v>
      </c>
      <c r="R89" s="167">
        <v>0</v>
      </c>
      <c r="S89" s="167">
        <v>0</v>
      </c>
      <c r="T89" s="167">
        <v>0</v>
      </c>
      <c r="U89" s="167">
        <v>0</v>
      </c>
      <c r="V89" s="167">
        <v>0</v>
      </c>
      <c r="W89" s="167">
        <v>0</v>
      </c>
      <c r="X89" s="167">
        <v>0</v>
      </c>
      <c r="Y89" s="167">
        <v>0</v>
      </c>
    </row>
    <row r="90" spans="3:42" x14ac:dyDescent="0.25">
      <c r="C90" s="105"/>
      <c r="F90" t="s">
        <v>334</v>
      </c>
      <c r="G90" s="94" t="s">
        <v>283</v>
      </c>
      <c r="J90" s="119"/>
      <c r="K90" s="119"/>
      <c r="L90" s="119"/>
      <c r="M90" s="119"/>
      <c r="N90" s="119"/>
      <c r="O90" s="119"/>
      <c r="P90" s="119"/>
      <c r="Q90" s="119"/>
      <c r="R90" s="119"/>
      <c r="S90" s="119"/>
      <c r="T90" s="119"/>
      <c r="U90" s="119"/>
      <c r="V90" s="119"/>
      <c r="W90" s="119"/>
      <c r="X90" s="119"/>
      <c r="Y90" s="119"/>
    </row>
    <row r="91" spans="3:42" x14ac:dyDescent="0.25">
      <c r="C91" s="105"/>
      <c r="F91" s="96" t="s">
        <v>335</v>
      </c>
      <c r="G91" s="101" t="s">
        <v>283</v>
      </c>
      <c r="H91" s="96"/>
      <c r="I91" s="96"/>
      <c r="J91" s="121"/>
      <c r="K91" s="121"/>
      <c r="L91" s="121"/>
      <c r="M91" s="121"/>
      <c r="N91" s="121"/>
      <c r="O91" s="121"/>
      <c r="P91" s="121"/>
      <c r="Q91" s="121"/>
      <c r="R91" s="121"/>
      <c r="S91" s="121"/>
      <c r="T91" s="121"/>
      <c r="U91" s="121"/>
      <c r="V91" s="121"/>
      <c r="W91" s="121"/>
      <c r="X91" s="121"/>
      <c r="Y91" s="121"/>
    </row>
    <row r="92" spans="3:42" x14ac:dyDescent="0.25">
      <c r="C92" s="105"/>
      <c r="F92" s="2"/>
    </row>
    <row r="93" spans="3:42" x14ac:dyDescent="0.25">
      <c r="D93"/>
      <c r="E93" s="75" t="s">
        <v>121</v>
      </c>
      <c r="H93" s="62"/>
      <c r="J93" s="97"/>
      <c r="L93" s="97"/>
      <c r="AP93" s="3"/>
    </row>
    <row r="94" spans="3:42" x14ac:dyDescent="0.25">
      <c r="C94" s="75"/>
      <c r="D94"/>
      <c r="E94"/>
      <c r="F94" s="95" t="s">
        <v>191</v>
      </c>
      <c r="G94" s="95" t="s">
        <v>167</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25">
      <c r="C95" s="75"/>
      <c r="D95"/>
      <c r="E95"/>
      <c r="F95" t="s">
        <v>192</v>
      </c>
      <c r="G95" t="s">
        <v>167</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0</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25">
      <c r="C96" s="75"/>
      <c r="D96"/>
      <c r="E96"/>
      <c r="F96" t="s">
        <v>193</v>
      </c>
      <c r="G96" t="s">
        <v>167</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25">
      <c r="C97" s="75"/>
      <c r="D97"/>
      <c r="E97"/>
      <c r="F97" t="s">
        <v>194</v>
      </c>
      <c r="G97" t="s">
        <v>167</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25">
      <c r="C98" s="75"/>
      <c r="D98"/>
      <c r="E98"/>
      <c r="F98" t="s">
        <v>195</v>
      </c>
      <c r="G98" t="s">
        <v>167</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25">
      <c r="C99" s="75"/>
      <c r="D99"/>
      <c r="E99"/>
      <c r="F99" t="s">
        <v>196</v>
      </c>
      <c r="G99" t="s">
        <v>167</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25">
      <c r="C100" s="75"/>
      <c r="D100"/>
      <c r="E100"/>
      <c r="F100" t="s">
        <v>197</v>
      </c>
      <c r="G100" t="s">
        <v>167</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25">
      <c r="C101" s="75"/>
      <c r="D101"/>
      <c r="E101"/>
      <c r="F101" t="s">
        <v>198</v>
      </c>
      <c r="G101" t="s">
        <v>167</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25">
      <c r="C102" s="75"/>
      <c r="D102"/>
      <c r="E102"/>
      <c r="F102" s="96" t="s">
        <v>199</v>
      </c>
      <c r="G102" s="96" t="s">
        <v>167</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25">
      <c r="C103" s="105"/>
      <c r="D103"/>
      <c r="F103" s="2"/>
    </row>
    <row r="104" spans="3:42" x14ac:dyDescent="0.25">
      <c r="E104" s="75" t="s">
        <v>652</v>
      </c>
    </row>
    <row r="105" spans="3:42" x14ac:dyDescent="0.25">
      <c r="C105" s="105"/>
      <c r="F105" s="95" t="s">
        <v>189</v>
      </c>
      <c r="G105" s="95" t="s">
        <v>167</v>
      </c>
      <c r="H105" s="288"/>
      <c r="I105" s="288"/>
      <c r="J105" s="99"/>
      <c r="K105" s="99"/>
      <c r="L105" s="99"/>
      <c r="M105" s="99"/>
      <c r="N105" s="99"/>
      <c r="O105" s="99"/>
      <c r="P105" s="99"/>
      <c r="Q105" s="99"/>
      <c r="R105" s="99"/>
      <c r="S105" s="99"/>
      <c r="T105" s="99"/>
      <c r="U105" s="99"/>
      <c r="V105" s="99"/>
      <c r="W105" s="99"/>
      <c r="X105" s="99"/>
      <c r="Y105" s="99"/>
    </row>
    <row r="106" spans="3:42" x14ac:dyDescent="0.25">
      <c r="C106" s="105"/>
      <c r="F106" t="s">
        <v>191</v>
      </c>
      <c r="G106" t="s">
        <v>167</v>
      </c>
      <c r="H106" s="289"/>
      <c r="I106" s="289"/>
      <c r="J106" s="100"/>
      <c r="K106" s="100"/>
      <c r="L106" s="100"/>
      <c r="M106" s="100"/>
      <c r="N106" s="100"/>
      <c r="O106" s="100"/>
      <c r="P106" s="100"/>
      <c r="Q106" s="100"/>
      <c r="R106" s="100"/>
      <c r="S106" s="100"/>
      <c r="T106" s="100"/>
      <c r="U106" s="100"/>
      <c r="V106" s="100"/>
      <c r="W106" s="100"/>
      <c r="X106" s="100"/>
      <c r="Y106" s="100"/>
    </row>
    <row r="107" spans="3:42" x14ac:dyDescent="0.25">
      <c r="C107" s="105"/>
      <c r="F107" t="s">
        <v>192</v>
      </c>
      <c r="G107" t="s">
        <v>167</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25">
      <c r="C108" s="105"/>
      <c r="F108" t="s">
        <v>193</v>
      </c>
      <c r="G108" t="s">
        <v>167</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25">
      <c r="C109" s="105"/>
      <c r="F109" t="s">
        <v>194</v>
      </c>
      <c r="G109" t="s">
        <v>167</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25">
      <c r="C110" s="105"/>
      <c r="F110" t="s">
        <v>195</v>
      </c>
      <c r="G110" t="s">
        <v>167</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25">
      <c r="C111" s="105"/>
      <c r="F111" t="s">
        <v>196</v>
      </c>
      <c r="G111" t="s">
        <v>167</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25">
      <c r="C112" s="105"/>
      <c r="F112" t="s">
        <v>197</v>
      </c>
      <c r="G112" t="s">
        <v>167</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25">
      <c r="C113" s="105"/>
      <c r="F113" t="s">
        <v>198</v>
      </c>
      <c r="G113" t="s">
        <v>167</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25">
      <c r="C114" s="105"/>
      <c r="F114" t="s">
        <v>199</v>
      </c>
      <c r="G114" t="s">
        <v>167</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25">
      <c r="C115" s="105"/>
      <c r="F115" t="s">
        <v>334</v>
      </c>
      <c r="G115" t="s">
        <v>167</v>
      </c>
      <c r="J115" s="100"/>
      <c r="K115" s="100"/>
      <c r="L115" s="100"/>
      <c r="M115" s="100"/>
      <c r="N115" s="100"/>
      <c r="O115" s="100"/>
      <c r="P115" s="100"/>
      <c r="Q115" s="100"/>
      <c r="R115" s="100"/>
      <c r="S115" s="100"/>
      <c r="T115" s="100"/>
      <c r="U115" s="100"/>
      <c r="V115" s="100"/>
      <c r="W115" s="100"/>
      <c r="X115" s="100"/>
      <c r="Y115" s="100"/>
    </row>
    <row r="116" spans="2:27" x14ac:dyDescent="0.25">
      <c r="C116" s="105"/>
      <c r="F116" s="96" t="s">
        <v>335</v>
      </c>
      <c r="G116" s="96" t="s">
        <v>167</v>
      </c>
      <c r="H116" s="96"/>
      <c r="I116" s="96"/>
      <c r="J116" s="102"/>
      <c r="K116" s="102"/>
      <c r="L116" s="102"/>
      <c r="M116" s="102"/>
      <c r="N116" s="102"/>
      <c r="O116" s="102"/>
      <c r="P116" s="102"/>
      <c r="Q116" s="102"/>
      <c r="R116" s="102"/>
      <c r="S116" s="102"/>
      <c r="T116" s="102"/>
      <c r="U116" s="102"/>
      <c r="V116" s="102"/>
      <c r="W116" s="102"/>
      <c r="X116" s="102"/>
      <c r="Y116" s="102"/>
    </row>
    <row r="117" spans="2:27" x14ac:dyDescent="0.25">
      <c r="C117" s="105"/>
      <c r="D117"/>
      <c r="F117" s="2"/>
    </row>
    <row r="118" spans="2:27" x14ac:dyDescent="0.25">
      <c r="D118"/>
      <c r="E118" s="75" t="s">
        <v>653</v>
      </c>
      <c r="F118" s="2"/>
      <c r="I118" t="s">
        <v>154</v>
      </c>
      <c r="AA118" t="s">
        <v>654</v>
      </c>
    </row>
    <row r="119" spans="2:27" x14ac:dyDescent="0.25">
      <c r="D119"/>
      <c r="E119" s="86" t="s">
        <v>655</v>
      </c>
      <c r="F119" s="2"/>
    </row>
    <row r="120" spans="2:27" x14ac:dyDescent="0.25">
      <c r="D120"/>
      <c r="E120" s="86" t="s">
        <v>656</v>
      </c>
      <c r="F120" s="2"/>
    </row>
    <row r="121" spans="2:27" x14ac:dyDescent="0.25">
      <c r="D121"/>
      <c r="F121" s="95" t="s">
        <v>657</v>
      </c>
      <c r="G121" s="95" t="s">
        <v>630</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25">
      <c r="D122"/>
      <c r="F122" t="s">
        <v>658</v>
      </c>
      <c r="G122" t="s">
        <v>630</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25">
      <c r="D123"/>
      <c r="F123" s="96" t="s">
        <v>227</v>
      </c>
      <c r="G123" s="96" t="s">
        <v>630</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25">
      <c r="C124" s="105"/>
    </row>
    <row r="125" spans="2:27" x14ac:dyDescent="0.25">
      <c r="B125" s="85" t="s">
        <v>659</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25">
      <c r="C126" s="105"/>
    </row>
    <row r="127" spans="2:27" x14ac:dyDescent="0.25">
      <c r="B127" s="292"/>
      <c r="C127" s="86" t="s">
        <v>660</v>
      </c>
      <c r="D127"/>
      <c r="E127"/>
    </row>
    <row r="128" spans="2:27" x14ac:dyDescent="0.25">
      <c r="C128" s="105"/>
    </row>
    <row r="129" spans="3:27" x14ac:dyDescent="0.25">
      <c r="C129" s="93" t="str">
        <f ca="1">INDEX('Version control'!$H$41:$H$64,MATCH($A$1,'Version control'!$F$41:$F$64,0),1)&amp;"-B: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25">
      <c r="C131" s="105"/>
      <c r="E131" s="75" t="s">
        <v>578</v>
      </c>
      <c r="I131" t="s">
        <v>154</v>
      </c>
      <c r="AA131" t="s">
        <v>661</v>
      </c>
    </row>
    <row r="132" spans="3:27" x14ac:dyDescent="0.25">
      <c r="C132" s="105"/>
      <c r="F132" s="95" t="s">
        <v>189</v>
      </c>
      <c r="G132" s="95" t="s">
        <v>271</v>
      </c>
      <c r="H132" s="95"/>
      <c r="I132" s="95"/>
      <c r="J132" s="117"/>
      <c r="K132" s="117"/>
      <c r="L132" s="117"/>
      <c r="M132" s="117"/>
      <c r="N132" s="117"/>
      <c r="O132" s="117"/>
      <c r="P132" s="117"/>
      <c r="Q132" s="117"/>
      <c r="R132" s="117"/>
      <c r="S132" s="117"/>
      <c r="T132" s="117"/>
      <c r="U132" s="117"/>
      <c r="V132" s="117"/>
      <c r="W132" s="117"/>
      <c r="X132" s="117"/>
      <c r="Y132" s="117"/>
    </row>
    <row r="133" spans="3:27" x14ac:dyDescent="0.25">
      <c r="C133" s="105"/>
      <c r="F133" t="s">
        <v>191</v>
      </c>
      <c r="G133" t="s">
        <v>271</v>
      </c>
      <c r="J133" s="119"/>
      <c r="K133" s="119"/>
      <c r="L133" s="119"/>
      <c r="M133" s="119"/>
      <c r="N133" s="119"/>
      <c r="O133" s="119"/>
      <c r="P133" s="119"/>
      <c r="Q133" s="119"/>
      <c r="R133" s="119"/>
      <c r="S133" s="119"/>
      <c r="T133" s="119"/>
      <c r="U133" s="119"/>
      <c r="V133" s="119"/>
      <c r="W133" s="119"/>
      <c r="X133" s="119"/>
      <c r="Y133" s="119"/>
    </row>
    <row r="134" spans="3:27" x14ac:dyDescent="0.25">
      <c r="C134" s="105"/>
      <c r="F134" t="s">
        <v>192</v>
      </c>
      <c r="G134" t="s">
        <v>271</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0</v>
      </c>
      <c r="Q134" s="168">
        <f t="shared" ref="Q134" si="3">hundred*Q95*$H53*Q82/$H39*(1-Q107)/days_in_year/(1+$H25)*PowerFactor</f>
        <v>0</v>
      </c>
      <c r="R134" s="119"/>
      <c r="S134" s="119"/>
      <c r="T134" s="119"/>
      <c r="U134" s="119"/>
      <c r="V134" s="119"/>
      <c r="W134" s="119"/>
      <c r="X134" s="119"/>
      <c r="Y134" s="119"/>
    </row>
    <row r="135" spans="3:27" x14ac:dyDescent="0.25">
      <c r="C135" s="105"/>
      <c r="F135" t="s">
        <v>193</v>
      </c>
      <c r="G135" t="s">
        <v>271</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25">
      <c r="C136" s="105"/>
      <c r="F136" t="s">
        <v>194</v>
      </c>
      <c r="G136" t="s">
        <v>271</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0.32090504106303491</v>
      </c>
      <c r="Q136" s="168">
        <f t="shared" ref="Q136" si="11">hundred*Q97*$H55*Q84/$H41*(1-Q109)/days_in_year/(1+$H27)*PowerFactor</f>
        <v>0</v>
      </c>
      <c r="R136" s="119"/>
      <c r="S136" s="119"/>
      <c r="T136" s="119"/>
      <c r="U136" s="119"/>
      <c r="V136" s="119"/>
      <c r="W136" s="119"/>
      <c r="X136" s="119"/>
      <c r="Y136" s="119"/>
    </row>
    <row r="137" spans="3:27" x14ac:dyDescent="0.25">
      <c r="C137" s="105"/>
      <c r="F137" t="s">
        <v>195</v>
      </c>
      <c r="G137" t="s">
        <v>271</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1.2691139005702872</v>
      </c>
      <c r="Q137" s="168">
        <f t="shared" ref="Q137" si="15">hundred*Q98*$H56*Q85/$H42*(1-Q110)/days_in_year/(1+$H28)*PowerFactor</f>
        <v>0</v>
      </c>
      <c r="R137" s="119"/>
      <c r="S137" s="119"/>
      <c r="T137" s="119"/>
      <c r="U137" s="119"/>
      <c r="V137" s="119"/>
      <c r="W137" s="119"/>
      <c r="X137" s="119"/>
      <c r="Y137" s="119"/>
    </row>
    <row r="138" spans="3:27" x14ac:dyDescent="0.25">
      <c r="C138" s="105"/>
      <c r="F138" t="s">
        <v>196</v>
      </c>
      <c r="G138" t="s">
        <v>271</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v>
      </c>
      <c r="Q138" s="168">
        <f t="shared" ref="Q138" si="19">hundred*Q99*$H57*Q86/$H43*(1-Q111)/days_in_year/(1+$H29)*PowerFactor</f>
        <v>0</v>
      </c>
      <c r="R138" s="119"/>
      <c r="S138" s="119"/>
      <c r="T138" s="119"/>
      <c r="U138" s="119"/>
      <c r="V138" s="119"/>
      <c r="W138" s="119"/>
      <c r="X138" s="119"/>
      <c r="Y138" s="119"/>
    </row>
    <row r="139" spans="3:27" x14ac:dyDescent="0.25">
      <c r="C139" s="105"/>
      <c r="F139" t="s">
        <v>197</v>
      </c>
      <c r="G139" t="s">
        <v>271</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0.87628315732129924</v>
      </c>
      <c r="O139" s="168">
        <f t="shared" si="22"/>
        <v>4.323657009758576</v>
      </c>
      <c r="P139" s="168">
        <f t="shared" si="22"/>
        <v>4.265898232910657</v>
      </c>
      <c r="Q139" s="168">
        <f t="shared" ref="Q139" si="23">hundred*Q100*$H58*Q87/$H44*(1-Q112)/days_in_year/(1+$H30)*PowerFactor</f>
        <v>0</v>
      </c>
      <c r="R139" s="119"/>
      <c r="S139" s="119"/>
      <c r="T139" s="119"/>
      <c r="U139" s="119"/>
      <c r="V139" s="119"/>
      <c r="W139" s="119"/>
      <c r="X139" s="119"/>
      <c r="Y139" s="119"/>
    </row>
    <row r="140" spans="3:27" x14ac:dyDescent="0.25">
      <c r="C140" s="105"/>
      <c r="F140" t="s">
        <v>198</v>
      </c>
      <c r="G140" t="s">
        <v>271</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1.7976292660608901</v>
      </c>
      <c r="O140" s="168">
        <f t="shared" si="26"/>
        <v>1.773931705114701</v>
      </c>
      <c r="P140" s="168">
        <f t="shared" si="26"/>
        <v>0</v>
      </c>
      <c r="Q140" s="168">
        <f t="shared" ref="Q140" si="27">hundred*Q101*$H59*Q88/$H45*(1-Q113)/days_in_year/(1+$H31)*PowerFactor</f>
        <v>0</v>
      </c>
      <c r="R140" s="119"/>
      <c r="S140" s="119"/>
      <c r="T140" s="119"/>
      <c r="U140" s="119"/>
      <c r="V140" s="119"/>
      <c r="W140" s="119"/>
      <c r="X140" s="119"/>
      <c r="Y140" s="119"/>
    </row>
    <row r="141" spans="3:27" x14ac:dyDescent="0.25">
      <c r="C141" s="105"/>
      <c r="F141" t="s">
        <v>199</v>
      </c>
      <c r="G141" t="s">
        <v>271</v>
      </c>
      <c r="J141" s="168">
        <f t="shared" ref="J141:K141" si="28">hundred*J102*$H60*J89/$H46*(1-J114)/days_in_year/(1+$H32)*PowerFactor</f>
        <v>4.4164221503343226</v>
      </c>
      <c r="K141" s="168">
        <f t="shared" si="28"/>
        <v>4.4164221503343226</v>
      </c>
      <c r="L141" s="168">
        <f t="shared" ref="L141:M141" si="29">hundred*L102*$H60*L89/$H46*(1-L114)/days_in_year/(1+$H32)*PowerFactor</f>
        <v>4.4164221503343226</v>
      </c>
      <c r="M141" s="168">
        <f t="shared" si="29"/>
        <v>4.4164221503343226</v>
      </c>
      <c r="N141" s="168">
        <f t="shared" ref="N141:P141" si="30">hundred*N102*$H60*N89/$H46*(1-N114)/days_in_year/(1+$H32)*PowerFactor</f>
        <v>4.4164221503343226</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25">
      <c r="C142" s="105"/>
      <c r="D142"/>
      <c r="F142" t="s">
        <v>334</v>
      </c>
      <c r="G142" t="s">
        <v>271</v>
      </c>
      <c r="J142" s="119"/>
      <c r="K142" s="119"/>
      <c r="L142" s="119"/>
      <c r="M142" s="119"/>
      <c r="N142" s="119"/>
      <c r="O142" s="119"/>
      <c r="P142" s="119"/>
      <c r="Q142" s="119"/>
      <c r="R142" s="119"/>
      <c r="S142" s="119"/>
      <c r="T142" s="119"/>
      <c r="U142" s="119"/>
      <c r="V142" s="119"/>
      <c r="W142" s="119"/>
      <c r="X142" s="119"/>
      <c r="Y142" s="119"/>
    </row>
    <row r="143" spans="3:27" x14ac:dyDescent="0.25">
      <c r="C143" s="105"/>
      <c r="D143"/>
      <c r="F143" s="96" t="s">
        <v>335</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J144" s="168"/>
      <c r="K144" s="168"/>
      <c r="L144" s="168"/>
      <c r="M144" s="168"/>
      <c r="N144" s="168"/>
      <c r="O144" s="168"/>
      <c r="P144" s="168"/>
      <c r="Q144" s="168"/>
      <c r="R144" s="168"/>
      <c r="S144" s="168"/>
      <c r="T144" s="168"/>
      <c r="U144" s="168"/>
      <c r="V144" s="168"/>
      <c r="W144" s="168"/>
      <c r="X144" s="168"/>
      <c r="Y144" s="168"/>
    </row>
    <row r="145" spans="3:27" x14ac:dyDescent="0.25">
      <c r="C145" s="105"/>
      <c r="E145" s="75" t="s">
        <v>579</v>
      </c>
      <c r="J145" s="168"/>
      <c r="K145" s="168"/>
      <c r="L145" s="168"/>
      <c r="M145" s="168"/>
      <c r="N145" s="168"/>
      <c r="O145" s="168"/>
      <c r="P145" s="168"/>
      <c r="Q145" s="168"/>
      <c r="R145" s="168"/>
      <c r="S145" s="168"/>
      <c r="T145" s="168"/>
      <c r="U145" s="168"/>
      <c r="V145" s="168"/>
      <c r="W145" s="168"/>
      <c r="X145" s="168"/>
      <c r="Y145" s="168"/>
    </row>
    <row r="146" spans="3:27" x14ac:dyDescent="0.25">
      <c r="C146" s="105"/>
      <c r="F146" s="95" t="s">
        <v>189</v>
      </c>
      <c r="G146" s="95" t="s">
        <v>271</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25">
      <c r="C147" s="105"/>
      <c r="F147" t="s">
        <v>191</v>
      </c>
      <c r="G147" t="s">
        <v>271</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25">
      <c r="C148" s="105"/>
      <c r="F148" t="s">
        <v>192</v>
      </c>
      <c r="G148" t="s">
        <v>271</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0</v>
      </c>
      <c r="Q148" s="168">
        <f t="shared" ref="Q148" si="43">hundred*Q95*$H67*Q82/$H39/days_in_year/(1+$H25)*PowerFactor</f>
        <v>0</v>
      </c>
      <c r="R148" s="119"/>
      <c r="S148" s="119"/>
      <c r="T148" s="119"/>
      <c r="U148" s="119"/>
      <c r="V148" s="119"/>
      <c r="W148" s="119"/>
      <c r="X148" s="119"/>
      <c r="Y148" s="119"/>
    </row>
    <row r="149" spans="3:27" x14ac:dyDescent="0.25">
      <c r="C149" s="105"/>
      <c r="F149" t="s">
        <v>193</v>
      </c>
      <c r="G149" t="s">
        <v>271</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25">
      <c r="C150" s="105"/>
      <c r="F150" t="s">
        <v>194</v>
      </c>
      <c r="G150" t="s">
        <v>271</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0.23029037407170133</v>
      </c>
      <c r="Q150" s="168">
        <f t="shared" ref="Q150" si="51">hundred*Q97*$H69*Q84/$H41/days_in_year/(1+$H27)*PowerFactor</f>
        <v>0</v>
      </c>
      <c r="R150" s="119"/>
      <c r="S150" s="119"/>
      <c r="T150" s="119"/>
      <c r="U150" s="119"/>
      <c r="V150" s="119"/>
      <c r="W150" s="119"/>
      <c r="X150" s="119"/>
      <c r="Y150" s="119"/>
    </row>
    <row r="151" spans="3:27" x14ac:dyDescent="0.25">
      <c r="C151" s="105"/>
      <c r="F151" t="s">
        <v>195</v>
      </c>
      <c r="G151" t="s">
        <v>271</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0.91075139840049546</v>
      </c>
      <c r="Q151" s="168">
        <f t="shared" ref="Q151" si="55">hundred*Q98*$H70*Q85/$H42/days_in_year/(1+$H28)*PowerFactor</f>
        <v>0</v>
      </c>
      <c r="R151" s="119"/>
      <c r="S151" s="119"/>
      <c r="T151" s="119"/>
      <c r="U151" s="119"/>
      <c r="V151" s="119"/>
      <c r="W151" s="119"/>
      <c r="X151" s="119"/>
      <c r="Y151" s="119"/>
    </row>
    <row r="152" spans="3:27" x14ac:dyDescent="0.25">
      <c r="C152" s="105"/>
      <c r="F152" t="s">
        <v>196</v>
      </c>
      <c r="G152" t="s">
        <v>271</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v>
      </c>
      <c r="Q152" s="168">
        <f t="shared" ref="Q152" si="59">hundred*Q99*$H71*Q86/$H43/days_in_year/(1+$H29)*PowerFactor</f>
        <v>0</v>
      </c>
      <c r="R152" s="119"/>
      <c r="S152" s="119"/>
      <c r="T152" s="119"/>
      <c r="U152" s="119"/>
      <c r="V152" s="119"/>
      <c r="W152" s="119"/>
      <c r="X152" s="119"/>
      <c r="Y152" s="119"/>
    </row>
    <row r="153" spans="3:27" x14ac:dyDescent="0.25">
      <c r="C153" s="105"/>
      <c r="F153" t="s">
        <v>197</v>
      </c>
      <c r="G153" t="s">
        <v>271</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0.628845141926625</v>
      </c>
      <c r="O153" s="168">
        <f t="shared" si="62"/>
        <v>3.1027764064929517</v>
      </c>
      <c r="P153" s="168">
        <f t="shared" si="62"/>
        <v>3.0613271033527782</v>
      </c>
      <c r="Q153" s="168">
        <f t="shared" ref="Q153" si="63">hundred*Q100*$H72*Q87/$H44/days_in_year/(1+$H30)*PowerFactor</f>
        <v>0</v>
      </c>
      <c r="R153" s="119"/>
      <c r="S153" s="119"/>
      <c r="T153" s="119"/>
      <c r="U153" s="119"/>
      <c r="V153" s="119"/>
      <c r="W153" s="119"/>
      <c r="X153" s="119"/>
      <c r="Y153" s="119"/>
    </row>
    <row r="154" spans="3:27" x14ac:dyDescent="0.25">
      <c r="C154" s="105"/>
      <c r="F154" t="s">
        <v>198</v>
      </c>
      <c r="G154" t="s">
        <v>271</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1.2900287099013923</v>
      </c>
      <c r="O154" s="168">
        <f t="shared" si="66"/>
        <v>1.2730226817106018</v>
      </c>
      <c r="P154" s="168">
        <f t="shared" si="66"/>
        <v>0</v>
      </c>
      <c r="Q154" s="168">
        <f t="shared" ref="Q154" si="67">hundred*Q101*$H73*Q88/$H45/days_in_year/(1+$H31)*PowerFactor</f>
        <v>0</v>
      </c>
      <c r="R154" s="119"/>
      <c r="S154" s="119"/>
      <c r="T154" s="119"/>
      <c r="U154" s="119"/>
      <c r="V154" s="119"/>
      <c r="W154" s="119"/>
      <c r="X154" s="119"/>
      <c r="Y154" s="119"/>
    </row>
    <row r="155" spans="3:27" x14ac:dyDescent="0.25">
      <c r="C155" s="105"/>
      <c r="F155" t="s">
        <v>199</v>
      </c>
      <c r="G155" t="s">
        <v>271</v>
      </c>
      <c r="J155" s="168">
        <f t="shared" ref="J155:K155" si="68">hundred*J102*$H74*J89/$H46/days_in_year/(1+$H32)*PowerFactor</f>
        <v>3.1693472489242054</v>
      </c>
      <c r="K155" s="168">
        <f t="shared" si="68"/>
        <v>3.1693472489242054</v>
      </c>
      <c r="L155" s="168">
        <f t="shared" ref="L155:M155" si="69">hundred*L102*$H74*L89/$H46/days_in_year/(1+$H32)*PowerFactor</f>
        <v>3.1693472489242054</v>
      </c>
      <c r="M155" s="168">
        <f t="shared" si="69"/>
        <v>3.1693472489242054</v>
      </c>
      <c r="N155" s="168">
        <f t="shared" ref="N155:P155" si="70">hundred*N102*$H74*N89/$H46/days_in_year/(1+$H32)*PowerFactor</f>
        <v>3.1693472489242054</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25">
      <c r="C156" s="105"/>
      <c r="D156"/>
      <c r="F156" t="s">
        <v>334</v>
      </c>
      <c r="G156" t="s">
        <v>271</v>
      </c>
      <c r="J156" s="119"/>
      <c r="K156" s="119"/>
      <c r="L156" s="119"/>
      <c r="M156" s="119"/>
      <c r="N156" s="119"/>
      <c r="O156" s="119"/>
      <c r="P156" s="119"/>
      <c r="Q156" s="119"/>
      <c r="R156" s="119"/>
      <c r="S156" s="119"/>
      <c r="T156" s="119"/>
      <c r="U156" s="119"/>
      <c r="V156" s="119"/>
      <c r="W156" s="119"/>
      <c r="X156" s="119"/>
      <c r="Y156" s="119"/>
    </row>
    <row r="157" spans="3:27" x14ac:dyDescent="0.25">
      <c r="C157" s="105"/>
      <c r="D157"/>
      <c r="F157" s="96" t="s">
        <v>335</v>
      </c>
      <c r="G157" s="96" t="s">
        <v>271</v>
      </c>
      <c r="H157" s="96"/>
      <c r="I157" s="96"/>
      <c r="J157" s="121"/>
      <c r="K157" s="121"/>
      <c r="L157" s="121"/>
      <c r="M157" s="121"/>
      <c r="N157" s="121"/>
      <c r="O157" s="121"/>
      <c r="P157" s="121"/>
      <c r="Q157" s="121"/>
      <c r="R157" s="121"/>
      <c r="S157" s="121"/>
      <c r="T157" s="121"/>
      <c r="U157" s="121"/>
      <c r="V157" s="121"/>
      <c r="W157" s="121"/>
      <c r="X157" s="121"/>
      <c r="Y157" s="121"/>
    </row>
    <row r="158" spans="3:27" x14ac:dyDescent="0.25">
      <c r="C158" s="105"/>
      <c r="J158" s="168"/>
      <c r="K158" s="168"/>
      <c r="L158" s="168"/>
      <c r="M158" s="168"/>
      <c r="N158" s="168"/>
      <c r="O158" s="168"/>
      <c r="P158" s="168"/>
      <c r="Q158" s="168"/>
      <c r="R158" s="168"/>
      <c r="S158" s="168"/>
      <c r="T158" s="168"/>
      <c r="U158" s="168"/>
      <c r="V158" s="168"/>
      <c r="W158" s="168"/>
      <c r="X158" s="168"/>
      <c r="Y158" s="168"/>
    </row>
    <row r="159" spans="3:27" x14ac:dyDescent="0.25">
      <c r="C159" s="93" t="str">
        <f ca="1">INDEX('Version control'!$H$41:$H$64,MATCH($A$1,'Version control'!$F$41:$F$64,0),1)&amp;"-C: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J160" s="106"/>
      <c r="K160" s="106"/>
      <c r="L160" s="106"/>
      <c r="M160" s="106"/>
      <c r="N160" s="106"/>
      <c r="O160" s="106"/>
      <c r="P160" s="106"/>
      <c r="Q160" s="106"/>
      <c r="R160" s="106"/>
      <c r="S160" s="106"/>
      <c r="T160" s="106"/>
      <c r="U160" s="106"/>
      <c r="V160" s="106"/>
      <c r="W160" s="106"/>
      <c r="X160" s="106"/>
      <c r="Y160" s="106"/>
    </row>
    <row r="161" spans="3:25" x14ac:dyDescent="0.25">
      <c r="C161" s="105"/>
      <c r="E161" s="75" t="s">
        <v>578</v>
      </c>
      <c r="J161" s="106"/>
      <c r="K161" s="106"/>
      <c r="L161" s="106"/>
      <c r="M161" s="106"/>
      <c r="N161" s="106"/>
      <c r="O161" s="106"/>
      <c r="P161" s="106"/>
      <c r="Q161" s="106"/>
      <c r="R161" s="106"/>
      <c r="S161" s="106"/>
      <c r="T161" s="106"/>
      <c r="U161" s="106"/>
      <c r="V161" s="106"/>
      <c r="W161" s="106"/>
      <c r="X161" s="106"/>
      <c r="Y161" s="106"/>
    </row>
    <row r="162" spans="3:25" x14ac:dyDescent="0.25">
      <c r="C162" s="105"/>
      <c r="F162" s="95" t="s">
        <v>189</v>
      </c>
      <c r="G162" s="95" t="s">
        <v>271</v>
      </c>
      <c r="H162" s="95"/>
      <c r="I162" s="95"/>
      <c r="J162" s="117"/>
      <c r="K162" s="117"/>
      <c r="L162" s="117"/>
      <c r="M162" s="117"/>
      <c r="N162" s="117"/>
      <c r="O162" s="117"/>
      <c r="P162" s="117"/>
      <c r="Q162" s="117"/>
      <c r="R162" s="117"/>
      <c r="S162" s="117"/>
      <c r="T162" s="117"/>
      <c r="U162" s="117"/>
      <c r="V162" s="117"/>
      <c r="W162" s="117"/>
      <c r="X162" s="117"/>
      <c r="Y162" s="117"/>
    </row>
    <row r="163" spans="3:25" x14ac:dyDescent="0.25">
      <c r="C163" s="105"/>
      <c r="F163" t="s">
        <v>191</v>
      </c>
      <c r="G163" t="s">
        <v>271</v>
      </c>
      <c r="J163" s="119"/>
      <c r="K163" s="119"/>
      <c r="L163" s="119"/>
      <c r="M163" s="119"/>
      <c r="N163" s="119"/>
      <c r="O163" s="119"/>
      <c r="P163" s="119"/>
      <c r="Q163" s="119"/>
      <c r="R163" s="119"/>
      <c r="S163" s="119"/>
      <c r="T163" s="119"/>
      <c r="U163" s="119"/>
      <c r="V163" s="119"/>
      <c r="W163" s="119"/>
      <c r="X163" s="119"/>
      <c r="Y163" s="119"/>
    </row>
    <row r="164" spans="3:25" x14ac:dyDescent="0.25">
      <c r="C164" s="105"/>
      <c r="F164" t="s">
        <v>192</v>
      </c>
      <c r="G164" t="s">
        <v>271</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0</v>
      </c>
      <c r="Q164" s="168">
        <f t="shared" ref="Q164" si="75">hundred*Q95*$H53*Q82/$H39/days_in_year/(1+$H25)*PowerFactor</f>
        <v>0</v>
      </c>
      <c r="R164" s="119"/>
      <c r="S164" s="119"/>
      <c r="T164" s="119"/>
      <c r="U164" s="119"/>
      <c r="V164" s="119"/>
      <c r="W164" s="119"/>
      <c r="X164" s="119"/>
      <c r="Y164" s="119"/>
    </row>
    <row r="165" spans="3:25" x14ac:dyDescent="0.25">
      <c r="C165" s="105"/>
      <c r="F165" t="s">
        <v>193</v>
      </c>
      <c r="G165" t="s">
        <v>271</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25">
      <c r="C166" s="105"/>
      <c r="F166" t="s">
        <v>194</v>
      </c>
      <c r="G166" t="s">
        <v>271</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0.32090504106303491</v>
      </c>
      <c r="Q166" s="168">
        <f t="shared" ref="Q166" si="83">hundred*Q97*$H55*Q84/$H41/days_in_year/(1+$H27)*PowerFactor</f>
        <v>0</v>
      </c>
      <c r="R166" s="119"/>
      <c r="S166" s="119"/>
      <c r="T166" s="119"/>
      <c r="U166" s="119"/>
      <c r="V166" s="119"/>
      <c r="W166" s="119"/>
      <c r="X166" s="119"/>
      <c r="Y166" s="119"/>
    </row>
    <row r="167" spans="3:25" x14ac:dyDescent="0.25">
      <c r="C167" s="105"/>
      <c r="F167" t="s">
        <v>195</v>
      </c>
      <c r="G167" t="s">
        <v>271</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1.2691139005702872</v>
      </c>
      <c r="Q167" s="168">
        <f t="shared" ref="Q167" si="87">hundred*Q98*$H56*Q85/$H42/days_in_year/(1+$H28)*PowerFactor</f>
        <v>0</v>
      </c>
      <c r="R167" s="119"/>
      <c r="S167" s="119"/>
      <c r="T167" s="119"/>
      <c r="U167" s="119"/>
      <c r="V167" s="119"/>
      <c r="W167" s="119"/>
      <c r="X167" s="119"/>
      <c r="Y167" s="119"/>
    </row>
    <row r="168" spans="3:25" x14ac:dyDescent="0.25">
      <c r="C168" s="105"/>
      <c r="F168" t="s">
        <v>196</v>
      </c>
      <c r="G168" t="s">
        <v>271</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v>
      </c>
      <c r="Q168" s="168">
        <f t="shared" ref="Q168" si="91">hundred*Q99*$H57*Q86/$H43/days_in_year/(1+$H29)*PowerFactor</f>
        <v>0</v>
      </c>
      <c r="R168" s="119"/>
      <c r="S168" s="119"/>
      <c r="T168" s="119"/>
      <c r="U168" s="119"/>
      <c r="V168" s="119"/>
      <c r="W168" s="119"/>
      <c r="X168" s="119"/>
      <c r="Y168" s="119"/>
    </row>
    <row r="169" spans="3:25" x14ac:dyDescent="0.25">
      <c r="C169" s="105"/>
      <c r="F169" t="s">
        <v>197</v>
      </c>
      <c r="G169" t="s">
        <v>271</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0.87628315732129924</v>
      </c>
      <c r="O169" s="168">
        <f t="shared" si="94"/>
        <v>4.323657009758576</v>
      </c>
      <c r="P169" s="168">
        <f t="shared" si="94"/>
        <v>4.265898232910657</v>
      </c>
      <c r="Q169" s="168">
        <f t="shared" ref="Q169" si="95">hundred*Q100*$H58*Q87/$H44/days_in_year/(1+$H30)*PowerFactor</f>
        <v>0</v>
      </c>
      <c r="R169" s="119"/>
      <c r="S169" s="119"/>
      <c r="T169" s="119"/>
      <c r="U169" s="119"/>
      <c r="V169" s="119"/>
      <c r="W169" s="119"/>
      <c r="X169" s="119"/>
      <c r="Y169" s="119"/>
    </row>
    <row r="170" spans="3:25" x14ac:dyDescent="0.25">
      <c r="C170" s="105"/>
      <c r="F170" t="s">
        <v>198</v>
      </c>
      <c r="G170" t="s">
        <v>271</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1.7976292660608901</v>
      </c>
      <c r="O170" s="168">
        <f t="shared" si="98"/>
        <v>1.773931705114701</v>
      </c>
      <c r="P170" s="168">
        <f t="shared" si="98"/>
        <v>0</v>
      </c>
      <c r="Q170" s="168">
        <f t="shared" ref="Q170" si="99">hundred*Q101*$H59*Q88/$H45/days_in_year/(1+$H31)*PowerFactor</f>
        <v>0</v>
      </c>
      <c r="R170" s="119"/>
      <c r="S170" s="119"/>
      <c r="T170" s="119"/>
      <c r="U170" s="119"/>
      <c r="V170" s="119"/>
      <c r="W170" s="119"/>
      <c r="X170" s="119"/>
      <c r="Y170" s="119"/>
    </row>
    <row r="171" spans="3:25" x14ac:dyDescent="0.25">
      <c r="C171" s="105"/>
      <c r="F171" t="s">
        <v>199</v>
      </c>
      <c r="G171" t="s">
        <v>271</v>
      </c>
      <c r="J171" s="168">
        <f t="shared" ref="J171:K171" si="100">hundred*J102*$H60*J89/$H46/days_in_year/(1+$H32)*PowerFactor</f>
        <v>4.4164221503343226</v>
      </c>
      <c r="K171" s="168">
        <f t="shared" si="100"/>
        <v>4.4164221503343226</v>
      </c>
      <c r="L171" s="168">
        <f t="shared" ref="L171:M171" si="101">hundred*L102*$H60*L89/$H46/days_in_year/(1+$H32)*PowerFactor</f>
        <v>4.4164221503343226</v>
      </c>
      <c r="M171" s="168">
        <f t="shared" si="101"/>
        <v>4.4164221503343226</v>
      </c>
      <c r="N171" s="168">
        <f t="shared" ref="N171:P171" si="102">hundred*N102*$H60*N89/$H46/days_in_year/(1+$H32)*PowerFactor</f>
        <v>4.4164221503343226</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25">
      <c r="C172" s="105"/>
      <c r="F172" t="s">
        <v>334</v>
      </c>
      <c r="G172" t="s">
        <v>271</v>
      </c>
      <c r="J172" s="119"/>
      <c r="K172" s="119"/>
      <c r="L172" s="119"/>
      <c r="M172" s="119"/>
      <c r="N172" s="119"/>
      <c r="O172" s="119"/>
      <c r="P172" s="119"/>
      <c r="Q172" s="119"/>
      <c r="R172" s="119"/>
      <c r="S172" s="119"/>
      <c r="T172" s="119"/>
      <c r="U172" s="119"/>
      <c r="V172" s="119"/>
      <c r="W172" s="119"/>
      <c r="X172" s="119"/>
      <c r="Y172" s="119"/>
    </row>
    <row r="173" spans="3:25" x14ac:dyDescent="0.25">
      <c r="C173" s="105"/>
      <c r="F173" s="96" t="s">
        <v>335</v>
      </c>
      <c r="G173" s="96" t="s">
        <v>271</v>
      </c>
      <c r="H173" s="96"/>
      <c r="I173" s="96"/>
      <c r="J173" s="121"/>
      <c r="K173" s="121"/>
      <c r="L173" s="121"/>
      <c r="M173" s="121"/>
      <c r="N173" s="121"/>
      <c r="O173" s="121"/>
      <c r="P173" s="121"/>
      <c r="Q173" s="121"/>
      <c r="R173" s="121"/>
      <c r="S173" s="121"/>
      <c r="T173" s="121"/>
      <c r="U173" s="121"/>
      <c r="V173" s="121"/>
      <c r="W173" s="121"/>
      <c r="X173" s="121"/>
      <c r="Y173" s="121"/>
    </row>
    <row r="174" spans="3:25" x14ac:dyDescent="0.25">
      <c r="C174" s="105"/>
      <c r="D174"/>
      <c r="J174" s="106"/>
      <c r="K174" s="106"/>
      <c r="L174" s="106"/>
      <c r="M174" s="106"/>
      <c r="N174" s="106"/>
      <c r="O174" s="106"/>
      <c r="P174" s="106"/>
      <c r="Q174" s="106"/>
      <c r="R174" s="106"/>
      <c r="S174" s="106"/>
      <c r="T174" s="106"/>
      <c r="U174" s="106"/>
      <c r="V174" s="106"/>
      <c r="W174" s="106"/>
      <c r="X174" s="106"/>
      <c r="Y174" s="106"/>
    </row>
    <row r="175" spans="3:25" x14ac:dyDescent="0.25">
      <c r="C175" s="105"/>
      <c r="E175" s="75" t="s">
        <v>579</v>
      </c>
      <c r="J175" s="106"/>
      <c r="K175" s="106"/>
      <c r="L175" s="106"/>
      <c r="M175" s="106"/>
      <c r="N175" s="106"/>
      <c r="O175" s="106"/>
      <c r="P175" s="106"/>
      <c r="Q175" s="106"/>
      <c r="R175" s="106"/>
      <c r="S175" s="106"/>
      <c r="T175" s="106"/>
      <c r="U175" s="106"/>
      <c r="V175" s="106"/>
      <c r="W175" s="106"/>
      <c r="X175" s="106"/>
      <c r="Y175" s="106"/>
    </row>
    <row r="176" spans="3:25" x14ac:dyDescent="0.25">
      <c r="C176" s="105"/>
      <c r="F176" s="95" t="s">
        <v>189</v>
      </c>
      <c r="G176" s="95" t="s">
        <v>271</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25">
      <c r="C177" s="105"/>
      <c r="F177" t="s">
        <v>191</v>
      </c>
      <c r="G177" t="s">
        <v>271</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25">
      <c r="C178" s="105"/>
      <c r="F178" t="s">
        <v>192</v>
      </c>
      <c r="G178" t="s">
        <v>271</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0</v>
      </c>
      <c r="Q178" s="168">
        <f t="shared" ref="Q178" si="115">hundred*Q95*$H67*Q82/$H39/days_in_year/(1+$H25)*PowerFactor</f>
        <v>0</v>
      </c>
      <c r="R178" s="119"/>
      <c r="S178" s="119"/>
      <c r="T178" s="119"/>
      <c r="U178" s="119"/>
      <c r="V178" s="119"/>
      <c r="W178" s="119"/>
      <c r="X178" s="119"/>
      <c r="Y178" s="119"/>
    </row>
    <row r="179" spans="3:27" x14ac:dyDescent="0.25">
      <c r="C179" s="105"/>
      <c r="F179" t="s">
        <v>193</v>
      </c>
      <c r="G179" t="s">
        <v>271</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25">
      <c r="C180" s="105"/>
      <c r="F180" t="s">
        <v>194</v>
      </c>
      <c r="G180" t="s">
        <v>271</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0.23029037407170133</v>
      </c>
      <c r="Q180" s="168">
        <f t="shared" ref="Q180" si="123">hundred*Q97*$H69*Q84/$H41/days_in_year/(1+$H27)*PowerFactor</f>
        <v>0</v>
      </c>
      <c r="R180" s="119"/>
      <c r="S180" s="119"/>
      <c r="T180" s="119"/>
      <c r="U180" s="119"/>
      <c r="V180" s="119"/>
      <c r="W180" s="119"/>
      <c r="X180" s="119"/>
      <c r="Y180" s="119"/>
    </row>
    <row r="181" spans="3:27" x14ac:dyDescent="0.25">
      <c r="C181" s="105"/>
      <c r="F181" t="s">
        <v>195</v>
      </c>
      <c r="G181" t="s">
        <v>271</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0.91075139840049546</v>
      </c>
      <c r="Q181" s="168">
        <f t="shared" ref="Q181" si="127">hundred*Q98*$H70*Q85/$H42/days_in_year/(1+$H28)*PowerFactor</f>
        <v>0</v>
      </c>
      <c r="R181" s="119"/>
      <c r="S181" s="119"/>
      <c r="T181" s="119"/>
      <c r="U181" s="119"/>
      <c r="V181" s="119"/>
      <c r="W181" s="119"/>
      <c r="X181" s="119"/>
      <c r="Y181" s="119"/>
    </row>
    <row r="182" spans="3:27" x14ac:dyDescent="0.25">
      <c r="C182" s="105"/>
      <c r="F182" t="s">
        <v>196</v>
      </c>
      <c r="G182" t="s">
        <v>271</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v>
      </c>
      <c r="Q182" s="168">
        <f t="shared" ref="Q182" si="131">hundred*Q99*$H71*Q86/$H43/days_in_year/(1+$H29)*PowerFactor</f>
        <v>0</v>
      </c>
      <c r="R182" s="119"/>
      <c r="S182" s="119"/>
      <c r="T182" s="119"/>
      <c r="U182" s="119"/>
      <c r="V182" s="119"/>
      <c r="W182" s="119"/>
      <c r="X182" s="119"/>
      <c r="Y182" s="119"/>
    </row>
    <row r="183" spans="3:27" x14ac:dyDescent="0.25">
      <c r="C183" s="105"/>
      <c r="F183" t="s">
        <v>197</v>
      </c>
      <c r="G183" t="s">
        <v>271</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0.628845141926625</v>
      </c>
      <c r="O183" s="168">
        <f t="shared" si="134"/>
        <v>3.1027764064929517</v>
      </c>
      <c r="P183" s="168">
        <f t="shared" si="134"/>
        <v>3.0613271033527782</v>
      </c>
      <c r="Q183" s="168">
        <f t="shared" ref="Q183" si="135">hundred*Q100*$H72*Q87/$H44/days_in_year/(1+$H30)*PowerFactor</f>
        <v>0</v>
      </c>
      <c r="R183" s="119"/>
      <c r="S183" s="119"/>
      <c r="T183" s="119"/>
      <c r="U183" s="119"/>
      <c r="V183" s="119"/>
      <c r="W183" s="119"/>
      <c r="X183" s="119"/>
      <c r="Y183" s="119"/>
    </row>
    <row r="184" spans="3:27" x14ac:dyDescent="0.25">
      <c r="C184" s="105"/>
      <c r="F184" t="s">
        <v>198</v>
      </c>
      <c r="G184" t="s">
        <v>271</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1.2900287099013923</v>
      </c>
      <c r="O184" s="168">
        <f t="shared" si="138"/>
        <v>1.2730226817106018</v>
      </c>
      <c r="P184" s="168">
        <f t="shared" si="138"/>
        <v>0</v>
      </c>
      <c r="Q184" s="168">
        <f t="shared" ref="Q184" si="139">hundred*Q101*$H73*Q88/$H45/days_in_year/(1+$H31)*PowerFactor</f>
        <v>0</v>
      </c>
      <c r="R184" s="119"/>
      <c r="S184" s="119"/>
      <c r="T184" s="119"/>
      <c r="U184" s="119"/>
      <c r="V184" s="119"/>
      <c r="W184" s="119"/>
      <c r="X184" s="119"/>
      <c r="Y184" s="119"/>
    </row>
    <row r="185" spans="3:27" x14ac:dyDescent="0.25">
      <c r="C185" s="105"/>
      <c r="F185" t="s">
        <v>199</v>
      </c>
      <c r="G185" t="s">
        <v>271</v>
      </c>
      <c r="J185" s="168">
        <f t="shared" ref="J185:K185" si="140">hundred*J102*$H74*J89/$H46/days_in_year/(1+$H32)*PowerFactor</f>
        <v>3.1693472489242054</v>
      </c>
      <c r="K185" s="168">
        <f t="shared" si="140"/>
        <v>3.1693472489242054</v>
      </c>
      <c r="L185" s="168">
        <f t="shared" ref="L185:M185" si="141">hundred*L102*$H74*L89/$H46/days_in_year/(1+$H32)*PowerFactor</f>
        <v>3.1693472489242054</v>
      </c>
      <c r="M185" s="168">
        <f t="shared" si="141"/>
        <v>3.1693472489242054</v>
      </c>
      <c r="N185" s="168">
        <f t="shared" ref="N185:P185" si="142">hundred*N102*$H74*N89/$H46/days_in_year/(1+$H32)*PowerFactor</f>
        <v>3.1693472489242054</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25">
      <c r="C186" s="105"/>
      <c r="F186" t="s">
        <v>334</v>
      </c>
      <c r="G186" t="s">
        <v>271</v>
      </c>
      <c r="J186" s="119"/>
      <c r="K186" s="119"/>
      <c r="L186" s="119"/>
      <c r="M186" s="119"/>
      <c r="N186" s="119"/>
      <c r="O186" s="119"/>
      <c r="P186" s="119"/>
      <c r="Q186" s="119"/>
      <c r="R186" s="119"/>
      <c r="S186" s="119"/>
      <c r="T186" s="119"/>
      <c r="U186" s="119"/>
      <c r="V186" s="119"/>
      <c r="W186" s="119"/>
      <c r="X186" s="119"/>
      <c r="Y186" s="119"/>
    </row>
    <row r="187" spans="3:27" x14ac:dyDescent="0.25">
      <c r="C187" s="105"/>
      <c r="F187" s="96" t="s">
        <v>335</v>
      </c>
      <c r="G187" s="96" t="s">
        <v>271</v>
      </c>
      <c r="H187" s="96"/>
      <c r="I187" s="96"/>
      <c r="J187" s="121"/>
      <c r="K187" s="121"/>
      <c r="L187" s="121"/>
      <c r="M187" s="121"/>
      <c r="N187" s="121"/>
      <c r="O187" s="121"/>
      <c r="P187" s="121"/>
      <c r="Q187" s="121"/>
      <c r="R187" s="121"/>
      <c r="S187" s="121"/>
      <c r="T187" s="121"/>
      <c r="U187" s="121"/>
      <c r="V187" s="121"/>
      <c r="W187" s="121"/>
      <c r="X187" s="121"/>
      <c r="Y187" s="121"/>
    </row>
    <row r="188" spans="3:27" x14ac:dyDescent="0.25">
      <c r="C188" s="105"/>
      <c r="J188" s="106"/>
      <c r="K188" s="106"/>
      <c r="L188" s="106"/>
      <c r="M188" s="106"/>
      <c r="N188" s="106"/>
      <c r="O188" s="106"/>
      <c r="P188" s="106"/>
      <c r="Q188" s="106"/>
      <c r="R188" s="106"/>
      <c r="S188" s="106"/>
      <c r="T188" s="106"/>
      <c r="U188" s="106"/>
      <c r="V188" s="106"/>
      <c r="W188" s="106"/>
      <c r="X188" s="106"/>
      <c r="Y188" s="106"/>
    </row>
    <row r="189" spans="3:27" x14ac:dyDescent="0.25">
      <c r="C189" s="93" t="str">
        <f ca="1">INDEX('Version control'!$H$41:$H$64,MATCH($A$1,'Version control'!$F$41:$F$64,0),1)&amp;"-D: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25">
      <c r="D190" s="75"/>
      <c r="E190" s="75"/>
      <c r="I190" t="s">
        <v>154</v>
      </c>
      <c r="J190" s="106"/>
      <c r="K190" s="106"/>
      <c r="L190" s="106"/>
      <c r="M190" s="106"/>
      <c r="N190" s="106"/>
      <c r="O190" s="106"/>
      <c r="P190" s="106"/>
      <c r="Q190" s="106"/>
      <c r="R190" s="106"/>
      <c r="S190" s="106"/>
      <c r="T190" s="106"/>
      <c r="U190" s="106"/>
      <c r="V190" s="106"/>
      <c r="W190" s="106"/>
      <c r="X190" s="106"/>
      <c r="Y190" s="106"/>
      <c r="AA190" t="s">
        <v>662</v>
      </c>
    </row>
    <row r="191" spans="3:27" x14ac:dyDescent="0.25">
      <c r="C191" s="105"/>
      <c r="D191"/>
      <c r="E191" s="75" t="s">
        <v>578</v>
      </c>
      <c r="J191" s="106"/>
      <c r="K191" s="106"/>
      <c r="L191" s="106"/>
      <c r="M191" s="106"/>
      <c r="N191" s="106"/>
      <c r="O191" s="106"/>
      <c r="P191" s="106"/>
      <c r="Q191" s="106"/>
      <c r="R191" s="106"/>
      <c r="S191" s="106"/>
      <c r="T191" s="106"/>
      <c r="U191" s="106"/>
      <c r="V191" s="106"/>
      <c r="W191" s="106"/>
      <c r="X191" s="106"/>
      <c r="Y191" s="106"/>
    </row>
    <row r="192" spans="3:27" x14ac:dyDescent="0.25">
      <c r="C192" s="105"/>
      <c r="D192"/>
      <c r="F192" s="95" t="s">
        <v>189</v>
      </c>
      <c r="G192" s="95" t="s">
        <v>271</v>
      </c>
      <c r="H192" s="95"/>
      <c r="I192" s="95"/>
      <c r="J192" s="117"/>
      <c r="K192" s="117"/>
      <c r="L192" s="117"/>
      <c r="M192" s="117"/>
      <c r="N192" s="117"/>
      <c r="O192" s="117"/>
      <c r="P192" s="117"/>
      <c r="Q192" s="117"/>
      <c r="R192" s="117"/>
      <c r="S192" s="117"/>
      <c r="T192" s="117"/>
      <c r="U192" s="117"/>
      <c r="V192" s="117"/>
      <c r="W192" s="117"/>
      <c r="X192" s="117"/>
      <c r="Y192" s="117"/>
    </row>
    <row r="193" spans="3:25" x14ac:dyDescent="0.25">
      <c r="C193" s="105"/>
      <c r="D193"/>
      <c r="F193" t="s">
        <v>191</v>
      </c>
      <c r="G193" t="s">
        <v>271</v>
      </c>
      <c r="J193" s="119"/>
      <c r="K193" s="119"/>
      <c r="L193" s="119"/>
      <c r="M193" s="119"/>
      <c r="N193" s="119"/>
      <c r="O193" s="119"/>
      <c r="P193" s="119"/>
      <c r="Q193" s="119"/>
      <c r="R193" s="119"/>
      <c r="S193" s="119"/>
      <c r="T193" s="119"/>
      <c r="U193" s="119"/>
      <c r="V193" s="119"/>
      <c r="W193" s="119"/>
      <c r="X193" s="119"/>
      <c r="Y193" s="119"/>
    </row>
    <row r="194" spans="3:25" x14ac:dyDescent="0.25">
      <c r="C194" s="105"/>
      <c r="D194"/>
      <c r="F194" t="s">
        <v>192</v>
      </c>
      <c r="G194" t="s">
        <v>271</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0</v>
      </c>
      <c r="Q194" s="168">
        <f t="shared" ref="Q194" si="147">Q$121 * Q134</f>
        <v>0</v>
      </c>
      <c r="R194" s="119"/>
      <c r="S194" s="119"/>
      <c r="T194" s="119"/>
      <c r="U194" s="119"/>
      <c r="V194" s="119"/>
      <c r="W194" s="119"/>
      <c r="X194" s="119"/>
      <c r="Y194" s="119"/>
    </row>
    <row r="195" spans="3:25" x14ac:dyDescent="0.25">
      <c r="C195" s="105"/>
      <c r="D195"/>
      <c r="F195" t="s">
        <v>193</v>
      </c>
      <c r="G195" t="s">
        <v>271</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25">
      <c r="C196" s="105"/>
      <c r="D196"/>
      <c r="F196" t="s">
        <v>194</v>
      </c>
      <c r="G196" t="s">
        <v>271</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0.32090504106303491</v>
      </c>
      <c r="Q196" s="168">
        <f t="shared" ref="Q196" si="155">Q$121 * Q136</f>
        <v>0</v>
      </c>
      <c r="R196" s="119"/>
      <c r="S196" s="119"/>
      <c r="T196" s="119"/>
      <c r="U196" s="119"/>
      <c r="V196" s="119"/>
      <c r="W196" s="119"/>
      <c r="X196" s="119"/>
      <c r="Y196" s="119"/>
    </row>
    <row r="197" spans="3:25" x14ac:dyDescent="0.25">
      <c r="C197" s="105"/>
      <c r="D197"/>
      <c r="F197" t="s">
        <v>195</v>
      </c>
      <c r="G197" t="s">
        <v>271</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1.2691139005702872</v>
      </c>
      <c r="Q197" s="168">
        <f t="shared" ref="Q197" si="159">Q$121 * Q137</f>
        <v>0</v>
      </c>
      <c r="R197" s="119"/>
      <c r="S197" s="119"/>
      <c r="T197" s="119"/>
      <c r="U197" s="119"/>
      <c r="V197" s="119"/>
      <c r="W197" s="119"/>
      <c r="X197" s="119"/>
      <c r="Y197" s="119"/>
    </row>
    <row r="198" spans="3:25" x14ac:dyDescent="0.25">
      <c r="C198" s="105"/>
      <c r="D198"/>
      <c r="F198" t="s">
        <v>196</v>
      </c>
      <c r="G198" t="s">
        <v>271</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v>
      </c>
      <c r="Q198" s="168">
        <f t="shared" ref="Q198" si="163">Q$121 * Q138</f>
        <v>0</v>
      </c>
      <c r="R198" s="119"/>
      <c r="S198" s="119"/>
      <c r="T198" s="119"/>
      <c r="U198" s="119"/>
      <c r="V198" s="119"/>
      <c r="W198" s="119"/>
      <c r="X198" s="119"/>
      <c r="Y198" s="119"/>
    </row>
    <row r="199" spans="3:25" x14ac:dyDescent="0.25">
      <c r="C199" s="105"/>
      <c r="D199"/>
      <c r="F199" t="s">
        <v>197</v>
      </c>
      <c r="G199" t="s">
        <v>271</v>
      </c>
      <c r="J199" s="168">
        <f t="shared" ref="J199:K199" si="164">J$121 * J139</f>
        <v>0</v>
      </c>
      <c r="K199" s="168">
        <f t="shared" si="164"/>
        <v>0</v>
      </c>
      <c r="L199" s="168">
        <f t="shared" ref="L199:M199" si="165">L$121 * L139</f>
        <v>0</v>
      </c>
      <c r="M199" s="168">
        <f t="shared" si="165"/>
        <v>0</v>
      </c>
      <c r="N199" s="168">
        <f t="shared" ref="N199:P199" si="166">N$121 * N139</f>
        <v>0.87628315732129924</v>
      </c>
      <c r="O199" s="168">
        <f t="shared" si="166"/>
        <v>4.323657009758576</v>
      </c>
      <c r="P199" s="168">
        <f t="shared" si="166"/>
        <v>4.265898232910657</v>
      </c>
      <c r="Q199" s="168">
        <f t="shared" ref="Q199" si="167">Q$121 * Q139</f>
        <v>0</v>
      </c>
      <c r="R199" s="119"/>
      <c r="S199" s="119"/>
      <c r="T199" s="119"/>
      <c r="U199" s="119"/>
      <c r="V199" s="119"/>
      <c r="W199" s="119"/>
      <c r="X199" s="119"/>
      <c r="Y199" s="119"/>
    </row>
    <row r="200" spans="3:25" x14ac:dyDescent="0.25">
      <c r="C200" s="105"/>
      <c r="D200"/>
      <c r="F200" t="s">
        <v>198</v>
      </c>
      <c r="G200" t="s">
        <v>271</v>
      </c>
      <c r="J200" s="168">
        <f t="shared" ref="J200:K200" si="168">J$121 * J140</f>
        <v>0</v>
      </c>
      <c r="K200" s="168">
        <f t="shared" si="168"/>
        <v>0</v>
      </c>
      <c r="L200" s="168">
        <f t="shared" ref="L200:M200" si="169">L$121 * L140</f>
        <v>0</v>
      </c>
      <c r="M200" s="168">
        <f t="shared" si="169"/>
        <v>0</v>
      </c>
      <c r="N200" s="168">
        <f t="shared" ref="N200:P200" si="170">N$121 * N140</f>
        <v>1.7976292660608901</v>
      </c>
      <c r="O200" s="168">
        <f t="shared" si="170"/>
        <v>1.773931705114701</v>
      </c>
      <c r="P200" s="168">
        <f t="shared" si="170"/>
        <v>0</v>
      </c>
      <c r="Q200" s="168">
        <f t="shared" ref="Q200" si="171">Q$121 * Q140</f>
        <v>0</v>
      </c>
      <c r="R200" s="119"/>
      <c r="S200" s="119"/>
      <c r="T200" s="119"/>
      <c r="U200" s="119"/>
      <c r="V200" s="119"/>
      <c r="W200" s="119"/>
      <c r="X200" s="119"/>
      <c r="Y200" s="119"/>
    </row>
    <row r="201" spans="3:25" x14ac:dyDescent="0.25">
      <c r="C201" s="105"/>
      <c r="D201"/>
      <c r="F201" t="s">
        <v>199</v>
      </c>
      <c r="G201" t="s">
        <v>271</v>
      </c>
      <c r="J201" s="168">
        <f t="shared" ref="J201:K201" si="172">J$121 * J141</f>
        <v>0</v>
      </c>
      <c r="K201" s="168">
        <f t="shared" si="172"/>
        <v>0</v>
      </c>
      <c r="L201" s="168">
        <f t="shared" ref="L201:M201" si="173">L$121 * L141</f>
        <v>0</v>
      </c>
      <c r="M201" s="168">
        <f t="shared" si="173"/>
        <v>0</v>
      </c>
      <c r="N201" s="168">
        <f t="shared" ref="N201:P201" si="174">N$121 * N141</f>
        <v>4.4164221503343226</v>
      </c>
      <c r="O201" s="168">
        <f t="shared" si="174"/>
        <v>0</v>
      </c>
      <c r="P201" s="168">
        <f t="shared" si="174"/>
        <v>0</v>
      </c>
      <c r="Q201" s="168">
        <f t="shared" ref="Q201" si="175">Q$121 * Q141</f>
        <v>0</v>
      </c>
      <c r="R201" s="119"/>
      <c r="S201" s="119"/>
      <c r="T201" s="119"/>
      <c r="U201" s="119"/>
      <c r="V201" s="119"/>
      <c r="W201" s="119"/>
      <c r="X201" s="119"/>
      <c r="Y201" s="119"/>
    </row>
    <row r="202" spans="3:25" x14ac:dyDescent="0.25">
      <c r="C202" s="105"/>
      <c r="D202"/>
      <c r="F202" t="s">
        <v>334</v>
      </c>
      <c r="G202" t="s">
        <v>271</v>
      </c>
      <c r="J202" s="119"/>
      <c r="K202" s="119"/>
      <c r="L202" s="119"/>
      <c r="M202" s="119"/>
      <c r="N202" s="119"/>
      <c r="O202" s="119"/>
      <c r="P202" s="119"/>
      <c r="Q202" s="119"/>
      <c r="R202" s="119"/>
      <c r="S202" s="119"/>
      <c r="T202" s="119"/>
      <c r="U202" s="119"/>
      <c r="V202" s="119"/>
      <c r="W202" s="119"/>
      <c r="X202" s="119"/>
      <c r="Y202" s="119"/>
    </row>
    <row r="203" spans="3:25" x14ac:dyDescent="0.25">
      <c r="C203" s="105"/>
      <c r="D203"/>
      <c r="F203" s="96" t="s">
        <v>335</v>
      </c>
      <c r="G203" s="96" t="s">
        <v>271</v>
      </c>
      <c r="H203" s="96"/>
      <c r="I203" s="96"/>
      <c r="J203" s="121"/>
      <c r="K203" s="121"/>
      <c r="L203" s="121"/>
      <c r="M203" s="121"/>
      <c r="N203" s="121"/>
      <c r="O203" s="121"/>
      <c r="P203" s="121"/>
      <c r="Q203" s="121"/>
      <c r="R203" s="121"/>
      <c r="S203" s="121"/>
      <c r="T203" s="121"/>
      <c r="U203" s="121"/>
      <c r="V203" s="121"/>
      <c r="W203" s="121"/>
      <c r="X203" s="121"/>
      <c r="Y203" s="121"/>
    </row>
    <row r="204" spans="3:25" x14ac:dyDescent="0.25">
      <c r="C204" s="105"/>
      <c r="D204"/>
      <c r="J204" s="106"/>
      <c r="K204" s="106"/>
      <c r="L204" s="106"/>
      <c r="M204" s="106"/>
      <c r="N204" s="106"/>
      <c r="O204" s="106"/>
      <c r="P204" s="106"/>
      <c r="Q204" s="106"/>
      <c r="R204" s="106"/>
      <c r="S204" s="106"/>
      <c r="T204" s="106"/>
      <c r="U204" s="106"/>
      <c r="V204" s="106"/>
      <c r="W204" s="106"/>
      <c r="X204" s="106"/>
      <c r="Y204" s="106"/>
    </row>
    <row r="205" spans="3:25" x14ac:dyDescent="0.25">
      <c r="C205" s="105"/>
      <c r="D205"/>
      <c r="E205" s="75" t="s">
        <v>579</v>
      </c>
      <c r="J205" s="106"/>
      <c r="K205" s="106"/>
      <c r="L205" s="106"/>
      <c r="M205" s="106"/>
      <c r="N205" s="106"/>
      <c r="O205" s="106"/>
      <c r="P205" s="106"/>
      <c r="Q205" s="106"/>
      <c r="R205" s="106"/>
      <c r="S205" s="106"/>
      <c r="T205" s="106"/>
      <c r="U205" s="106"/>
      <c r="V205" s="106"/>
      <c r="W205" s="106"/>
      <c r="X205" s="106"/>
      <c r="Y205" s="106"/>
    </row>
    <row r="206" spans="3:25" x14ac:dyDescent="0.25">
      <c r="C206" s="105"/>
      <c r="D206"/>
      <c r="F206" s="95" t="s">
        <v>189</v>
      </c>
      <c r="G206" s="95" t="s">
        <v>271</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25">
      <c r="C207" s="105"/>
      <c r="D207"/>
      <c r="F207" t="s">
        <v>191</v>
      </c>
      <c r="G207" t="s">
        <v>271</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25">
      <c r="C208" s="105"/>
      <c r="D208"/>
      <c r="F208" t="s">
        <v>192</v>
      </c>
      <c r="G208" t="s">
        <v>271</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0</v>
      </c>
      <c r="Q208" s="168">
        <f t="shared" ref="Q208" si="187">Q$121 * Q148</f>
        <v>0</v>
      </c>
      <c r="R208" s="119"/>
      <c r="S208" s="119"/>
      <c r="T208" s="119"/>
      <c r="U208" s="119"/>
      <c r="V208" s="119"/>
      <c r="W208" s="119"/>
      <c r="X208" s="119"/>
      <c r="Y208" s="119"/>
    </row>
    <row r="209" spans="3:27" x14ac:dyDescent="0.25">
      <c r="C209" s="105"/>
      <c r="D209"/>
      <c r="F209" t="s">
        <v>193</v>
      </c>
      <c r="G209" t="s">
        <v>271</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25">
      <c r="C210" s="105"/>
      <c r="D210"/>
      <c r="F210" t="s">
        <v>194</v>
      </c>
      <c r="G210" t="s">
        <v>271</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0.23029037407170133</v>
      </c>
      <c r="Q210" s="168">
        <f t="shared" ref="Q210" si="195">Q$121 * Q150</f>
        <v>0</v>
      </c>
      <c r="R210" s="119"/>
      <c r="S210" s="119"/>
      <c r="T210" s="119"/>
      <c r="U210" s="119"/>
      <c r="V210" s="119"/>
      <c r="W210" s="119"/>
      <c r="X210" s="119"/>
      <c r="Y210" s="119"/>
    </row>
    <row r="211" spans="3:27" x14ac:dyDescent="0.25">
      <c r="C211" s="105"/>
      <c r="D211"/>
      <c r="F211" t="s">
        <v>195</v>
      </c>
      <c r="G211" t="s">
        <v>271</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0.91075139840049546</v>
      </c>
      <c r="Q211" s="168">
        <f t="shared" ref="Q211" si="199">Q$121 * Q151</f>
        <v>0</v>
      </c>
      <c r="R211" s="119"/>
      <c r="S211" s="119"/>
      <c r="T211" s="119"/>
      <c r="U211" s="119"/>
      <c r="V211" s="119"/>
      <c r="W211" s="119"/>
      <c r="X211" s="119"/>
      <c r="Y211" s="119"/>
    </row>
    <row r="212" spans="3:27" x14ac:dyDescent="0.25">
      <c r="C212" s="105"/>
      <c r="D212"/>
      <c r="F212" t="s">
        <v>196</v>
      </c>
      <c r="G212" t="s">
        <v>271</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v>
      </c>
      <c r="Q212" s="168">
        <f t="shared" ref="Q212" si="203">Q$121 * Q152</f>
        <v>0</v>
      </c>
      <c r="R212" s="119"/>
      <c r="S212" s="119"/>
      <c r="T212" s="119"/>
      <c r="U212" s="119"/>
      <c r="V212" s="119"/>
      <c r="W212" s="119"/>
      <c r="X212" s="119"/>
      <c r="Y212" s="119"/>
    </row>
    <row r="213" spans="3:27" x14ac:dyDescent="0.25">
      <c r="C213" s="105"/>
      <c r="D213"/>
      <c r="F213" t="s">
        <v>197</v>
      </c>
      <c r="G213" t="s">
        <v>271</v>
      </c>
      <c r="J213" s="168">
        <f t="shared" ref="J213:K213" si="204">J$121 * J153</f>
        <v>0</v>
      </c>
      <c r="K213" s="168">
        <f t="shared" si="204"/>
        <v>0</v>
      </c>
      <c r="L213" s="168">
        <f t="shared" ref="L213:M213" si="205">L$121 * L153</f>
        <v>0</v>
      </c>
      <c r="M213" s="168">
        <f t="shared" si="205"/>
        <v>0</v>
      </c>
      <c r="N213" s="168">
        <f t="shared" ref="N213:P213" si="206">N$121 * N153</f>
        <v>0.628845141926625</v>
      </c>
      <c r="O213" s="168">
        <f t="shared" si="206"/>
        <v>3.1027764064929517</v>
      </c>
      <c r="P213" s="168">
        <f t="shared" si="206"/>
        <v>3.0613271033527782</v>
      </c>
      <c r="Q213" s="168">
        <f t="shared" ref="Q213" si="207">Q$121 * Q153</f>
        <v>0</v>
      </c>
      <c r="R213" s="119"/>
      <c r="S213" s="119"/>
      <c r="T213" s="119"/>
      <c r="U213" s="119"/>
      <c r="V213" s="119"/>
      <c r="W213" s="119"/>
      <c r="X213" s="119"/>
      <c r="Y213" s="119"/>
    </row>
    <row r="214" spans="3:27" x14ac:dyDescent="0.25">
      <c r="C214" s="105"/>
      <c r="D214"/>
      <c r="F214" t="s">
        <v>198</v>
      </c>
      <c r="G214" t="s">
        <v>271</v>
      </c>
      <c r="J214" s="168">
        <f t="shared" ref="J214:K214" si="208">J$121 * J154</f>
        <v>0</v>
      </c>
      <c r="K214" s="168">
        <f t="shared" si="208"/>
        <v>0</v>
      </c>
      <c r="L214" s="168">
        <f t="shared" ref="L214:M214" si="209">L$121 * L154</f>
        <v>0</v>
      </c>
      <c r="M214" s="168">
        <f t="shared" si="209"/>
        <v>0</v>
      </c>
      <c r="N214" s="168">
        <f t="shared" ref="N214:P214" si="210">N$121 * N154</f>
        <v>1.2900287099013923</v>
      </c>
      <c r="O214" s="168">
        <f t="shared" si="210"/>
        <v>1.2730226817106018</v>
      </c>
      <c r="P214" s="168">
        <f t="shared" si="210"/>
        <v>0</v>
      </c>
      <c r="Q214" s="168">
        <f t="shared" ref="Q214" si="211">Q$121 * Q154</f>
        <v>0</v>
      </c>
      <c r="R214" s="119"/>
      <c r="S214" s="119"/>
      <c r="T214" s="119"/>
      <c r="U214" s="119"/>
      <c r="V214" s="119"/>
      <c r="W214" s="119"/>
      <c r="X214" s="119"/>
      <c r="Y214" s="119"/>
    </row>
    <row r="215" spans="3:27" x14ac:dyDescent="0.25">
      <c r="C215" s="105"/>
      <c r="D215"/>
      <c r="F215" t="s">
        <v>199</v>
      </c>
      <c r="G215" t="s">
        <v>271</v>
      </c>
      <c r="J215" s="168">
        <f t="shared" ref="J215:K215" si="212">J$121 * J155</f>
        <v>0</v>
      </c>
      <c r="K215" s="168">
        <f t="shared" si="212"/>
        <v>0</v>
      </c>
      <c r="L215" s="168">
        <f t="shared" ref="L215:M215" si="213">L$121 * L155</f>
        <v>0</v>
      </c>
      <c r="M215" s="168">
        <f t="shared" si="213"/>
        <v>0</v>
      </c>
      <c r="N215" s="168">
        <f t="shared" ref="N215:P215" si="214">N$121 * N155</f>
        <v>3.1693472489242054</v>
      </c>
      <c r="O215" s="168">
        <f t="shared" si="214"/>
        <v>0</v>
      </c>
      <c r="P215" s="168">
        <f t="shared" si="214"/>
        <v>0</v>
      </c>
      <c r="Q215" s="168">
        <f t="shared" ref="Q215" si="215">Q$121 * Q155</f>
        <v>0</v>
      </c>
      <c r="R215" s="119"/>
      <c r="S215" s="119"/>
      <c r="T215" s="119"/>
      <c r="U215" s="119"/>
      <c r="V215" s="119"/>
      <c r="W215" s="119"/>
      <c r="X215" s="119"/>
      <c r="Y215" s="119"/>
    </row>
    <row r="216" spans="3:27" x14ac:dyDescent="0.25">
      <c r="C216" s="105"/>
      <c r="D216"/>
      <c r="F216" t="s">
        <v>334</v>
      </c>
      <c r="G216" t="s">
        <v>271</v>
      </c>
      <c r="J216" s="119"/>
      <c r="K216" s="119"/>
      <c r="L216" s="119"/>
      <c r="M216" s="119"/>
      <c r="N216" s="119"/>
      <c r="O216" s="119"/>
      <c r="P216" s="119"/>
      <c r="Q216" s="119"/>
      <c r="R216" s="119"/>
      <c r="S216" s="119"/>
      <c r="T216" s="119"/>
      <c r="U216" s="119"/>
      <c r="V216" s="119"/>
      <c r="W216" s="119"/>
      <c r="X216" s="119"/>
      <c r="Y216" s="119"/>
    </row>
    <row r="217" spans="3:27" x14ac:dyDescent="0.25">
      <c r="C217" s="105"/>
      <c r="D217"/>
      <c r="F217" s="96" t="s">
        <v>335</v>
      </c>
      <c r="G217" s="96" t="s">
        <v>271</v>
      </c>
      <c r="H217" s="96"/>
      <c r="I217" s="96"/>
      <c r="J217" s="121"/>
      <c r="K217" s="121"/>
      <c r="L217" s="121"/>
      <c r="M217" s="121"/>
      <c r="N217" s="121"/>
      <c r="O217" s="121"/>
      <c r="P217" s="121"/>
      <c r="Q217" s="121"/>
      <c r="R217" s="121"/>
      <c r="S217" s="121"/>
      <c r="T217" s="121"/>
      <c r="U217" s="121"/>
      <c r="V217" s="121"/>
      <c r="W217" s="121"/>
      <c r="X217" s="121"/>
      <c r="Y217" s="121"/>
    </row>
    <row r="218" spans="3:27" x14ac:dyDescent="0.25">
      <c r="C218" s="105"/>
      <c r="J218" s="106"/>
      <c r="K218" s="106"/>
      <c r="L218" s="106"/>
      <c r="M218" s="106"/>
      <c r="N218" s="106"/>
      <c r="O218" s="106"/>
      <c r="P218" s="106"/>
      <c r="Q218" s="106"/>
      <c r="R218" s="106"/>
      <c r="S218" s="106"/>
      <c r="T218" s="106"/>
      <c r="U218" s="106"/>
      <c r="V218" s="106"/>
      <c r="W218" s="106"/>
      <c r="X218" s="106"/>
      <c r="Y218" s="106"/>
    </row>
    <row r="219" spans="3:27" x14ac:dyDescent="0.25">
      <c r="C219" s="93" t="str">
        <f ca="1">INDEX('Version control'!$H$41:$H$64,MATCH($A$1,'Version control'!$F$41:$F$64,0),1)&amp;"-E: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25">
      <c r="D220" s="75"/>
      <c r="E220" s="75"/>
      <c r="I220" t="s">
        <v>154</v>
      </c>
      <c r="J220" s="106"/>
      <c r="K220" s="106"/>
      <c r="L220" s="106"/>
      <c r="M220" s="106"/>
      <c r="N220" s="106"/>
      <c r="O220" s="106"/>
      <c r="P220" s="106"/>
      <c r="Q220" s="106"/>
      <c r="R220" s="106"/>
      <c r="S220" s="106"/>
      <c r="T220" s="106"/>
      <c r="U220" s="106"/>
      <c r="V220" s="106"/>
      <c r="W220" s="106"/>
      <c r="X220" s="106"/>
      <c r="Y220" s="106"/>
      <c r="AA220" t="s">
        <v>663</v>
      </c>
    </row>
    <row r="221" spans="3:27" x14ac:dyDescent="0.25">
      <c r="C221" s="105"/>
      <c r="D221"/>
      <c r="E221" s="75" t="s">
        <v>578</v>
      </c>
      <c r="J221" s="106"/>
      <c r="K221" s="106"/>
      <c r="L221" s="106"/>
      <c r="M221" s="106"/>
      <c r="N221" s="106"/>
      <c r="O221" s="106"/>
      <c r="P221" s="106"/>
      <c r="Q221" s="106"/>
      <c r="R221" s="106"/>
      <c r="S221" s="106"/>
      <c r="T221" s="106"/>
      <c r="U221" s="106"/>
      <c r="V221" s="106"/>
      <c r="W221" s="106"/>
      <c r="X221" s="106"/>
      <c r="Y221" s="106"/>
    </row>
    <row r="222" spans="3:27" x14ac:dyDescent="0.25">
      <c r="C222" s="105"/>
      <c r="D222"/>
      <c r="F222" s="95" t="s">
        <v>189</v>
      </c>
      <c r="G222" s="95" t="s">
        <v>271</v>
      </c>
      <c r="H222" s="95"/>
      <c r="I222" s="95"/>
      <c r="J222" s="117"/>
      <c r="K222" s="117"/>
      <c r="L222" s="117"/>
      <c r="M222" s="117"/>
      <c r="N222" s="117"/>
      <c r="O222" s="117"/>
      <c r="P222" s="117"/>
      <c r="Q222" s="117"/>
      <c r="R222" s="117"/>
      <c r="S222" s="117"/>
      <c r="T222" s="117"/>
      <c r="U222" s="117"/>
      <c r="V222" s="117"/>
      <c r="W222" s="117"/>
      <c r="X222" s="117"/>
      <c r="Y222" s="117"/>
    </row>
    <row r="223" spans="3:27" x14ac:dyDescent="0.25">
      <c r="C223" s="105"/>
      <c r="D223"/>
      <c r="F223" t="s">
        <v>191</v>
      </c>
      <c r="G223" t="s">
        <v>271</v>
      </c>
      <c r="J223" s="119"/>
      <c r="K223" s="119"/>
      <c r="L223" s="119"/>
      <c r="M223" s="119"/>
      <c r="N223" s="119"/>
      <c r="O223" s="119"/>
      <c r="P223" s="119"/>
      <c r="Q223" s="119"/>
      <c r="R223" s="119"/>
      <c r="S223" s="119"/>
      <c r="T223" s="119"/>
      <c r="U223" s="119"/>
      <c r="V223" s="119"/>
      <c r="W223" s="119"/>
      <c r="X223" s="119"/>
      <c r="Y223" s="119"/>
    </row>
    <row r="224" spans="3:27" x14ac:dyDescent="0.25">
      <c r="C224" s="105"/>
      <c r="D224"/>
      <c r="F224" t="s">
        <v>192</v>
      </c>
      <c r="G224" t="s">
        <v>271</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0</v>
      </c>
      <c r="Q224" s="168">
        <f t="shared" ref="Q224" si="219">Q$122 * Q164</f>
        <v>0</v>
      </c>
      <c r="R224" s="119"/>
      <c r="S224" s="119"/>
      <c r="T224" s="119"/>
      <c r="U224" s="119"/>
      <c r="V224" s="119"/>
      <c r="W224" s="119"/>
      <c r="X224" s="119"/>
      <c r="Y224" s="119"/>
    </row>
    <row r="225" spans="3:25" x14ac:dyDescent="0.25">
      <c r="C225" s="105"/>
      <c r="D225"/>
      <c r="F225" t="s">
        <v>193</v>
      </c>
      <c r="G225" t="s">
        <v>271</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25">
      <c r="C226" s="105"/>
      <c r="D226"/>
      <c r="F226" t="s">
        <v>194</v>
      </c>
      <c r="G226" t="s">
        <v>271</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0.32090504106303491</v>
      </c>
      <c r="Q226" s="168">
        <f t="shared" ref="Q226" si="227">Q$122 * Q166</f>
        <v>0</v>
      </c>
      <c r="R226" s="119"/>
      <c r="S226" s="119"/>
      <c r="T226" s="119"/>
      <c r="U226" s="119"/>
      <c r="V226" s="119"/>
      <c r="W226" s="119"/>
      <c r="X226" s="119"/>
      <c r="Y226" s="119"/>
    </row>
    <row r="227" spans="3:25" x14ac:dyDescent="0.25">
      <c r="C227" s="105"/>
      <c r="D227"/>
      <c r="F227" t="s">
        <v>195</v>
      </c>
      <c r="G227" t="s">
        <v>271</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1.2691139005702872</v>
      </c>
      <c r="Q227" s="168">
        <f t="shared" ref="Q227" si="231">Q$122 * Q167</f>
        <v>0</v>
      </c>
      <c r="R227" s="119"/>
      <c r="S227" s="119"/>
      <c r="T227" s="119"/>
      <c r="U227" s="119"/>
      <c r="V227" s="119"/>
      <c r="W227" s="119"/>
      <c r="X227" s="119"/>
      <c r="Y227" s="119"/>
    </row>
    <row r="228" spans="3:25" x14ac:dyDescent="0.25">
      <c r="C228" s="105"/>
      <c r="D228"/>
      <c r="F228" t="s">
        <v>196</v>
      </c>
      <c r="G228" t="s">
        <v>271</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v>
      </c>
      <c r="Q228" s="168">
        <f t="shared" ref="Q228" si="235">Q$122 * Q168</f>
        <v>0</v>
      </c>
      <c r="R228" s="119"/>
      <c r="S228" s="119"/>
      <c r="T228" s="119"/>
      <c r="U228" s="119"/>
      <c r="V228" s="119"/>
      <c r="W228" s="119"/>
      <c r="X228" s="119"/>
      <c r="Y228" s="119"/>
    </row>
    <row r="229" spans="3:25" x14ac:dyDescent="0.25">
      <c r="C229" s="105"/>
      <c r="D229"/>
      <c r="F229" t="s">
        <v>197</v>
      </c>
      <c r="G229" t="s">
        <v>271</v>
      </c>
      <c r="J229" s="168">
        <f t="shared" ref="J229:K229" si="236">J$122 * J169</f>
        <v>0</v>
      </c>
      <c r="K229" s="168">
        <f t="shared" si="236"/>
        <v>0</v>
      </c>
      <c r="L229" s="168">
        <f t="shared" ref="L229:M229" si="237">L$122 * L169</f>
        <v>0</v>
      </c>
      <c r="M229" s="168">
        <f t="shared" si="237"/>
        <v>0</v>
      </c>
      <c r="N229" s="168">
        <f t="shared" ref="N229:P229" si="238">N$122 * N169</f>
        <v>0.87628315732129924</v>
      </c>
      <c r="O229" s="168">
        <f t="shared" si="238"/>
        <v>4.323657009758576</v>
      </c>
      <c r="P229" s="168">
        <f t="shared" si="238"/>
        <v>4.265898232910657</v>
      </c>
      <c r="Q229" s="168">
        <f t="shared" ref="Q229" si="239">Q$122 * Q169</f>
        <v>0</v>
      </c>
      <c r="R229" s="119"/>
      <c r="S229" s="119"/>
      <c r="T229" s="119"/>
      <c r="U229" s="119"/>
      <c r="V229" s="119"/>
      <c r="W229" s="119"/>
      <c r="X229" s="119"/>
      <c r="Y229" s="119"/>
    </row>
    <row r="230" spans="3:25" x14ac:dyDescent="0.25">
      <c r="C230" s="105"/>
      <c r="D230"/>
      <c r="F230" t="s">
        <v>198</v>
      </c>
      <c r="G230" t="s">
        <v>271</v>
      </c>
      <c r="J230" s="168">
        <f t="shared" ref="J230:K230" si="240">J$122 * J170</f>
        <v>0</v>
      </c>
      <c r="K230" s="168">
        <f t="shared" si="240"/>
        <v>0</v>
      </c>
      <c r="L230" s="168">
        <f t="shared" ref="L230:M230" si="241">L$122 * L170</f>
        <v>0</v>
      </c>
      <c r="M230" s="168">
        <f t="shared" si="241"/>
        <v>0</v>
      </c>
      <c r="N230" s="168">
        <f t="shared" ref="N230:P230" si="242">N$122 * N170</f>
        <v>1.7976292660608901</v>
      </c>
      <c r="O230" s="168">
        <f t="shared" si="242"/>
        <v>1.773931705114701</v>
      </c>
      <c r="P230" s="168">
        <f t="shared" si="242"/>
        <v>0</v>
      </c>
      <c r="Q230" s="168">
        <f t="shared" ref="Q230" si="243">Q$122 * Q170</f>
        <v>0</v>
      </c>
      <c r="R230" s="119"/>
      <c r="S230" s="119"/>
      <c r="T230" s="119"/>
      <c r="U230" s="119"/>
      <c r="V230" s="119"/>
      <c r="W230" s="119"/>
      <c r="X230" s="119"/>
      <c r="Y230" s="119"/>
    </row>
    <row r="231" spans="3:25" x14ac:dyDescent="0.25">
      <c r="C231" s="105"/>
      <c r="D231"/>
      <c r="F231" t="s">
        <v>199</v>
      </c>
      <c r="G231" t="s">
        <v>271</v>
      </c>
      <c r="J231" s="168">
        <f t="shared" ref="J231:K231" si="244">J$122 * J171</f>
        <v>0</v>
      </c>
      <c r="K231" s="168">
        <f t="shared" si="244"/>
        <v>0</v>
      </c>
      <c r="L231" s="168">
        <f t="shared" ref="L231:M231" si="245">L$122 * L171</f>
        <v>0</v>
      </c>
      <c r="M231" s="168">
        <f t="shared" si="245"/>
        <v>0</v>
      </c>
      <c r="N231" s="168">
        <f t="shared" ref="N231:P231" si="246">N$122 * N171</f>
        <v>4.4164221503343226</v>
      </c>
      <c r="O231" s="168">
        <f t="shared" si="246"/>
        <v>0</v>
      </c>
      <c r="P231" s="168">
        <f t="shared" si="246"/>
        <v>0</v>
      </c>
      <c r="Q231" s="168">
        <f t="shared" ref="Q231" si="247">Q$122 * Q171</f>
        <v>0</v>
      </c>
      <c r="R231" s="119"/>
      <c r="S231" s="119"/>
      <c r="T231" s="119"/>
      <c r="U231" s="119"/>
      <c r="V231" s="119"/>
      <c r="W231" s="119"/>
      <c r="X231" s="119"/>
      <c r="Y231" s="119"/>
    </row>
    <row r="232" spans="3:25" x14ac:dyDescent="0.25">
      <c r="C232" s="105"/>
      <c r="D232"/>
      <c r="F232" t="s">
        <v>334</v>
      </c>
      <c r="G232" t="s">
        <v>271</v>
      </c>
      <c r="J232" s="119"/>
      <c r="K232" s="119"/>
      <c r="L232" s="119"/>
      <c r="M232" s="119"/>
      <c r="N232" s="119"/>
      <c r="O232" s="119"/>
      <c r="P232" s="119"/>
      <c r="Q232" s="119"/>
      <c r="R232" s="119"/>
      <c r="S232" s="119"/>
      <c r="T232" s="119"/>
      <c r="U232" s="119"/>
      <c r="V232" s="119"/>
      <c r="W232" s="119"/>
      <c r="X232" s="119"/>
      <c r="Y232" s="119"/>
    </row>
    <row r="233" spans="3:25" x14ac:dyDescent="0.25">
      <c r="C233" s="105"/>
      <c r="D233"/>
      <c r="F233" s="96" t="s">
        <v>335</v>
      </c>
      <c r="G233" s="96" t="s">
        <v>271</v>
      </c>
      <c r="H233" s="96"/>
      <c r="I233" s="96"/>
      <c r="J233" s="121"/>
      <c r="K233" s="121"/>
      <c r="L233" s="121"/>
      <c r="M233" s="121"/>
      <c r="N233" s="121"/>
      <c r="O233" s="121"/>
      <c r="P233" s="121"/>
      <c r="Q233" s="121"/>
      <c r="R233" s="121"/>
      <c r="S233" s="121"/>
      <c r="T233" s="121"/>
      <c r="U233" s="121"/>
      <c r="V233" s="121"/>
      <c r="W233" s="121"/>
      <c r="X233" s="121"/>
      <c r="Y233" s="121"/>
    </row>
    <row r="234" spans="3:25" x14ac:dyDescent="0.25">
      <c r="C234" s="105"/>
      <c r="D234"/>
      <c r="J234" s="106"/>
      <c r="K234" s="106"/>
      <c r="L234" s="106"/>
      <c r="M234" s="106"/>
      <c r="N234" s="106"/>
      <c r="O234" s="106"/>
      <c r="P234" s="106"/>
      <c r="Q234" s="106"/>
      <c r="R234" s="106"/>
      <c r="S234" s="106"/>
      <c r="T234" s="106"/>
      <c r="U234" s="106"/>
      <c r="V234" s="106"/>
      <c r="W234" s="106"/>
      <c r="X234" s="106"/>
      <c r="Y234" s="106"/>
    </row>
    <row r="235" spans="3:25" x14ac:dyDescent="0.25">
      <c r="C235" s="105"/>
      <c r="D235"/>
      <c r="E235" s="75" t="s">
        <v>579</v>
      </c>
      <c r="J235" s="106"/>
      <c r="K235" s="106"/>
      <c r="L235" s="106"/>
      <c r="M235" s="106"/>
      <c r="N235" s="106"/>
      <c r="O235" s="106"/>
      <c r="P235" s="106"/>
      <c r="Q235" s="106"/>
      <c r="R235" s="106"/>
      <c r="S235" s="106"/>
      <c r="T235" s="106"/>
      <c r="U235" s="106"/>
      <c r="V235" s="106"/>
      <c r="W235" s="106"/>
      <c r="X235" s="106"/>
      <c r="Y235" s="106"/>
    </row>
    <row r="236" spans="3:25" x14ac:dyDescent="0.25">
      <c r="C236" s="105"/>
      <c r="D236"/>
      <c r="F236" s="95" t="s">
        <v>189</v>
      </c>
      <c r="G236" s="95" t="s">
        <v>271</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25">
      <c r="C237" s="105"/>
      <c r="D237"/>
      <c r="F237" t="s">
        <v>191</v>
      </c>
      <c r="G237" t="s">
        <v>271</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25">
      <c r="C238" s="105"/>
      <c r="D238"/>
      <c r="F238" t="s">
        <v>192</v>
      </c>
      <c r="G238" t="s">
        <v>271</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0</v>
      </c>
      <c r="Q238" s="168">
        <f t="shared" ref="Q238" si="259">Q$122 * Q178</f>
        <v>0</v>
      </c>
      <c r="R238" s="119"/>
      <c r="S238" s="119"/>
      <c r="T238" s="119"/>
      <c r="U238" s="119"/>
      <c r="V238" s="119"/>
      <c r="W238" s="119"/>
      <c r="X238" s="119"/>
      <c r="Y238" s="119"/>
    </row>
    <row r="239" spans="3:25" x14ac:dyDescent="0.25">
      <c r="C239" s="105"/>
      <c r="D239"/>
      <c r="F239" t="s">
        <v>193</v>
      </c>
      <c r="G239" t="s">
        <v>271</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25">
      <c r="C240" s="105"/>
      <c r="D240"/>
      <c r="F240" t="s">
        <v>194</v>
      </c>
      <c r="G240" t="s">
        <v>271</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0.23029037407170133</v>
      </c>
      <c r="Q240" s="168">
        <f t="shared" ref="Q240" si="267">Q$122 * Q180</f>
        <v>0</v>
      </c>
      <c r="R240" s="119"/>
      <c r="S240" s="119"/>
      <c r="T240" s="119"/>
      <c r="U240" s="119"/>
      <c r="V240" s="119"/>
      <c r="W240" s="119"/>
      <c r="X240" s="119"/>
      <c r="Y240" s="119"/>
    </row>
    <row r="241" spans="2:27" x14ac:dyDescent="0.25">
      <c r="C241" s="105"/>
      <c r="D241"/>
      <c r="F241" t="s">
        <v>195</v>
      </c>
      <c r="G241" t="s">
        <v>271</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0.91075139840049546</v>
      </c>
      <c r="Q241" s="168">
        <f t="shared" ref="Q241" si="271">Q$122 * Q181</f>
        <v>0</v>
      </c>
      <c r="R241" s="119"/>
      <c r="S241" s="119"/>
      <c r="T241" s="119"/>
      <c r="U241" s="119"/>
      <c r="V241" s="119"/>
      <c r="W241" s="119"/>
      <c r="X241" s="119"/>
      <c r="Y241" s="119"/>
    </row>
    <row r="242" spans="2:27" x14ac:dyDescent="0.25">
      <c r="C242" s="105"/>
      <c r="D242"/>
      <c r="F242" t="s">
        <v>196</v>
      </c>
      <c r="G242" t="s">
        <v>271</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v>
      </c>
      <c r="Q242" s="168">
        <f t="shared" ref="Q242" si="275">Q$122 * Q182</f>
        <v>0</v>
      </c>
      <c r="R242" s="119"/>
      <c r="S242" s="119"/>
      <c r="T242" s="119"/>
      <c r="U242" s="119"/>
      <c r="V242" s="119"/>
      <c r="W242" s="119"/>
      <c r="X242" s="119"/>
      <c r="Y242" s="119"/>
    </row>
    <row r="243" spans="2:27" x14ac:dyDescent="0.25">
      <c r="C243" s="105"/>
      <c r="D243"/>
      <c r="F243" t="s">
        <v>197</v>
      </c>
      <c r="G243" t="s">
        <v>271</v>
      </c>
      <c r="J243" s="168">
        <f t="shared" ref="J243:K243" si="276">J$122 * J183</f>
        <v>0</v>
      </c>
      <c r="K243" s="168">
        <f t="shared" si="276"/>
        <v>0</v>
      </c>
      <c r="L243" s="168">
        <f t="shared" ref="L243:M243" si="277">L$122 * L183</f>
        <v>0</v>
      </c>
      <c r="M243" s="168">
        <f t="shared" si="277"/>
        <v>0</v>
      </c>
      <c r="N243" s="168">
        <f t="shared" ref="N243:P243" si="278">N$122 * N183</f>
        <v>0.628845141926625</v>
      </c>
      <c r="O243" s="168">
        <f t="shared" si="278"/>
        <v>3.1027764064929517</v>
      </c>
      <c r="P243" s="168">
        <f t="shared" si="278"/>
        <v>3.0613271033527782</v>
      </c>
      <c r="Q243" s="168">
        <f t="shared" ref="Q243" si="279">Q$122 * Q183</f>
        <v>0</v>
      </c>
      <c r="R243" s="119"/>
      <c r="S243" s="119"/>
      <c r="T243" s="119"/>
      <c r="U243" s="119"/>
      <c r="V243" s="119"/>
      <c r="W243" s="119"/>
      <c r="X243" s="119"/>
      <c r="Y243" s="119"/>
    </row>
    <row r="244" spans="2:27" x14ac:dyDescent="0.25">
      <c r="C244" s="105"/>
      <c r="D244"/>
      <c r="F244" t="s">
        <v>198</v>
      </c>
      <c r="G244" t="s">
        <v>271</v>
      </c>
      <c r="J244" s="168">
        <f t="shared" ref="J244:K244" si="280">J$122 * J184</f>
        <v>0</v>
      </c>
      <c r="K244" s="168">
        <f t="shared" si="280"/>
        <v>0</v>
      </c>
      <c r="L244" s="168">
        <f t="shared" ref="L244:M244" si="281">L$122 * L184</f>
        <v>0</v>
      </c>
      <c r="M244" s="168">
        <f t="shared" si="281"/>
        <v>0</v>
      </c>
      <c r="N244" s="168">
        <f t="shared" ref="N244:P244" si="282">N$122 * N184</f>
        <v>1.2900287099013923</v>
      </c>
      <c r="O244" s="168">
        <f t="shared" si="282"/>
        <v>1.2730226817106018</v>
      </c>
      <c r="P244" s="168">
        <f t="shared" si="282"/>
        <v>0</v>
      </c>
      <c r="Q244" s="168">
        <f t="shared" ref="Q244" si="283">Q$122 * Q184</f>
        <v>0</v>
      </c>
      <c r="R244" s="119"/>
      <c r="S244" s="119"/>
      <c r="T244" s="119"/>
      <c r="U244" s="119"/>
      <c r="V244" s="119"/>
      <c r="W244" s="119"/>
      <c r="X244" s="119"/>
      <c r="Y244" s="119"/>
    </row>
    <row r="245" spans="2:27" x14ac:dyDescent="0.25">
      <c r="C245" s="105"/>
      <c r="D245"/>
      <c r="F245" t="s">
        <v>199</v>
      </c>
      <c r="G245" t="s">
        <v>271</v>
      </c>
      <c r="J245" s="168">
        <f t="shared" ref="J245:K245" si="284">J$122 * J185</f>
        <v>0</v>
      </c>
      <c r="K245" s="168">
        <f t="shared" si="284"/>
        <v>0</v>
      </c>
      <c r="L245" s="168">
        <f t="shared" ref="L245:M245" si="285">L$122 * L185</f>
        <v>0</v>
      </c>
      <c r="M245" s="168">
        <f t="shared" si="285"/>
        <v>0</v>
      </c>
      <c r="N245" s="168">
        <f t="shared" ref="N245:P245" si="286">N$122 * N185</f>
        <v>3.1693472489242054</v>
      </c>
      <c r="O245" s="168">
        <f t="shared" si="286"/>
        <v>0</v>
      </c>
      <c r="P245" s="168">
        <f t="shared" si="286"/>
        <v>0</v>
      </c>
      <c r="Q245" s="168">
        <f t="shared" ref="Q245" si="287">Q$122 * Q185</f>
        <v>0</v>
      </c>
      <c r="R245" s="119"/>
      <c r="S245" s="119"/>
      <c r="T245" s="119"/>
      <c r="U245" s="119"/>
      <c r="V245" s="119"/>
      <c r="W245" s="119"/>
      <c r="X245" s="119"/>
      <c r="Y245" s="119"/>
    </row>
    <row r="246" spans="2:27" x14ac:dyDescent="0.25">
      <c r="C246" s="105"/>
      <c r="D246"/>
      <c r="F246" t="s">
        <v>334</v>
      </c>
      <c r="G246" t="s">
        <v>271</v>
      </c>
      <c r="J246" s="119"/>
      <c r="K246" s="119"/>
      <c r="L246" s="119"/>
      <c r="M246" s="119"/>
      <c r="N246" s="119"/>
      <c r="O246" s="119"/>
      <c r="P246" s="119"/>
      <c r="Q246" s="119"/>
      <c r="R246" s="119"/>
      <c r="S246" s="119"/>
      <c r="T246" s="119"/>
      <c r="U246" s="119"/>
      <c r="V246" s="119"/>
      <c r="W246" s="119"/>
      <c r="X246" s="119"/>
      <c r="Y246" s="119"/>
    </row>
    <row r="247" spans="2:27" x14ac:dyDescent="0.25">
      <c r="C247" s="105"/>
      <c r="D247"/>
      <c r="F247" s="96" t="s">
        <v>335</v>
      </c>
      <c r="G247" s="96" t="s">
        <v>271</v>
      </c>
      <c r="H247" s="96"/>
      <c r="I247" s="96"/>
      <c r="J247" s="121"/>
      <c r="K247" s="121"/>
      <c r="L247" s="121"/>
      <c r="M247" s="121"/>
      <c r="N247" s="121"/>
      <c r="O247" s="121"/>
      <c r="P247" s="121"/>
      <c r="Q247" s="121"/>
      <c r="R247" s="121"/>
      <c r="S247" s="121"/>
      <c r="T247" s="121"/>
      <c r="U247" s="121"/>
      <c r="V247" s="121"/>
      <c r="W247" s="121"/>
      <c r="X247" s="121"/>
      <c r="Y247" s="121"/>
    </row>
    <row r="248" spans="2:27" x14ac:dyDescent="0.25">
      <c r="C248" s="105"/>
      <c r="J248" s="106"/>
      <c r="K248" s="106"/>
      <c r="L248" s="106"/>
      <c r="M248" s="106"/>
      <c r="N248" s="106"/>
      <c r="O248" s="106"/>
      <c r="P248" s="106"/>
      <c r="Q248" s="106"/>
      <c r="R248" s="106"/>
      <c r="S248" s="106"/>
      <c r="T248" s="106"/>
      <c r="U248" s="106"/>
      <c r="V248" s="106"/>
      <c r="W248" s="106"/>
      <c r="X248" s="106"/>
      <c r="Y248" s="106"/>
    </row>
    <row r="249" spans="2:27" x14ac:dyDescent="0.25">
      <c r="B249" s="85" t="s">
        <v>664</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25">
      <c r="J250" s="106"/>
      <c r="K250" s="106"/>
      <c r="L250" s="106"/>
      <c r="M250" s="106"/>
      <c r="N250" s="106"/>
      <c r="O250" s="106"/>
      <c r="P250" s="106"/>
      <c r="Q250" s="106"/>
      <c r="R250" s="106"/>
      <c r="S250" s="106"/>
      <c r="T250" s="106"/>
      <c r="U250" s="106"/>
      <c r="V250" s="106"/>
      <c r="W250" s="106"/>
      <c r="X250" s="106"/>
      <c r="Y250" s="106"/>
    </row>
    <row r="251" spans="2:27" x14ac:dyDescent="0.25">
      <c r="B251" s="292"/>
      <c r="C251" s="86" t="s">
        <v>665</v>
      </c>
      <c r="D251"/>
      <c r="E251"/>
      <c r="J251" s="106"/>
      <c r="K251" s="106"/>
      <c r="L251" s="106"/>
      <c r="M251" s="106"/>
      <c r="N251" s="106"/>
      <c r="O251" s="106"/>
      <c r="P251" s="106"/>
      <c r="Q251" s="106"/>
      <c r="R251" s="106"/>
      <c r="S251" s="106"/>
      <c r="T251" s="106"/>
      <c r="U251" s="106"/>
      <c r="V251" s="106"/>
      <c r="W251" s="106"/>
      <c r="X251" s="106"/>
      <c r="Y251" s="106"/>
    </row>
    <row r="252" spans="2:27" x14ac:dyDescent="0.25">
      <c r="B252" s="292"/>
      <c r="C252" s="86" t="s">
        <v>666</v>
      </c>
      <c r="D252"/>
      <c r="E252"/>
      <c r="J252" s="106"/>
      <c r="K252" s="106"/>
      <c r="L252" s="106"/>
      <c r="M252" s="106"/>
      <c r="N252" s="106"/>
      <c r="O252" s="106"/>
      <c r="P252" s="106"/>
      <c r="Q252" s="106"/>
      <c r="R252" s="106"/>
      <c r="S252" s="106"/>
      <c r="T252" s="106"/>
      <c r="U252" s="106"/>
      <c r="V252" s="106"/>
      <c r="W252" s="106"/>
      <c r="X252" s="106"/>
      <c r="Y252" s="106"/>
    </row>
    <row r="253" spans="2:27" x14ac:dyDescent="0.25">
      <c r="J253" s="106"/>
      <c r="K253" s="106"/>
      <c r="L253" s="106"/>
      <c r="M253" s="106"/>
      <c r="N253" s="106"/>
      <c r="O253" s="106"/>
      <c r="P253" s="106"/>
      <c r="Q253" s="106"/>
      <c r="R253" s="106"/>
      <c r="S253" s="106"/>
      <c r="T253" s="106"/>
      <c r="U253" s="106"/>
      <c r="V253" s="106"/>
      <c r="W253" s="106"/>
      <c r="X253" s="106"/>
      <c r="Y253" s="106"/>
    </row>
    <row r="254" spans="2:27" x14ac:dyDescent="0.25">
      <c r="C254" s="93" t="str">
        <f ca="1">INDEX('Version control'!$H$41:$H$64,MATCH($A$1,'Version control'!$F$41:$F$64,0),1)&amp;"-F: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25">
      <c r="J255" s="106"/>
      <c r="K255" s="106"/>
      <c r="L255" s="106"/>
      <c r="M255" s="106"/>
      <c r="N255" s="106"/>
      <c r="O255" s="106"/>
      <c r="P255" s="106"/>
      <c r="Q255" s="106"/>
      <c r="R255" s="106"/>
      <c r="S255" s="106"/>
      <c r="T255" s="106"/>
      <c r="U255" s="106"/>
      <c r="V255" s="106"/>
      <c r="W255" s="106"/>
      <c r="X255" s="106"/>
      <c r="Y255" s="106"/>
    </row>
    <row r="256" spans="2:27" x14ac:dyDescent="0.25">
      <c r="E256" t="s">
        <v>667</v>
      </c>
      <c r="G256" t="s">
        <v>271</v>
      </c>
      <c r="I256" t="s">
        <v>154</v>
      </c>
      <c r="J256" s="150">
        <f t="shared" ref="J256:K256" si="288">SUM(J192:J203,J206:J217)</f>
        <v>0</v>
      </c>
      <c r="K256" s="150">
        <f t="shared" si="288"/>
        <v>0</v>
      </c>
      <c r="L256" s="150">
        <f t="shared" ref="L256:M256" si="289">SUM(L192:L203,L206:L217)</f>
        <v>0</v>
      </c>
      <c r="M256" s="150">
        <f t="shared" si="289"/>
        <v>0</v>
      </c>
      <c r="N256" s="150">
        <f t="shared" ref="N256:P256" si="290">SUM(N192:N203,N206:N217)</f>
        <v>12.178555674468734</v>
      </c>
      <c r="O256" s="150">
        <f t="shared" si="290"/>
        <v>10.473387803076831</v>
      </c>
      <c r="P256" s="150">
        <f t="shared" si="290"/>
        <v>10.058286050368954</v>
      </c>
      <c r="Q256" s="150">
        <f t="shared" ref="Q256" si="291">SUM(Q192:Q203,Q206:Q217)</f>
        <v>0</v>
      </c>
      <c r="R256" s="119"/>
      <c r="S256" s="119"/>
      <c r="T256" s="119"/>
      <c r="U256" s="119"/>
      <c r="V256" s="119"/>
      <c r="W256" s="119"/>
      <c r="X256" s="119"/>
      <c r="Y256" s="119"/>
      <c r="AA256" t="s">
        <v>668</v>
      </c>
    </row>
    <row r="257" spans="3:27" x14ac:dyDescent="0.25">
      <c r="E257" t="s">
        <v>669</v>
      </c>
      <c r="G257" t="s">
        <v>271</v>
      </c>
      <c r="I257" t="s">
        <v>154</v>
      </c>
      <c r="J257" s="151">
        <f t="shared" ref="J257:K257" si="292">SUM(J222:J233,J236:J247)</f>
        <v>0</v>
      </c>
      <c r="K257" s="151">
        <f t="shared" si="292"/>
        <v>0</v>
      </c>
      <c r="L257" s="151">
        <f t="shared" ref="L257:M257" si="293">SUM(L222:L233,L236:L247)</f>
        <v>0</v>
      </c>
      <c r="M257" s="151">
        <f t="shared" si="293"/>
        <v>0</v>
      </c>
      <c r="N257" s="151">
        <f t="shared" ref="N257:P257" si="294">SUM(N222:N233,N236:N247)</f>
        <v>12.178555674468734</v>
      </c>
      <c r="O257" s="151">
        <f t="shared" si="294"/>
        <v>10.473387803076831</v>
      </c>
      <c r="P257" s="151">
        <f t="shared" si="294"/>
        <v>10.058286050368954</v>
      </c>
      <c r="Q257" s="151">
        <f t="shared" ref="Q257" si="295">SUM(Q222:Q233,Q236:Q247)</f>
        <v>0</v>
      </c>
      <c r="R257" s="119"/>
      <c r="S257" s="119"/>
      <c r="T257" s="119"/>
      <c r="U257" s="119"/>
      <c r="V257" s="119"/>
      <c r="W257" s="119"/>
      <c r="X257" s="119"/>
      <c r="Y257" s="119"/>
      <c r="AA257" t="s">
        <v>668</v>
      </c>
    </row>
    <row r="258" spans="3:27" x14ac:dyDescent="0.25">
      <c r="C258" s="105"/>
      <c r="J258" s="106"/>
      <c r="K258" s="106"/>
      <c r="L258" s="106"/>
      <c r="M258" s="106"/>
      <c r="N258" s="106"/>
      <c r="O258" s="106"/>
      <c r="P258" s="106"/>
      <c r="Q258" s="106"/>
      <c r="R258" s="106"/>
      <c r="S258" s="106"/>
      <c r="T258" s="106"/>
      <c r="U258" s="106"/>
      <c r="V258" s="106"/>
      <c r="W258" s="106"/>
      <c r="X258" s="106"/>
      <c r="Y258" s="106"/>
    </row>
    <row r="259" spans="3:27" x14ac:dyDescent="0.25">
      <c r="C259" s="93" t="str">
        <f ca="1">INDEX('Version control'!$H$41:$H$64,MATCH($A$1,'Version control'!$F$41:$F$64,0),1)&amp;"-G: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25">
      <c r="D260" s="75"/>
      <c r="E260" s="75"/>
      <c r="I260" t="s">
        <v>154</v>
      </c>
      <c r="J260" s="106"/>
      <c r="K260" s="106"/>
      <c r="L260" s="106"/>
      <c r="M260" s="106"/>
      <c r="N260" s="106"/>
      <c r="O260" s="106"/>
      <c r="P260" s="106"/>
      <c r="Q260" s="106"/>
      <c r="R260" s="106"/>
      <c r="S260" s="106"/>
      <c r="T260" s="106"/>
      <c r="U260" s="106"/>
      <c r="V260" s="106"/>
      <c r="W260" s="106"/>
      <c r="X260" s="106"/>
      <c r="Y260" s="106"/>
      <c r="AA260" t="s">
        <v>670</v>
      </c>
    </row>
    <row r="261" spans="3:27" x14ac:dyDescent="0.25">
      <c r="C261" s="105"/>
      <c r="D261"/>
      <c r="E261" s="75" t="s">
        <v>578</v>
      </c>
      <c r="J261" s="106"/>
      <c r="K261" s="106"/>
      <c r="L261" s="106"/>
      <c r="M261" s="106"/>
      <c r="N261" s="106"/>
      <c r="O261" s="106"/>
      <c r="P261" s="106"/>
      <c r="Q261" s="106"/>
      <c r="R261" s="106"/>
      <c r="S261" s="106"/>
      <c r="T261" s="106"/>
      <c r="U261" s="106"/>
      <c r="V261" s="106"/>
      <c r="W261" s="106"/>
      <c r="X261" s="106"/>
      <c r="Y261" s="106"/>
    </row>
    <row r="262" spans="3:27" x14ac:dyDescent="0.25">
      <c r="C262" s="105"/>
      <c r="D262"/>
      <c r="F262" s="95" t="s">
        <v>189</v>
      </c>
      <c r="G262" s="95" t="s">
        <v>271</v>
      </c>
      <c r="H262" s="95"/>
      <c r="I262" s="95"/>
      <c r="J262" s="117"/>
      <c r="K262" s="117"/>
      <c r="L262" s="117"/>
      <c r="M262" s="117"/>
      <c r="N262" s="117"/>
      <c r="O262" s="117"/>
      <c r="P262" s="117"/>
      <c r="Q262" s="117"/>
      <c r="R262" s="117"/>
      <c r="S262" s="117"/>
      <c r="T262" s="117"/>
      <c r="U262" s="117"/>
      <c r="V262" s="117"/>
      <c r="W262" s="117"/>
      <c r="X262" s="117"/>
      <c r="Y262" s="117"/>
    </row>
    <row r="263" spans="3:27" x14ac:dyDescent="0.25">
      <c r="C263" s="105"/>
      <c r="D263"/>
      <c r="F263" t="s">
        <v>191</v>
      </c>
      <c r="G263" t="s">
        <v>271</v>
      </c>
      <c r="J263" s="119"/>
      <c r="K263" s="119"/>
      <c r="L263" s="119"/>
      <c r="M263" s="119"/>
      <c r="N263" s="119"/>
      <c r="O263" s="119"/>
      <c r="P263" s="119"/>
      <c r="Q263" s="119"/>
      <c r="R263" s="119"/>
      <c r="S263" s="119"/>
      <c r="T263" s="119"/>
      <c r="U263" s="119"/>
      <c r="V263" s="119"/>
      <c r="W263" s="119"/>
      <c r="X263" s="119"/>
      <c r="Y263" s="119"/>
    </row>
    <row r="264" spans="3:27" x14ac:dyDescent="0.25">
      <c r="C264" s="105"/>
      <c r="D264"/>
      <c r="F264" t="s">
        <v>192</v>
      </c>
      <c r="G264" t="s">
        <v>271</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25">
      <c r="C265" s="105"/>
      <c r="D265"/>
      <c r="F265" t="s">
        <v>193</v>
      </c>
      <c r="G265" t="s">
        <v>271</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25">
      <c r="C266" s="105"/>
      <c r="D266"/>
      <c r="F266" t="s">
        <v>194</v>
      </c>
      <c r="G266" t="s">
        <v>271</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25">
      <c r="C267" s="105"/>
      <c r="D267"/>
      <c r="F267" t="s">
        <v>195</v>
      </c>
      <c r="G267" t="s">
        <v>271</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25">
      <c r="C268" s="105"/>
      <c r="D268"/>
      <c r="F268" t="s">
        <v>196</v>
      </c>
      <c r="G268" t="s">
        <v>271</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25">
      <c r="C269" s="105"/>
      <c r="D269"/>
      <c r="F269" t="s">
        <v>197</v>
      </c>
      <c r="G269" t="s">
        <v>271</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25">
      <c r="C270" s="105"/>
      <c r="D270"/>
      <c r="F270" t="s">
        <v>198</v>
      </c>
      <c r="G270" t="s">
        <v>271</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25">
      <c r="C271" s="105"/>
      <c r="D271"/>
      <c r="F271" t="s">
        <v>199</v>
      </c>
      <c r="G271" t="s">
        <v>271</v>
      </c>
      <c r="J271" s="151">
        <f t="shared" ref="J271:K271" si="324">J$123 * J141</f>
        <v>4.4164221503343226</v>
      </c>
      <c r="K271" s="151">
        <f t="shared" si="324"/>
        <v>0</v>
      </c>
      <c r="L271" s="151">
        <f t="shared" ref="L271:M271" si="325">L$123 * L141</f>
        <v>4.4164221503343226</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25">
      <c r="C272" s="105"/>
      <c r="D272"/>
      <c r="F272" t="s">
        <v>334</v>
      </c>
      <c r="G272" t="s">
        <v>271</v>
      </c>
      <c r="J272" s="119"/>
      <c r="K272" s="119"/>
      <c r="L272" s="119"/>
      <c r="M272" s="119"/>
      <c r="N272" s="119"/>
      <c r="O272" s="119"/>
      <c r="P272" s="119"/>
      <c r="Q272" s="119"/>
      <c r="R272" s="119"/>
      <c r="S272" s="119"/>
      <c r="T272" s="119"/>
      <c r="U272" s="119"/>
      <c r="V272" s="119"/>
      <c r="W272" s="119"/>
      <c r="X272" s="119"/>
      <c r="Y272" s="119"/>
    </row>
    <row r="273" spans="3:25" x14ac:dyDescent="0.25">
      <c r="C273" s="105"/>
      <c r="D273"/>
      <c r="F273" s="96" t="s">
        <v>335</v>
      </c>
      <c r="G273" s="96" t="s">
        <v>271</v>
      </c>
      <c r="H273" s="96"/>
      <c r="I273" s="96"/>
      <c r="J273" s="121"/>
      <c r="K273" s="121"/>
      <c r="L273" s="121"/>
      <c r="M273" s="121"/>
      <c r="N273" s="121"/>
      <c r="O273" s="121"/>
      <c r="P273" s="121"/>
      <c r="Q273" s="121"/>
      <c r="R273" s="121"/>
      <c r="S273" s="121"/>
      <c r="T273" s="121"/>
      <c r="U273" s="121"/>
      <c r="V273" s="121"/>
      <c r="W273" s="121"/>
      <c r="X273" s="121"/>
      <c r="Y273" s="121"/>
    </row>
    <row r="274" spans="3:25" x14ac:dyDescent="0.25">
      <c r="C274" s="105"/>
      <c r="D274"/>
      <c r="J274" s="106"/>
      <c r="K274" s="106"/>
      <c r="L274" s="106"/>
      <c r="M274" s="106"/>
      <c r="N274" s="106"/>
      <c r="O274" s="106"/>
      <c r="P274" s="106"/>
      <c r="Q274" s="106"/>
      <c r="R274" s="106"/>
      <c r="S274" s="106"/>
      <c r="T274" s="106"/>
      <c r="U274" s="106"/>
      <c r="V274" s="106"/>
      <c r="W274" s="106"/>
      <c r="X274" s="106"/>
      <c r="Y274" s="106"/>
    </row>
    <row r="275" spans="3:25" x14ac:dyDescent="0.25">
      <c r="C275" s="105"/>
      <c r="D275"/>
      <c r="E275" s="75" t="s">
        <v>671</v>
      </c>
      <c r="J275" s="106"/>
      <c r="K275" s="106"/>
      <c r="L275" s="106"/>
      <c r="M275" s="106"/>
      <c r="N275" s="106"/>
      <c r="O275" s="106"/>
      <c r="P275" s="106"/>
      <c r="Q275" s="106"/>
      <c r="R275" s="106"/>
      <c r="S275" s="106"/>
      <c r="T275" s="106"/>
      <c r="U275" s="106"/>
      <c r="V275" s="106"/>
      <c r="W275" s="106"/>
      <c r="X275" s="106"/>
      <c r="Y275" s="106"/>
    </row>
    <row r="276" spans="3:25" x14ac:dyDescent="0.25">
      <c r="C276" s="105"/>
      <c r="D276"/>
      <c r="F276" s="95" t="s">
        <v>189</v>
      </c>
      <c r="G276" s="95" t="s">
        <v>271</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25">
      <c r="C277" s="105"/>
      <c r="D277"/>
      <c r="F277" t="s">
        <v>191</v>
      </c>
      <c r="G277" t="s">
        <v>271</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25">
      <c r="C278" s="105"/>
      <c r="D278"/>
      <c r="F278" t="s">
        <v>192</v>
      </c>
      <c r="G278" t="s">
        <v>271</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25">
      <c r="C279" s="105"/>
      <c r="D279"/>
      <c r="F279" t="s">
        <v>193</v>
      </c>
      <c r="G279" t="s">
        <v>271</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25">
      <c r="C280" s="105"/>
      <c r="D280"/>
      <c r="F280" t="s">
        <v>194</v>
      </c>
      <c r="G280" t="s">
        <v>271</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25">
      <c r="C281" s="105"/>
      <c r="D281"/>
      <c r="F281" t="s">
        <v>195</v>
      </c>
      <c r="G281" t="s">
        <v>271</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25">
      <c r="C282" s="105"/>
      <c r="D282"/>
      <c r="F282" t="s">
        <v>196</v>
      </c>
      <c r="G282" t="s">
        <v>271</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25">
      <c r="C283" s="105"/>
      <c r="D283"/>
      <c r="F283" t="s">
        <v>197</v>
      </c>
      <c r="G283" t="s">
        <v>271</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25">
      <c r="C284" s="105"/>
      <c r="D284"/>
      <c r="F284" t="s">
        <v>198</v>
      </c>
      <c r="G284" t="s">
        <v>271</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25">
      <c r="C285" s="105"/>
      <c r="D285"/>
      <c r="F285" t="s">
        <v>199</v>
      </c>
      <c r="G285" t="s">
        <v>271</v>
      </c>
      <c r="J285" s="151">
        <f t="shared" ref="J285:K285" si="364">J$123 * J155</f>
        <v>3.1693472489242054</v>
      </c>
      <c r="K285" s="151">
        <f t="shared" si="364"/>
        <v>0</v>
      </c>
      <c r="L285" s="151">
        <f t="shared" ref="L285:M285" si="365">L$123 * L155</f>
        <v>3.1693472489242054</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25">
      <c r="C286" s="105"/>
      <c r="D286"/>
      <c r="F286" t="s">
        <v>334</v>
      </c>
      <c r="G286" t="s">
        <v>271</v>
      </c>
      <c r="J286" s="119"/>
      <c r="K286" s="119"/>
      <c r="L286" s="119"/>
      <c r="M286" s="119"/>
      <c r="N286" s="119"/>
      <c r="O286" s="119"/>
      <c r="P286" s="119"/>
      <c r="Q286" s="119"/>
      <c r="R286" s="119"/>
      <c r="S286" s="119"/>
      <c r="T286" s="119"/>
      <c r="U286" s="119"/>
      <c r="V286" s="119"/>
      <c r="W286" s="119"/>
      <c r="X286" s="119"/>
      <c r="Y286" s="119"/>
    </row>
    <row r="287" spans="3:25" x14ac:dyDescent="0.25">
      <c r="C287" s="105"/>
      <c r="D287"/>
      <c r="F287" s="96" t="s">
        <v>335</v>
      </c>
      <c r="G287" s="96" t="s">
        <v>271</v>
      </c>
      <c r="H287" s="96"/>
      <c r="I287" s="96"/>
      <c r="J287" s="121"/>
      <c r="K287" s="121"/>
      <c r="L287" s="121"/>
      <c r="M287" s="121"/>
      <c r="N287" s="121"/>
      <c r="O287" s="121"/>
      <c r="P287" s="121"/>
      <c r="Q287" s="121"/>
      <c r="R287" s="121"/>
      <c r="S287" s="121"/>
      <c r="T287" s="121"/>
      <c r="U287" s="121"/>
      <c r="V287" s="121"/>
      <c r="W287" s="121"/>
      <c r="X287" s="121"/>
      <c r="Y287" s="121"/>
    </row>
    <row r="288" spans="3:25" x14ac:dyDescent="0.25">
      <c r="C288" s="105"/>
    </row>
    <row r="289" spans="2:27" x14ac:dyDescent="0.25">
      <c r="B289" s="85" t="s">
        <v>231</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25">
      <c r="C291" s="105"/>
      <c r="E291" t="s">
        <v>232</v>
      </c>
      <c r="G291" s="6" t="s">
        <v>56</v>
      </c>
      <c r="H291" s="252">
        <f t="array" ref="H291">SUM(IF(ISERROR(H51:Y287), 1))</f>
        <v>0</v>
      </c>
    </row>
    <row r="293" spans="2:27" x14ac:dyDescent="0.25">
      <c r="E293" t="s">
        <v>672</v>
      </c>
      <c r="G293" s="6" t="s">
        <v>56</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25">
      <c r="C295" s="105"/>
      <c r="E295" t="s">
        <v>239</v>
      </c>
      <c r="G295" s="6" t="s">
        <v>56</v>
      </c>
      <c r="H295" s="113">
        <f>H291 + H293</f>
        <v>0</v>
      </c>
    </row>
    <row r="297" spans="2:27" x14ac:dyDescent="0.25">
      <c r="B297" s="85" t="s">
        <v>107</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H254 &amp; IF(H254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618</v>
      </c>
      <c r="D9"/>
    </row>
    <row r="10" spans="1:27" x14ac:dyDescent="0.25">
      <c r="C10" s="86" t="s">
        <v>619</v>
      </c>
      <c r="D10"/>
      <c r="E10"/>
    </row>
    <row r="11" spans="1:27" x14ac:dyDescent="0.25">
      <c r="C11" s="134" t="s">
        <v>620</v>
      </c>
    </row>
    <row r="13" spans="1:27" x14ac:dyDescent="0.25">
      <c r="B13" s="85" t="s">
        <v>621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25">
      <c r="C15" s="86" t="s">
        <v>622</v>
      </c>
    </row>
    <row r="17" spans="3:27" x14ac:dyDescent="0.25">
      <c r="C17" s="93" t="str">
        <f ca="1">INDEX('Version control'!$H$41:$H$64,MATCH($A$1,'Version control'!$F$41:$F$64,0),1)&amp;"-A: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25">
      <c r="C18" s="75"/>
      <c r="D18"/>
      <c r="E18" s="75"/>
    </row>
    <row r="19" spans="3:27" x14ac:dyDescent="0.25">
      <c r="D19" s="75" t="s">
        <v>285</v>
      </c>
    </row>
    <row r="20" spans="3:27" x14ac:dyDescent="0.25">
      <c r="D20" s="86" t="s">
        <v>623</v>
      </c>
      <c r="E20"/>
    </row>
    <row r="21" spans="3:27" x14ac:dyDescent="0.25">
      <c r="C21" s="105"/>
      <c r="E21" s="95" t="s">
        <v>189</v>
      </c>
      <c r="F21" s="95"/>
      <c r="G21" s="95" t="s">
        <v>624</v>
      </c>
      <c r="H21" s="117"/>
    </row>
    <row r="22" spans="3:27" x14ac:dyDescent="0.25">
      <c r="C22" s="105"/>
      <c r="E22" t="s">
        <v>191</v>
      </c>
      <c r="G22" t="s">
        <v>624</v>
      </c>
      <c r="H22" s="167">
        <f t="array" ref="H22:H30">TRANSPOSE('Inputs by network level'!K21:S21)</f>
        <v>0.14554679684248217</v>
      </c>
    </row>
    <row r="23" spans="3:27" x14ac:dyDescent="0.25">
      <c r="C23" s="105"/>
      <c r="E23" t="s">
        <v>192</v>
      </c>
      <c r="G23" t="s">
        <v>624</v>
      </c>
      <c r="H23" s="167">
        <v>0.14554679684248217</v>
      </c>
    </row>
    <row r="24" spans="3:27" x14ac:dyDescent="0.25">
      <c r="C24" s="105"/>
      <c r="E24" t="s">
        <v>193</v>
      </c>
      <c r="G24" t="s">
        <v>624</v>
      </c>
      <c r="H24" s="167">
        <v>0.14554679684248217</v>
      </c>
    </row>
    <row r="25" spans="3:27" x14ac:dyDescent="0.25">
      <c r="C25" s="105"/>
      <c r="E25" t="s">
        <v>194</v>
      </c>
      <c r="G25" t="s">
        <v>624</v>
      </c>
      <c r="H25" s="167">
        <v>0.14554679684248217</v>
      </c>
    </row>
    <row r="26" spans="3:27" x14ac:dyDescent="0.25">
      <c r="C26" s="105"/>
      <c r="E26" t="s">
        <v>195</v>
      </c>
      <c r="G26" t="s">
        <v>624</v>
      </c>
      <c r="H26" s="167">
        <v>0.14554679684248217</v>
      </c>
    </row>
    <row r="27" spans="3:27" x14ac:dyDescent="0.25">
      <c r="C27" s="105"/>
      <c r="E27" t="s">
        <v>196</v>
      </c>
      <c r="G27" t="s">
        <v>624</v>
      </c>
      <c r="H27" s="167">
        <v>0.14554679684248217</v>
      </c>
    </row>
    <row r="28" spans="3:27" x14ac:dyDescent="0.25">
      <c r="C28" s="105"/>
      <c r="E28" t="s">
        <v>197</v>
      </c>
      <c r="G28" t="s">
        <v>624</v>
      </c>
      <c r="H28" s="167">
        <v>0.14554679684248217</v>
      </c>
    </row>
    <row r="29" spans="3:27" x14ac:dyDescent="0.25">
      <c r="C29" s="105"/>
      <c r="E29" t="s">
        <v>198</v>
      </c>
      <c r="G29" t="s">
        <v>624</v>
      </c>
      <c r="H29" s="167">
        <v>0.14554679684248217</v>
      </c>
    </row>
    <row r="30" spans="3:27" x14ac:dyDescent="0.25">
      <c r="C30" s="105"/>
      <c r="E30" t="s">
        <v>199</v>
      </c>
      <c r="G30" t="s">
        <v>624</v>
      </c>
      <c r="H30" s="167">
        <v>0.14554679684248217</v>
      </c>
    </row>
    <row r="31" spans="3:27" x14ac:dyDescent="0.25">
      <c r="C31" s="105"/>
      <c r="E31" t="s">
        <v>334</v>
      </c>
      <c r="G31" t="s">
        <v>624</v>
      </c>
      <c r="H31" s="119"/>
    </row>
    <row r="32" spans="3:27" x14ac:dyDescent="0.25">
      <c r="C32" s="105"/>
      <c r="E32" s="96" t="s">
        <v>335</v>
      </c>
      <c r="F32" s="96"/>
      <c r="G32" s="96" t="s">
        <v>624</v>
      </c>
      <c r="H32" s="121"/>
    </row>
    <row r="33" spans="3:8" x14ac:dyDescent="0.25">
      <c r="C33" s="105"/>
      <c r="H33" s="106"/>
    </row>
    <row r="34" spans="3:8" x14ac:dyDescent="0.25">
      <c r="D34" s="105" t="s">
        <v>352</v>
      </c>
      <c r="H34" s="106"/>
    </row>
    <row r="35" spans="3:8" x14ac:dyDescent="0.25">
      <c r="C35" s="105"/>
      <c r="E35" s="95" t="s">
        <v>189</v>
      </c>
      <c r="F35" s="95"/>
      <c r="G35" s="98" t="s">
        <v>283</v>
      </c>
      <c r="H35" s="171">
        <f t="array" ref="H35:H44">TRANSPOSE('Load &amp; loss characteristics'!J29:S29)</f>
        <v>1</v>
      </c>
    </row>
    <row r="36" spans="3:8" x14ac:dyDescent="0.25">
      <c r="C36" s="105"/>
      <c r="E36" t="s">
        <v>191</v>
      </c>
      <c r="G36" s="94" t="s">
        <v>283</v>
      </c>
      <c r="H36" s="167">
        <v>1</v>
      </c>
    </row>
    <row r="37" spans="3:8" x14ac:dyDescent="0.25">
      <c r="C37" s="105"/>
      <c r="E37" t="s">
        <v>192</v>
      </c>
      <c r="G37" s="94" t="s">
        <v>283</v>
      </c>
      <c r="H37" s="167">
        <v>1.0009999999999999</v>
      </c>
    </row>
    <row r="38" spans="3:8" x14ac:dyDescent="0.25">
      <c r="C38" s="105"/>
      <c r="E38" t="s">
        <v>193</v>
      </c>
      <c r="G38" s="94" t="s">
        <v>283</v>
      </c>
      <c r="H38" s="167">
        <v>1.0049999999999999</v>
      </c>
    </row>
    <row r="39" spans="3:8" x14ac:dyDescent="0.25">
      <c r="C39" s="105"/>
      <c r="E39" t="s">
        <v>194</v>
      </c>
      <c r="G39" s="94" t="s">
        <v>283</v>
      </c>
      <c r="H39" s="167">
        <v>1.012</v>
      </c>
    </row>
    <row r="40" spans="3:8" x14ac:dyDescent="0.25">
      <c r="C40" s="105"/>
      <c r="E40" t="s">
        <v>195</v>
      </c>
      <c r="G40" s="94" t="s">
        <v>283</v>
      </c>
      <c r="H40" s="167">
        <v>1.018</v>
      </c>
    </row>
    <row r="41" spans="3:8" x14ac:dyDescent="0.25">
      <c r="C41" s="105"/>
      <c r="E41" t="s">
        <v>196</v>
      </c>
      <c r="G41" s="94" t="s">
        <v>283</v>
      </c>
      <c r="H41" s="167">
        <v>1.018</v>
      </c>
    </row>
    <row r="42" spans="3:8" x14ac:dyDescent="0.25">
      <c r="C42" s="105"/>
      <c r="E42" t="s">
        <v>197</v>
      </c>
      <c r="G42" s="94" t="s">
        <v>283</v>
      </c>
      <c r="H42" s="167">
        <v>1.034</v>
      </c>
    </row>
    <row r="43" spans="3:8" x14ac:dyDescent="0.25">
      <c r="C43" s="105"/>
      <c r="E43" t="s">
        <v>198</v>
      </c>
      <c r="G43" s="94" t="s">
        <v>283</v>
      </c>
      <c r="H43" s="167">
        <v>1.048</v>
      </c>
    </row>
    <row r="44" spans="3:8" x14ac:dyDescent="0.25">
      <c r="C44" s="105"/>
      <c r="E44" t="s">
        <v>199</v>
      </c>
      <c r="G44" s="94" t="s">
        <v>283</v>
      </c>
      <c r="H44" s="167">
        <v>1.0620000000000001</v>
      </c>
    </row>
    <row r="45" spans="3:8" x14ac:dyDescent="0.25">
      <c r="C45" s="105"/>
      <c r="E45" t="s">
        <v>334</v>
      </c>
      <c r="G45" s="94" t="s">
        <v>283</v>
      </c>
      <c r="H45" s="119"/>
    </row>
    <row r="46" spans="3:8" x14ac:dyDescent="0.25">
      <c r="C46" s="105"/>
      <c r="E46" s="96" t="s">
        <v>335</v>
      </c>
      <c r="F46" s="96"/>
      <c r="G46" s="101" t="s">
        <v>283</v>
      </c>
      <c r="H46" s="121"/>
    </row>
    <row r="47" spans="3:8" x14ac:dyDescent="0.25">
      <c r="C47" s="105"/>
      <c r="H47" s="106"/>
    </row>
    <row r="48" spans="3:8" x14ac:dyDescent="0.25">
      <c r="D48" s="75" t="s">
        <v>625</v>
      </c>
      <c r="H48" s="106"/>
    </row>
    <row r="49" spans="3:8" x14ac:dyDescent="0.25">
      <c r="C49" s="105"/>
      <c r="E49" s="95" t="s">
        <v>189</v>
      </c>
      <c r="F49" s="95"/>
      <c r="G49" s="95" t="s">
        <v>542</v>
      </c>
      <c r="H49" s="117"/>
    </row>
    <row r="50" spans="3:8" x14ac:dyDescent="0.25">
      <c r="C50" s="105"/>
      <c r="E50" t="s">
        <v>191</v>
      </c>
      <c r="G50" t="s">
        <v>542</v>
      </c>
      <c r="H50" s="119"/>
    </row>
    <row r="51" spans="3:8" x14ac:dyDescent="0.25">
      <c r="C51" s="105"/>
      <c r="E51" t="s">
        <v>192</v>
      </c>
      <c r="G51" t="s">
        <v>542</v>
      </c>
      <c r="H51" s="167">
        <f t="array" ref="H51:H58">TRANSPOSE('Unit costs'!L114:S114)</f>
        <v>14.758726996884906</v>
      </c>
    </row>
    <row r="52" spans="3:8" x14ac:dyDescent="0.25">
      <c r="C52" s="105"/>
      <c r="E52" t="s">
        <v>193</v>
      </c>
      <c r="G52" t="s">
        <v>542</v>
      </c>
      <c r="H52" s="167">
        <v>2.1225096707163735</v>
      </c>
    </row>
    <row r="53" spans="3:8" x14ac:dyDescent="0.25">
      <c r="C53" s="105"/>
      <c r="E53" t="s">
        <v>194</v>
      </c>
      <c r="G53" t="s">
        <v>542</v>
      </c>
      <c r="H53" s="167">
        <v>6.8342962743198372</v>
      </c>
    </row>
    <row r="54" spans="3:8" x14ac:dyDescent="0.25">
      <c r="C54" s="105"/>
      <c r="E54" t="s">
        <v>195</v>
      </c>
      <c r="G54" t="s">
        <v>542</v>
      </c>
      <c r="H54" s="167">
        <v>5.4376985097408861</v>
      </c>
    </row>
    <row r="55" spans="3:8" x14ac:dyDescent="0.25">
      <c r="C55" s="105"/>
      <c r="E55" t="s">
        <v>196</v>
      </c>
      <c r="G55" t="s">
        <v>542</v>
      </c>
      <c r="H55" s="167">
        <v>0</v>
      </c>
    </row>
    <row r="56" spans="3:8" x14ac:dyDescent="0.25">
      <c r="C56" s="105"/>
      <c r="E56" t="s">
        <v>197</v>
      </c>
      <c r="G56" t="s">
        <v>542</v>
      </c>
      <c r="H56" s="167">
        <v>25.434215248726574</v>
      </c>
    </row>
    <row r="57" spans="3:8" x14ac:dyDescent="0.25">
      <c r="C57" s="105"/>
      <c r="E57" t="s">
        <v>198</v>
      </c>
      <c r="G57" t="s">
        <v>542</v>
      </c>
      <c r="H57" s="167">
        <v>10.576567550614797</v>
      </c>
    </row>
    <row r="58" spans="3:8" x14ac:dyDescent="0.25">
      <c r="C58" s="105"/>
      <c r="E58" t="s">
        <v>199</v>
      </c>
      <c r="G58" t="s">
        <v>542</v>
      </c>
      <c r="H58" s="167">
        <v>26.449583118701288</v>
      </c>
    </row>
    <row r="59" spans="3:8" x14ac:dyDescent="0.25">
      <c r="C59" s="105"/>
      <c r="E59" t="s">
        <v>334</v>
      </c>
      <c r="G59" t="s">
        <v>542</v>
      </c>
      <c r="H59" s="119"/>
    </row>
    <row r="60" spans="3:8" x14ac:dyDescent="0.25">
      <c r="C60" s="105"/>
      <c r="E60" s="96" t="s">
        <v>335</v>
      </c>
      <c r="F60" s="96"/>
      <c r="G60" s="96" t="s">
        <v>542</v>
      </c>
      <c r="H60" s="121"/>
    </row>
    <row r="61" spans="3:8" x14ac:dyDescent="0.25">
      <c r="C61" s="105"/>
      <c r="H61" s="106"/>
    </row>
    <row r="62" spans="3:8" x14ac:dyDescent="0.25">
      <c r="C62" s="105"/>
      <c r="D62" s="75" t="s">
        <v>626</v>
      </c>
      <c r="E62"/>
      <c r="H62" s="106"/>
    </row>
    <row r="63" spans="3:8" x14ac:dyDescent="0.25">
      <c r="C63" s="105"/>
      <c r="E63" s="95" t="s">
        <v>189</v>
      </c>
      <c r="F63" s="95"/>
      <c r="G63" s="95" t="s">
        <v>542</v>
      </c>
      <c r="H63" s="171">
        <f t="array" ref="H63:H72">TRANSPOSE('Unit costs'!J115:S115)</f>
        <v>5.185050422347377</v>
      </c>
    </row>
    <row r="64" spans="3:8" x14ac:dyDescent="0.25">
      <c r="C64" s="105"/>
      <c r="E64" t="s">
        <v>191</v>
      </c>
      <c r="G64" t="s">
        <v>542</v>
      </c>
      <c r="H64" s="167">
        <v>0</v>
      </c>
    </row>
    <row r="65" spans="3:42" x14ac:dyDescent="0.25">
      <c r="C65" s="105"/>
      <c r="E65" t="s">
        <v>192</v>
      </c>
      <c r="G65" t="s">
        <v>542</v>
      </c>
      <c r="H65" s="167">
        <v>10.59127257607375</v>
      </c>
    </row>
    <row r="66" spans="3:42" x14ac:dyDescent="0.25">
      <c r="C66" s="105"/>
      <c r="E66" t="s">
        <v>193</v>
      </c>
      <c r="G66" t="s">
        <v>542</v>
      </c>
      <c r="H66" s="167">
        <v>1.5231719153457122</v>
      </c>
    </row>
    <row r="67" spans="3:42" x14ac:dyDescent="0.25">
      <c r="C67" s="105"/>
      <c r="E67" t="s">
        <v>194</v>
      </c>
      <c r="G67" t="s">
        <v>542</v>
      </c>
      <c r="H67" s="167">
        <v>4.9044809028749308</v>
      </c>
    </row>
    <row r="68" spans="3:42" x14ac:dyDescent="0.25">
      <c r="C68" s="105"/>
      <c r="E68" t="s">
        <v>195</v>
      </c>
      <c r="G68" t="s">
        <v>542</v>
      </c>
      <c r="H68" s="167">
        <v>3.9022435414200429</v>
      </c>
    </row>
    <row r="69" spans="3:42" x14ac:dyDescent="0.25">
      <c r="C69" s="105"/>
      <c r="E69" t="s">
        <v>196</v>
      </c>
      <c r="G69" t="s">
        <v>542</v>
      </c>
      <c r="H69" s="167">
        <v>0</v>
      </c>
    </row>
    <row r="70" spans="3:42" x14ac:dyDescent="0.25">
      <c r="C70" s="105"/>
      <c r="E70" t="s">
        <v>197</v>
      </c>
      <c r="G70" t="s">
        <v>542</v>
      </c>
      <c r="H70" s="167">
        <v>18.25229957262928</v>
      </c>
    </row>
    <row r="71" spans="3:42" x14ac:dyDescent="0.25">
      <c r="C71" s="105"/>
      <c r="E71" t="s">
        <v>198</v>
      </c>
      <c r="G71" t="s">
        <v>542</v>
      </c>
      <c r="H71" s="167">
        <v>7.5900387527638191</v>
      </c>
    </row>
    <row r="72" spans="3:42" x14ac:dyDescent="0.25">
      <c r="C72" s="105"/>
      <c r="E72" t="s">
        <v>199</v>
      </c>
      <c r="G72" t="s">
        <v>542</v>
      </c>
      <c r="H72" s="167">
        <v>18.980955768936685</v>
      </c>
    </row>
    <row r="73" spans="3:42" x14ac:dyDescent="0.25">
      <c r="C73" s="105"/>
      <c r="E73" t="s">
        <v>334</v>
      </c>
      <c r="G73" t="s">
        <v>542</v>
      </c>
      <c r="H73" s="119"/>
    </row>
    <row r="74" spans="3:42" x14ac:dyDescent="0.25">
      <c r="C74" s="105"/>
      <c r="E74" s="96" t="s">
        <v>335</v>
      </c>
      <c r="F74" s="96"/>
      <c r="G74" s="96" t="s">
        <v>542</v>
      </c>
      <c r="H74" s="121"/>
    </row>
    <row r="75" spans="3:42" x14ac:dyDescent="0.25">
      <c r="C75" s="105"/>
      <c r="H75" s="97"/>
    </row>
    <row r="76" spans="3:42" x14ac:dyDescent="0.25">
      <c r="D76" s="105" t="s">
        <v>627</v>
      </c>
    </row>
    <row r="77" spans="3:42" x14ac:dyDescent="0.25">
      <c r="D77" s="86" t="s">
        <v>628</v>
      </c>
      <c r="E77" s="292"/>
    </row>
    <row r="78" spans="3:42" x14ac:dyDescent="0.25">
      <c r="C78" s="105"/>
      <c r="E78" t="s">
        <v>629</v>
      </c>
      <c r="G78" t="s">
        <v>630</v>
      </c>
      <c r="I78" t="s">
        <v>154</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223</v>
      </c>
    </row>
    <row r="79" spans="3:42" x14ac:dyDescent="0.25">
      <c r="C79" s="105"/>
    </row>
    <row r="80" spans="3:42" x14ac:dyDescent="0.25">
      <c r="D80" s="75" t="s">
        <v>121</v>
      </c>
      <c r="E80"/>
      <c r="H80" s="62"/>
      <c r="J80" s="97"/>
      <c r="K80" s="97"/>
      <c r="L80" s="97"/>
      <c r="M80" s="97"/>
      <c r="N80" s="97"/>
      <c r="O80" s="97"/>
      <c r="P80" s="97"/>
      <c r="Q80" s="97"/>
      <c r="R80" s="97"/>
      <c r="S80" s="97"/>
      <c r="T80" s="97"/>
      <c r="U80" s="97"/>
      <c r="V80" s="97"/>
      <c r="W80" s="97"/>
      <c r="X80" s="97"/>
      <c r="Y80" s="97"/>
      <c r="AP80" s="3"/>
    </row>
    <row r="81" spans="3:42" x14ac:dyDescent="0.25">
      <c r="C81" s="75"/>
      <c r="D81"/>
      <c r="E81" s="95" t="s">
        <v>191</v>
      </c>
      <c r="F81" s="95"/>
      <c r="G81" s="95" t="s">
        <v>167</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25">
      <c r="C82" s="75"/>
      <c r="D82"/>
      <c r="E82" t="s">
        <v>192</v>
      </c>
      <c r="G82" t="s">
        <v>167</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0</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25">
      <c r="C83" s="75"/>
      <c r="D83"/>
      <c r="E83" t="s">
        <v>193</v>
      </c>
      <c r="G83" t="s">
        <v>167</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25">
      <c r="C84" s="75"/>
      <c r="D84"/>
      <c r="E84" t="s">
        <v>194</v>
      </c>
      <c r="G84" t="s">
        <v>167</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25">
      <c r="C85" s="75"/>
      <c r="D85"/>
      <c r="E85" t="s">
        <v>195</v>
      </c>
      <c r="G85" t="s">
        <v>167</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25">
      <c r="C86" s="75"/>
      <c r="D86"/>
      <c r="E86" t="s">
        <v>196</v>
      </c>
      <c r="G86" t="s">
        <v>167</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25">
      <c r="C87" s="75"/>
      <c r="D87"/>
      <c r="E87" t="s">
        <v>197</v>
      </c>
      <c r="G87" t="s">
        <v>167</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25">
      <c r="C88" s="75"/>
      <c r="D88"/>
      <c r="E88" t="s">
        <v>198</v>
      </c>
      <c r="G88" t="s">
        <v>167</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25">
      <c r="C89" s="75"/>
      <c r="D89"/>
      <c r="E89" s="96" t="s">
        <v>199</v>
      </c>
      <c r="F89" s="96"/>
      <c r="G89" s="96" t="s">
        <v>167</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25">
      <c r="C90" s="105"/>
    </row>
    <row r="91" spans="3:42" x14ac:dyDescent="0.25">
      <c r="D91" s="75" t="s">
        <v>362</v>
      </c>
      <c r="E91" s="75"/>
      <c r="I91" t="s">
        <v>154</v>
      </c>
      <c r="AA91" t="s">
        <v>631</v>
      </c>
    </row>
    <row r="92" spans="3:42" x14ac:dyDescent="0.25">
      <c r="D92" s="86" t="s">
        <v>359</v>
      </c>
      <c r="E92"/>
      <c r="AA92" s="293"/>
    </row>
    <row r="93" spans="3:42" x14ac:dyDescent="0.25">
      <c r="D93"/>
      <c r="E93" s="95" t="s">
        <v>189</v>
      </c>
      <c r="F93" s="95"/>
      <c r="G93" s="98" t="s">
        <v>283</v>
      </c>
      <c r="H93" s="95"/>
      <c r="I93" s="95"/>
      <c r="J93" s="117"/>
      <c r="K93" s="117"/>
      <c r="L93" s="117"/>
      <c r="M93" s="117"/>
      <c r="N93" s="117"/>
      <c r="O93" s="117"/>
      <c r="P93" s="117"/>
      <c r="Q93" s="117"/>
      <c r="R93" s="171">
        <f t="array" ref="R93:Y102">TRANSPOSE('Load &amp; loss characteristics'!J172:S179)</f>
        <v>-1.0620000000000001</v>
      </c>
      <c r="S93" s="171">
        <v>-1.048</v>
      </c>
      <c r="T93" s="171">
        <v>-1.0620000000000001</v>
      </c>
      <c r="U93" s="171">
        <v>-1.0620000000000001</v>
      </c>
      <c r="V93" s="171">
        <v>-1.048</v>
      </c>
      <c r="W93" s="171">
        <v>-1.048</v>
      </c>
      <c r="X93" s="171">
        <v>-1.034</v>
      </c>
      <c r="Y93" s="171">
        <v>-1.034</v>
      </c>
    </row>
    <row r="94" spans="3:42" x14ac:dyDescent="0.25">
      <c r="D94"/>
      <c r="E94" t="s">
        <v>191</v>
      </c>
      <c r="G94" s="94" t="s">
        <v>283</v>
      </c>
      <c r="J94" s="119"/>
      <c r="K94" s="119"/>
      <c r="L94" s="119"/>
      <c r="M94" s="119"/>
      <c r="N94" s="119"/>
      <c r="O94" s="119"/>
      <c r="P94" s="119"/>
      <c r="Q94" s="119"/>
      <c r="R94" s="167">
        <v>-1.0620000000000001</v>
      </c>
      <c r="S94" s="167">
        <v>-1.048</v>
      </c>
      <c r="T94" s="167">
        <v>-1.0620000000000001</v>
      </c>
      <c r="U94" s="167">
        <v>-1.0620000000000001</v>
      </c>
      <c r="V94" s="167">
        <v>-1.048</v>
      </c>
      <c r="W94" s="167">
        <v>-1.048</v>
      </c>
      <c r="X94" s="167">
        <v>-1.034</v>
      </c>
      <c r="Y94" s="167">
        <v>-1.034</v>
      </c>
    </row>
    <row r="95" spans="3:42" x14ac:dyDescent="0.25">
      <c r="D95"/>
      <c r="E95" t="s">
        <v>192</v>
      </c>
      <c r="G95" s="94" t="s">
        <v>283</v>
      </c>
      <c r="J95" s="119"/>
      <c r="K95" s="119"/>
      <c r="L95" s="119"/>
      <c r="M95" s="119"/>
      <c r="N95" s="119"/>
      <c r="O95" s="119"/>
      <c r="P95" s="119"/>
      <c r="Q95" s="119"/>
      <c r="R95" s="167">
        <v>-1.0620000000000001</v>
      </c>
      <c r="S95" s="167">
        <v>-1.048</v>
      </c>
      <c r="T95" s="167">
        <v>-1.0620000000000001</v>
      </c>
      <c r="U95" s="167">
        <v>-1.0620000000000001</v>
      </c>
      <c r="V95" s="167">
        <v>-1.048</v>
      </c>
      <c r="W95" s="167">
        <v>-1.048</v>
      </c>
      <c r="X95" s="167">
        <v>-1.034</v>
      </c>
      <c r="Y95" s="167">
        <v>-1.034</v>
      </c>
    </row>
    <row r="96" spans="3:42" x14ac:dyDescent="0.25">
      <c r="D96"/>
      <c r="E96" t="s">
        <v>193</v>
      </c>
      <c r="G96" s="94" t="s">
        <v>283</v>
      </c>
      <c r="J96" s="119"/>
      <c r="K96" s="119"/>
      <c r="L96" s="119"/>
      <c r="M96" s="119"/>
      <c r="N96" s="119"/>
      <c r="O96" s="119"/>
      <c r="P96" s="119"/>
      <c r="Q96" s="119"/>
      <c r="R96" s="167">
        <v>-1.0620000000000001</v>
      </c>
      <c r="S96" s="167">
        <v>-1.048</v>
      </c>
      <c r="T96" s="167">
        <v>-1.0620000000000001</v>
      </c>
      <c r="U96" s="167">
        <v>-1.0620000000000001</v>
      </c>
      <c r="V96" s="167">
        <v>-1.048</v>
      </c>
      <c r="W96" s="167">
        <v>-1.048</v>
      </c>
      <c r="X96" s="167">
        <v>-1.034</v>
      </c>
      <c r="Y96" s="167">
        <v>-1.034</v>
      </c>
    </row>
    <row r="97" spans="3:25" x14ac:dyDescent="0.25">
      <c r="D97"/>
      <c r="E97" t="s">
        <v>194</v>
      </c>
      <c r="G97" s="94" t="s">
        <v>283</v>
      </c>
      <c r="J97" s="119"/>
      <c r="K97" s="119"/>
      <c r="L97" s="119"/>
      <c r="M97" s="119"/>
      <c r="N97" s="119"/>
      <c r="O97" s="119"/>
      <c r="P97" s="119"/>
      <c r="Q97" s="119"/>
      <c r="R97" s="167">
        <v>-1.0620000000000001</v>
      </c>
      <c r="S97" s="167">
        <v>-1.048</v>
      </c>
      <c r="T97" s="167">
        <v>-1.0620000000000001</v>
      </c>
      <c r="U97" s="167">
        <v>-1.0620000000000001</v>
      </c>
      <c r="V97" s="167">
        <v>-1.048</v>
      </c>
      <c r="W97" s="167">
        <v>-1.048</v>
      </c>
      <c r="X97" s="167">
        <v>-1.034</v>
      </c>
      <c r="Y97" s="167">
        <v>-1.034</v>
      </c>
    </row>
    <row r="98" spans="3:25" x14ac:dyDescent="0.25">
      <c r="D98"/>
      <c r="E98" t="s">
        <v>195</v>
      </c>
      <c r="G98" s="94" t="s">
        <v>283</v>
      </c>
      <c r="J98" s="119"/>
      <c r="K98" s="119"/>
      <c r="L98" s="119"/>
      <c r="M98" s="119"/>
      <c r="N98" s="119"/>
      <c r="O98" s="119"/>
      <c r="P98" s="119"/>
      <c r="Q98" s="119"/>
      <c r="R98" s="167">
        <v>-1.0620000000000001</v>
      </c>
      <c r="S98" s="167">
        <v>-1.048</v>
      </c>
      <c r="T98" s="167">
        <v>-1.0620000000000001</v>
      </c>
      <c r="U98" s="167">
        <v>-1.0620000000000001</v>
      </c>
      <c r="V98" s="167">
        <v>-1.048</v>
      </c>
      <c r="W98" s="167">
        <v>-1.048</v>
      </c>
      <c r="X98" s="167">
        <v>-1.034</v>
      </c>
      <c r="Y98" s="167">
        <v>-1.034</v>
      </c>
    </row>
    <row r="99" spans="3:25" x14ac:dyDescent="0.25">
      <c r="D99"/>
      <c r="E99" t="s">
        <v>196</v>
      </c>
      <c r="G99" s="94" t="s">
        <v>283</v>
      </c>
      <c r="J99" s="119"/>
      <c r="K99" s="119"/>
      <c r="L99" s="119"/>
      <c r="M99" s="119"/>
      <c r="N99" s="119"/>
      <c r="O99" s="119"/>
      <c r="P99" s="119"/>
      <c r="Q99" s="119"/>
      <c r="R99" s="167">
        <v>0</v>
      </c>
      <c r="S99" s="167">
        <v>0</v>
      </c>
      <c r="T99" s="167">
        <v>0</v>
      </c>
      <c r="U99" s="167">
        <v>0</v>
      </c>
      <c r="V99" s="167">
        <v>0</v>
      </c>
      <c r="W99" s="167">
        <v>0</v>
      </c>
      <c r="X99" s="167">
        <v>0</v>
      </c>
      <c r="Y99" s="167">
        <v>0</v>
      </c>
    </row>
    <row r="100" spans="3:25" x14ac:dyDescent="0.25">
      <c r="D100"/>
      <c r="E100" t="s">
        <v>197</v>
      </c>
      <c r="G100" s="94" t="s">
        <v>283</v>
      </c>
      <c r="J100" s="119"/>
      <c r="K100" s="119"/>
      <c r="L100" s="119"/>
      <c r="M100" s="119"/>
      <c r="N100" s="119"/>
      <c r="O100" s="119"/>
      <c r="P100" s="119"/>
      <c r="Q100" s="119"/>
      <c r="R100" s="167">
        <v>-1.0620000000000001</v>
      </c>
      <c r="S100" s="167">
        <v>-1.048</v>
      </c>
      <c r="T100" s="167">
        <v>-1.0620000000000001</v>
      </c>
      <c r="U100" s="167">
        <v>-1.0620000000000001</v>
      </c>
      <c r="V100" s="167">
        <v>-1.048</v>
      </c>
      <c r="W100" s="167">
        <v>-1.048</v>
      </c>
      <c r="X100" s="167">
        <v>-1.034</v>
      </c>
      <c r="Y100" s="167">
        <v>-1.034</v>
      </c>
    </row>
    <row r="101" spans="3:25" x14ac:dyDescent="0.25">
      <c r="D101"/>
      <c r="E101" t="s">
        <v>198</v>
      </c>
      <c r="G101" s="94" t="s">
        <v>283</v>
      </c>
      <c r="J101" s="119"/>
      <c r="K101" s="119"/>
      <c r="L101" s="119"/>
      <c r="M101" s="119"/>
      <c r="N101" s="119"/>
      <c r="O101" s="119"/>
      <c r="P101" s="119"/>
      <c r="Q101" s="119"/>
      <c r="R101" s="167">
        <v>-1.0620000000000001</v>
      </c>
      <c r="S101" s="167">
        <v>-1.048</v>
      </c>
      <c r="T101" s="167">
        <v>-1.0620000000000001</v>
      </c>
      <c r="U101" s="167">
        <v>-1.0620000000000001</v>
      </c>
      <c r="V101" s="167">
        <v>-1.048</v>
      </c>
      <c r="W101" s="167">
        <v>-1.048</v>
      </c>
      <c r="X101" s="167">
        <v>0</v>
      </c>
      <c r="Y101" s="167">
        <v>0</v>
      </c>
    </row>
    <row r="102" spans="3:25" x14ac:dyDescent="0.25">
      <c r="D102"/>
      <c r="E102" t="s">
        <v>199</v>
      </c>
      <c r="G102" s="94" t="s">
        <v>283</v>
      </c>
      <c r="J102" s="119"/>
      <c r="K102" s="119"/>
      <c r="L102" s="119"/>
      <c r="M102" s="119"/>
      <c r="N102" s="119"/>
      <c r="O102" s="119"/>
      <c r="P102" s="119"/>
      <c r="Q102" s="119"/>
      <c r="R102" s="167">
        <v>-1.0620000000000001</v>
      </c>
      <c r="S102" s="167">
        <v>0</v>
      </c>
      <c r="T102" s="167">
        <v>-1.0620000000000001</v>
      </c>
      <c r="U102" s="167">
        <v>-1.0620000000000001</v>
      </c>
      <c r="V102" s="167">
        <v>0</v>
      </c>
      <c r="W102" s="167">
        <v>0</v>
      </c>
      <c r="X102" s="167">
        <v>0</v>
      </c>
      <c r="Y102" s="167">
        <v>0</v>
      </c>
    </row>
    <row r="103" spans="3:25" x14ac:dyDescent="0.25">
      <c r="D103"/>
      <c r="E103" t="s">
        <v>334</v>
      </c>
      <c r="G103" s="94" t="s">
        <v>283</v>
      </c>
      <c r="J103" s="119"/>
      <c r="K103" s="119"/>
      <c r="L103" s="119"/>
      <c r="M103" s="119"/>
      <c r="N103" s="119"/>
      <c r="O103" s="119"/>
      <c r="P103" s="119"/>
      <c r="Q103" s="119"/>
      <c r="R103" s="119"/>
      <c r="S103" s="119"/>
      <c r="T103" s="119"/>
      <c r="U103" s="119"/>
      <c r="V103" s="119"/>
      <c r="W103" s="119"/>
      <c r="X103" s="119"/>
      <c r="Y103" s="119"/>
    </row>
    <row r="104" spans="3:25" x14ac:dyDescent="0.25">
      <c r="D104"/>
      <c r="E104" s="96" t="s">
        <v>335</v>
      </c>
      <c r="F104" s="96"/>
      <c r="G104" s="101" t="s">
        <v>283</v>
      </c>
      <c r="H104" s="96"/>
      <c r="I104" s="96"/>
      <c r="J104" s="121"/>
      <c r="K104" s="121"/>
      <c r="L104" s="121"/>
      <c r="M104" s="121"/>
      <c r="N104" s="121"/>
      <c r="O104" s="121"/>
      <c r="P104" s="121"/>
      <c r="Q104" s="121"/>
      <c r="R104" s="121"/>
      <c r="S104" s="121"/>
      <c r="T104" s="121"/>
      <c r="U104" s="121"/>
      <c r="V104" s="121"/>
      <c r="W104" s="121"/>
      <c r="X104" s="121"/>
      <c r="Y104" s="121"/>
    </row>
    <row r="105" spans="3:25" x14ac:dyDescent="0.25">
      <c r="C105" s="105"/>
    </row>
    <row r="106" spans="3:25" x14ac:dyDescent="0.25">
      <c r="D106" s="75" t="s">
        <v>373</v>
      </c>
      <c r="E106"/>
    </row>
    <row r="107" spans="3:25" x14ac:dyDescent="0.25">
      <c r="C107" s="105"/>
      <c r="E107" s="95" t="s">
        <v>189</v>
      </c>
      <c r="F107" s="95"/>
      <c r="G107" s="95" t="s">
        <v>167</v>
      </c>
      <c r="H107" s="95"/>
      <c r="I107" s="95"/>
      <c r="J107" s="99"/>
      <c r="K107" s="99"/>
      <c r="L107" s="99"/>
      <c r="M107" s="99"/>
      <c r="N107" s="99"/>
      <c r="O107" s="99"/>
      <c r="P107" s="99"/>
      <c r="Q107" s="99"/>
      <c r="R107" s="99"/>
      <c r="S107" s="99"/>
      <c r="T107" s="99"/>
      <c r="U107" s="99"/>
      <c r="V107" s="99"/>
      <c r="W107" s="99"/>
      <c r="X107" s="99"/>
      <c r="Y107" s="99"/>
    </row>
    <row r="108" spans="3:25" x14ac:dyDescent="0.25">
      <c r="C108" s="105"/>
      <c r="E108" t="s">
        <v>191</v>
      </c>
      <c r="G108" t="s">
        <v>167</v>
      </c>
      <c r="J108" s="100"/>
      <c r="K108" s="100"/>
      <c r="L108" s="100"/>
      <c r="M108" s="100"/>
      <c r="N108" s="100"/>
      <c r="O108" s="100"/>
      <c r="P108" s="100"/>
      <c r="Q108" s="100"/>
      <c r="R108" s="100"/>
      <c r="S108" s="100"/>
      <c r="T108" s="100"/>
      <c r="U108" s="100"/>
      <c r="V108" s="100"/>
      <c r="W108" s="100"/>
      <c r="X108" s="100"/>
      <c r="Y108" s="100"/>
    </row>
    <row r="109" spans="3:25" x14ac:dyDescent="0.25">
      <c r="C109" s="105"/>
      <c r="E109" t="s">
        <v>192</v>
      </c>
      <c r="G109" t="s">
        <v>167</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25">
      <c r="C110" s="105"/>
      <c r="E110" t="s">
        <v>193</v>
      </c>
      <c r="G110" t="s">
        <v>167</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25">
      <c r="C111" s="105"/>
      <c r="E111" t="s">
        <v>194</v>
      </c>
      <c r="G111" t="s">
        <v>167</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25">
      <c r="C112" s="105"/>
      <c r="E112" t="s">
        <v>195</v>
      </c>
      <c r="G112" t="s">
        <v>167</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25">
      <c r="C113" s="105"/>
      <c r="E113" t="s">
        <v>196</v>
      </c>
      <c r="G113" t="s">
        <v>167</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25">
      <c r="C114" s="105"/>
      <c r="E114" t="s">
        <v>197</v>
      </c>
      <c r="G114" t="s">
        <v>167</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25">
      <c r="C115" s="105"/>
      <c r="E115" t="s">
        <v>198</v>
      </c>
      <c r="G115" t="s">
        <v>167</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25">
      <c r="C116" s="105"/>
      <c r="E116" t="s">
        <v>199</v>
      </c>
      <c r="G116" t="s">
        <v>167</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25">
      <c r="C117" s="105"/>
      <c r="E117" t="s">
        <v>334</v>
      </c>
      <c r="G117" t="s">
        <v>167</v>
      </c>
      <c r="J117" s="100"/>
      <c r="K117" s="100"/>
      <c r="L117" s="100"/>
      <c r="M117" s="100"/>
      <c r="N117" s="100"/>
      <c r="O117" s="100"/>
      <c r="P117" s="100"/>
      <c r="Q117" s="100"/>
      <c r="R117" s="100"/>
      <c r="S117" s="100"/>
      <c r="T117" s="100"/>
      <c r="U117" s="100"/>
      <c r="V117" s="100"/>
      <c r="W117" s="100"/>
      <c r="X117" s="100"/>
      <c r="Y117" s="100"/>
    </row>
    <row r="118" spans="3:27" x14ac:dyDescent="0.25">
      <c r="C118" s="105"/>
      <c r="E118" s="96" t="s">
        <v>335</v>
      </c>
      <c r="F118" s="96"/>
      <c r="G118" s="96" t="s">
        <v>167</v>
      </c>
      <c r="H118" s="96"/>
      <c r="I118" s="96"/>
      <c r="J118" s="102"/>
      <c r="K118" s="102"/>
      <c r="L118" s="102"/>
      <c r="M118" s="102"/>
      <c r="N118" s="102"/>
      <c r="O118" s="102"/>
      <c r="P118" s="102"/>
      <c r="Q118" s="102"/>
      <c r="R118" s="102"/>
      <c r="S118" s="102"/>
      <c r="T118" s="102"/>
      <c r="U118" s="102"/>
      <c r="V118" s="102"/>
      <c r="W118" s="102"/>
      <c r="X118" s="102"/>
      <c r="Y118" s="102"/>
    </row>
    <row r="120" spans="3:27" x14ac:dyDescent="0.25">
      <c r="C120" s="93" t="str">
        <f ca="1">INDEX('Version control'!$H$41:$H$64,MATCH($A$1,'Version control'!$F$41:$F$64,0),1)&amp;"-B: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25">
      <c r="C121" s="75"/>
      <c r="D121"/>
      <c r="E121" s="75"/>
    </row>
    <row r="122" spans="3:27" x14ac:dyDescent="0.25">
      <c r="D122" s="75" t="s">
        <v>578</v>
      </c>
      <c r="E122"/>
    </row>
    <row r="123" spans="3:27" x14ac:dyDescent="0.25">
      <c r="E123" s="95" t="s">
        <v>189</v>
      </c>
      <c r="F123" s="95"/>
      <c r="G123" s="95" t="s">
        <v>269</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25">
      <c r="E124" t="s">
        <v>191</v>
      </c>
      <c r="G124" t="s">
        <v>269</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25">
      <c r="E125" t="s">
        <v>192</v>
      </c>
      <c r="G125" t="s">
        <v>269</v>
      </c>
      <c r="H125" s="268"/>
      <c r="I125" s="268"/>
      <c r="J125" s="279">
        <f>'Initial unit rates'!J125</f>
        <v>0.37497395460835181</v>
      </c>
      <c r="K125" s="279">
        <f>'Initial unit rates'!K125</f>
        <v>0.37497395460835181</v>
      </c>
      <c r="L125" s="279">
        <f>'Initial unit rates'!L125</f>
        <v>0.30396314559706311</v>
      </c>
      <c r="M125" s="279">
        <f>'Initial unit rates'!M125</f>
        <v>0.30396314559706311</v>
      </c>
      <c r="N125" s="279">
        <f>'Initial unit rates'!N125</f>
        <v>0.26021870631456623</v>
      </c>
      <c r="O125" s="279">
        <f>'Initial unit rates'!O125</f>
        <v>0.22877617899905506</v>
      </c>
      <c r="P125" s="279">
        <f>'Initial unit rates'!P125</f>
        <v>0.20056657660976449</v>
      </c>
      <c r="Q125" s="279">
        <f>'Initial unit rates'!Q125</f>
        <v>0.35471912986991189</v>
      </c>
      <c r="R125" s="294"/>
      <c r="S125" s="294"/>
      <c r="T125" s="294"/>
      <c r="U125" s="294"/>
      <c r="V125" s="294"/>
      <c r="W125" s="294"/>
      <c r="X125" s="294"/>
      <c r="Y125" s="294"/>
      <c r="Z125" s="268"/>
      <c r="AA125" s="268"/>
    </row>
    <row r="126" spans="3:27" x14ac:dyDescent="0.25">
      <c r="E126" t="s">
        <v>193</v>
      </c>
      <c r="G126" t="s">
        <v>269</v>
      </c>
      <c r="H126" s="268"/>
      <c r="I126" s="268"/>
      <c r="J126" s="279">
        <f>'Initial unit rates'!J126</f>
        <v>5.3711823535653964E-2</v>
      </c>
      <c r="K126" s="279">
        <f>'Initial unit rates'!K126</f>
        <v>5.3711823535653964E-2</v>
      </c>
      <c r="L126" s="279">
        <f>'Initial unit rates'!L126</f>
        <v>4.3540130286393253E-2</v>
      </c>
      <c r="M126" s="279">
        <f>'Initial unit rates'!M126</f>
        <v>4.3540130286393253E-2</v>
      </c>
      <c r="N126" s="279">
        <f>'Initial unit rates'!N126</f>
        <v>3.7274112141581897E-2</v>
      </c>
      <c r="O126" s="279">
        <f>'Initial unit rates'!O126</f>
        <v>3.2770238051314342E-2</v>
      </c>
      <c r="P126" s="279">
        <f>'Initial unit rates'!P126</f>
        <v>2.8729452906311133E-2</v>
      </c>
      <c r="Q126" s="279">
        <f>'Initial unit rates'!Q126</f>
        <v>5.0810492499921131E-2</v>
      </c>
      <c r="R126" s="294"/>
      <c r="S126" s="294"/>
      <c r="T126" s="294"/>
      <c r="U126" s="294"/>
      <c r="V126" s="294"/>
      <c r="W126" s="294"/>
      <c r="X126" s="294"/>
      <c r="Y126" s="294"/>
      <c r="Z126" s="268"/>
      <c r="AA126" s="268"/>
    </row>
    <row r="127" spans="3:27" x14ac:dyDescent="0.25">
      <c r="E127" t="s">
        <v>194</v>
      </c>
      <c r="G127" t="s">
        <v>269</v>
      </c>
      <c r="H127" s="268"/>
      <c r="I127" s="268"/>
      <c r="J127" s="279">
        <f>'Initial unit rates'!J127</f>
        <v>0.1717511171786433</v>
      </c>
      <c r="K127" s="279">
        <f>'Initial unit rates'!K127</f>
        <v>0.1717511171786433</v>
      </c>
      <c r="L127" s="279">
        <f>'Initial unit rates'!L127</f>
        <v>0.1392256960672314</v>
      </c>
      <c r="M127" s="279">
        <f>'Initial unit rates'!M127</f>
        <v>0.1392256960672314</v>
      </c>
      <c r="N127" s="279">
        <f>'Initial unit rates'!N127</f>
        <v>0.11918922093399333</v>
      </c>
      <c r="O127" s="279">
        <f>'Initial unit rates'!O127</f>
        <v>0.10478744948562839</v>
      </c>
      <c r="P127" s="279">
        <f>'Initial unit rates'!P127</f>
        <v>9.186647013231182E-2</v>
      </c>
      <c r="Q127" s="279">
        <f>'Initial unit rates'!Q127</f>
        <v>0.16247370274937137</v>
      </c>
      <c r="R127" s="294"/>
      <c r="S127" s="294"/>
      <c r="T127" s="294"/>
      <c r="U127" s="294"/>
      <c r="V127" s="294"/>
      <c r="W127" s="294"/>
      <c r="X127" s="294"/>
      <c r="Y127" s="294"/>
      <c r="Z127" s="268"/>
      <c r="AA127" s="268"/>
    </row>
    <row r="128" spans="3:27" x14ac:dyDescent="0.25">
      <c r="E128" t="s">
        <v>195</v>
      </c>
      <c r="G128" t="s">
        <v>269</v>
      </c>
      <c r="H128" s="268"/>
      <c r="I128" s="268"/>
      <c r="J128" s="279">
        <f>'Initial unit rates'!J128</f>
        <v>0.13584811851371115</v>
      </c>
      <c r="K128" s="279">
        <f>'Initial unit rates'!K128</f>
        <v>0.13584811851371115</v>
      </c>
      <c r="L128" s="279">
        <f>'Initial unit rates'!L128</f>
        <v>0.11012183891545023</v>
      </c>
      <c r="M128" s="279">
        <f>'Initial unit rates'!M128</f>
        <v>0.11012183891545023</v>
      </c>
      <c r="N128" s="279">
        <f>'Initial unit rates'!N128</f>
        <v>9.427380547491078E-2</v>
      </c>
      <c r="O128" s="279">
        <f>'Initial unit rates'!O128</f>
        <v>8.2882592499626914E-2</v>
      </c>
      <c r="P128" s="279">
        <f>'Initial unit rates'!P128</f>
        <v>7.2662625588571311E-2</v>
      </c>
      <c r="Q128" s="279">
        <f>'Initial unit rates'!Q128</f>
        <v>0.12851006263616099</v>
      </c>
      <c r="R128" s="294"/>
      <c r="S128" s="294"/>
      <c r="T128" s="294"/>
      <c r="U128" s="294"/>
      <c r="V128" s="294"/>
      <c r="W128" s="294"/>
      <c r="X128" s="294"/>
      <c r="Y128" s="294"/>
      <c r="Z128" s="268"/>
      <c r="AA128" s="268"/>
    </row>
    <row r="129" spans="4:27" x14ac:dyDescent="0.25">
      <c r="E129" t="s">
        <v>196</v>
      </c>
      <c r="G129" t="s">
        <v>269</v>
      </c>
      <c r="H129" s="268"/>
      <c r="I129" s="268"/>
      <c r="J129" s="279">
        <f>'Initial unit rates'!J129</f>
        <v>0</v>
      </c>
      <c r="K129" s="279">
        <f>'Initial unit rates'!K129</f>
        <v>0</v>
      </c>
      <c r="L129" s="279">
        <f>'Initial unit rates'!L129</f>
        <v>0</v>
      </c>
      <c r="M129" s="279">
        <f>'Initial unit rates'!M129</f>
        <v>0</v>
      </c>
      <c r="N129" s="279">
        <f>'Initial unit rates'!N129</f>
        <v>0</v>
      </c>
      <c r="O129" s="279">
        <f>'Initial unit rates'!O129</f>
        <v>0</v>
      </c>
      <c r="P129" s="279">
        <f>'Initial unit rates'!P129</f>
        <v>0</v>
      </c>
      <c r="Q129" s="279">
        <f>'Initial unit rates'!Q129</f>
        <v>0</v>
      </c>
      <c r="R129" s="294"/>
      <c r="S129" s="294"/>
      <c r="T129" s="294"/>
      <c r="U129" s="294"/>
      <c r="V129" s="294"/>
      <c r="W129" s="294"/>
      <c r="X129" s="294"/>
      <c r="Y129" s="294"/>
      <c r="Z129" s="268"/>
      <c r="AA129" s="268"/>
    </row>
    <row r="130" spans="4:27" x14ac:dyDescent="0.25">
      <c r="E130" t="s">
        <v>197</v>
      </c>
      <c r="G130" t="s">
        <v>269</v>
      </c>
      <c r="H130" s="268"/>
      <c r="I130" s="268"/>
      <c r="J130" s="279">
        <f>'Initial unit rates'!J130</f>
        <v>0.62558177038208396</v>
      </c>
      <c r="K130" s="279">
        <f>'Initial unit rates'!K130</f>
        <v>0.62558177038208396</v>
      </c>
      <c r="L130" s="279">
        <f>'Initial unit rates'!L130</f>
        <v>0.50711202849309212</v>
      </c>
      <c r="M130" s="279">
        <f>'Initial unit rates'!M130</f>
        <v>0.50711202849309212</v>
      </c>
      <c r="N130" s="279">
        <f>'Initial unit rates'!N130</f>
        <v>0.43413169630095727</v>
      </c>
      <c r="O130" s="279">
        <f>'Initial unit rates'!O130</f>
        <v>0.38167506121581096</v>
      </c>
      <c r="P130" s="279">
        <f>'Initial unit rates'!P130</f>
        <v>0.33461202446996768</v>
      </c>
      <c r="Q130" s="279">
        <f>'Initial unit rates'!Q130</f>
        <v>0.59178995907645182</v>
      </c>
      <c r="R130" s="294"/>
      <c r="S130" s="294"/>
      <c r="T130" s="294"/>
      <c r="U130" s="294"/>
      <c r="V130" s="294"/>
      <c r="W130" s="294"/>
      <c r="X130" s="294"/>
      <c r="Y130" s="294"/>
      <c r="Z130" s="268"/>
      <c r="AA130" s="268"/>
    </row>
    <row r="131" spans="4:27" x14ac:dyDescent="0.25">
      <c r="E131" t="s">
        <v>198</v>
      </c>
      <c r="G131" t="s">
        <v>269</v>
      </c>
      <c r="H131" s="268"/>
      <c r="I131" s="268"/>
      <c r="J131" s="279">
        <f>'Initial unit rates'!J131</f>
        <v>0.25666682951905317</v>
      </c>
      <c r="K131" s="279">
        <f>'Initial unit rates'!K131</f>
        <v>0.25666682951905317</v>
      </c>
      <c r="L131" s="279">
        <f>'Initial unit rates'!L131</f>
        <v>0.20806046903317071</v>
      </c>
      <c r="M131" s="279">
        <f>'Initial unit rates'!M131</f>
        <v>0.20806046903317071</v>
      </c>
      <c r="N131" s="279">
        <f>'Initial unit rates'!N131</f>
        <v>0.17811773193972585</v>
      </c>
      <c r="O131" s="279">
        <f>'Initial unit rates'!O131</f>
        <v>0.15659556033565375</v>
      </c>
      <c r="P131" s="279">
        <f>'Initial unit rates'!P131</f>
        <v>0</v>
      </c>
      <c r="Q131" s="279">
        <f>'Initial unit rates'!Q131</f>
        <v>0.24280255552298488</v>
      </c>
      <c r="R131" s="294"/>
      <c r="S131" s="294"/>
      <c r="T131" s="294"/>
      <c r="U131" s="294"/>
      <c r="V131" s="294"/>
      <c r="W131" s="294"/>
      <c r="X131" s="294"/>
      <c r="Y131" s="294"/>
      <c r="Z131" s="268"/>
      <c r="AA131" s="268"/>
    </row>
    <row r="132" spans="4:27" x14ac:dyDescent="0.25">
      <c r="E132" t="s">
        <v>199</v>
      </c>
      <c r="G132" t="s">
        <v>269</v>
      </c>
      <c r="H132" s="268"/>
      <c r="I132" s="268"/>
      <c r="J132" s="279">
        <f>'Initial unit rates'!J132</f>
        <v>0.63340369972077271</v>
      </c>
      <c r="K132" s="279">
        <f>'Initial unit rates'!K132</f>
        <v>0.63340369972077271</v>
      </c>
      <c r="L132" s="279">
        <f>'Initial unit rates'!L132</f>
        <v>0.51345267753606116</v>
      </c>
      <c r="M132" s="279">
        <f>'Initial unit rates'!M132</f>
        <v>0.51345267753606116</v>
      </c>
      <c r="N132" s="279">
        <f>'Initial unit rates'!N132</f>
        <v>0.439559839531661</v>
      </c>
      <c r="O132" s="279">
        <f>'Initial unit rates'!O132</f>
        <v>0</v>
      </c>
      <c r="P132" s="279">
        <f>'Initial unit rates'!P132</f>
        <v>0</v>
      </c>
      <c r="Q132" s="279">
        <f>'Initial unit rates'!Q132</f>
        <v>0.59918937424869112</v>
      </c>
      <c r="R132" s="294"/>
      <c r="S132" s="294"/>
      <c r="T132" s="294"/>
      <c r="U132" s="294"/>
      <c r="V132" s="294"/>
      <c r="W132" s="294"/>
      <c r="X132" s="294"/>
      <c r="Y132" s="294"/>
      <c r="Z132" s="268"/>
      <c r="AA132" s="268"/>
    </row>
    <row r="133" spans="4:27" x14ac:dyDescent="0.25">
      <c r="E133" t="s">
        <v>334</v>
      </c>
      <c r="G133" t="s">
        <v>269</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25">
      <c r="E134" s="96" t="s">
        <v>335</v>
      </c>
      <c r="F134" s="96"/>
      <c r="G134" s="96" t="s">
        <v>269</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25">
      <c r="E135"/>
      <c r="J135" s="106"/>
      <c r="K135" s="106"/>
      <c r="L135" s="106"/>
      <c r="M135" s="106"/>
      <c r="N135" s="106"/>
      <c r="O135" s="106"/>
      <c r="P135" s="106"/>
      <c r="Q135" s="106"/>
      <c r="R135" s="106"/>
      <c r="S135" s="106"/>
      <c r="T135" s="106"/>
      <c r="U135" s="106"/>
      <c r="V135" s="106"/>
      <c r="W135" s="106"/>
      <c r="X135" s="106"/>
      <c r="Y135" s="106"/>
    </row>
    <row r="136" spans="4:27" x14ac:dyDescent="0.25">
      <c r="D136" s="75" t="s">
        <v>579</v>
      </c>
      <c r="E136"/>
      <c r="J136" s="106"/>
      <c r="K136" s="106"/>
      <c r="L136" s="106"/>
      <c r="M136" s="106"/>
      <c r="N136" s="106"/>
      <c r="O136" s="106"/>
      <c r="P136" s="106"/>
      <c r="Q136" s="106"/>
      <c r="R136" s="106"/>
      <c r="S136" s="106"/>
      <c r="T136" s="106"/>
      <c r="U136" s="106"/>
      <c r="V136" s="106"/>
      <c r="W136" s="106"/>
      <c r="X136" s="106"/>
      <c r="Y136" s="106"/>
    </row>
    <row r="137" spans="4:27" x14ac:dyDescent="0.25">
      <c r="E137" s="95" t="s">
        <v>189</v>
      </c>
      <c r="F137" s="95"/>
      <c r="G137" s="95" t="s">
        <v>269</v>
      </c>
      <c r="H137" s="266"/>
      <c r="I137" s="266"/>
      <c r="J137" s="278">
        <f>'Initial unit rates'!J135</f>
        <v>0.13186795317670644</v>
      </c>
      <c r="K137" s="278">
        <f>'Initial unit rates'!K135</f>
        <v>0.13186795317670644</v>
      </c>
      <c r="L137" s="278">
        <f>'Initial unit rates'!L135</f>
        <v>0.10689541862421702</v>
      </c>
      <c r="M137" s="278">
        <f>'Initial unit rates'!M135</f>
        <v>0.10689541862421702</v>
      </c>
      <c r="N137" s="278">
        <f>'Initial unit rates'!N135</f>
        <v>9.1511711035591095E-2</v>
      </c>
      <c r="O137" s="278">
        <f>'Initial unit rates'!O135</f>
        <v>8.0454245126712759E-2</v>
      </c>
      <c r="P137" s="278">
        <f>'Initial unit rates'!P135</f>
        <v>7.053370936339598E-2</v>
      </c>
      <c r="Q137" s="278">
        <f>'Initial unit rates'!Q135</f>
        <v>0.1247448923683878</v>
      </c>
      <c r="R137" s="280"/>
      <c r="S137" s="280"/>
      <c r="T137" s="280"/>
      <c r="U137" s="280"/>
      <c r="V137" s="280"/>
      <c r="W137" s="280"/>
      <c r="X137" s="280"/>
      <c r="Y137" s="280"/>
      <c r="Z137" s="268"/>
      <c r="AA137" s="268"/>
    </row>
    <row r="138" spans="4:27" x14ac:dyDescent="0.25">
      <c r="E138" t="s">
        <v>191</v>
      </c>
      <c r="G138" t="s">
        <v>269</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25">
      <c r="E139" t="s">
        <v>192</v>
      </c>
      <c r="G139" t="s">
        <v>269</v>
      </c>
      <c r="H139" s="268"/>
      <c r="I139" s="268"/>
      <c r="J139" s="279">
        <f>'Initial unit rates'!J137</f>
        <v>0.26909172878010457</v>
      </c>
      <c r="K139" s="279">
        <f>'Initial unit rates'!K137</f>
        <v>0.26909172878010457</v>
      </c>
      <c r="L139" s="279">
        <f>'Initial unit rates'!L137</f>
        <v>0.21813239914111768</v>
      </c>
      <c r="M139" s="279">
        <f>'Initial unit rates'!M137</f>
        <v>0.21813239914111768</v>
      </c>
      <c r="N139" s="279">
        <f>'Initial unit rates'!N137</f>
        <v>0.18674017403754187</v>
      </c>
      <c r="O139" s="279">
        <f>'Initial unit rates'!O137</f>
        <v>0.16417614278000098</v>
      </c>
      <c r="P139" s="279">
        <f>'Initial unit rates'!P137</f>
        <v>0.1439321482789373</v>
      </c>
      <c r="Q139" s="279">
        <f>'Initial unit rates'!Q137</f>
        <v>0.25455630375119126</v>
      </c>
      <c r="R139" s="294"/>
      <c r="S139" s="294"/>
      <c r="T139" s="294"/>
      <c r="U139" s="294"/>
      <c r="V139" s="294"/>
      <c r="W139" s="294"/>
      <c r="X139" s="294"/>
      <c r="Y139" s="294"/>
      <c r="Z139" s="268"/>
      <c r="AA139" s="268"/>
    </row>
    <row r="140" spans="4:27" x14ac:dyDescent="0.25">
      <c r="E140" t="s">
        <v>193</v>
      </c>
      <c r="G140" t="s">
        <v>269</v>
      </c>
      <c r="H140" s="268"/>
      <c r="I140" s="268"/>
      <c r="J140" s="279">
        <f>'Initial unit rates'!J138</f>
        <v>3.8545096995435714E-2</v>
      </c>
      <c r="K140" s="279">
        <f>'Initial unit rates'!K138</f>
        <v>3.8545096995435714E-2</v>
      </c>
      <c r="L140" s="279">
        <f>'Initial unit rates'!L138</f>
        <v>3.1245607291081941E-2</v>
      </c>
      <c r="M140" s="279">
        <f>'Initial unit rates'!M138</f>
        <v>3.1245607291081941E-2</v>
      </c>
      <c r="N140" s="279">
        <f>'Initial unit rates'!N138</f>
        <v>2.6748938564007545E-2</v>
      </c>
      <c r="O140" s="279">
        <f>'Initial unit rates'!O138</f>
        <v>2.3516833373064712E-2</v>
      </c>
      <c r="P140" s="279">
        <f>'Initial unit rates'!P138</f>
        <v>2.0617053676542662E-2</v>
      </c>
      <c r="Q140" s="279">
        <f>'Initial unit rates'!Q138</f>
        <v>3.6463021228375678E-2</v>
      </c>
      <c r="R140" s="294"/>
      <c r="S140" s="294"/>
      <c r="T140" s="294"/>
      <c r="U140" s="294"/>
      <c r="V140" s="294"/>
      <c r="W140" s="294"/>
      <c r="X140" s="294"/>
      <c r="Y140" s="294"/>
      <c r="Z140" s="268"/>
      <c r="AA140" s="268"/>
    </row>
    <row r="141" spans="4:27" x14ac:dyDescent="0.25">
      <c r="E141" t="s">
        <v>194</v>
      </c>
      <c r="G141" t="s">
        <v>269</v>
      </c>
      <c r="H141" s="268"/>
      <c r="I141" s="268"/>
      <c r="J141" s="279">
        <f>'Initial unit rates'!J139</f>
        <v>0.12325337393043045</v>
      </c>
      <c r="K141" s="279">
        <f>'Initial unit rates'!K139</f>
        <v>0.12325337393043045</v>
      </c>
      <c r="L141" s="279">
        <f>'Initial unit rates'!L139</f>
        <v>9.9912227995875444E-2</v>
      </c>
      <c r="M141" s="279">
        <f>'Initial unit rates'!M139</f>
        <v>9.9912227995875444E-2</v>
      </c>
      <c r="N141" s="279">
        <f>'Initial unit rates'!N139</f>
        <v>8.5533496710674575E-2</v>
      </c>
      <c r="O141" s="279">
        <f>'Initial unit rates'!O139</f>
        <v>7.5198385354515979E-2</v>
      </c>
      <c r="P141" s="279">
        <f>'Initial unit rates'!P139</f>
        <v>6.5925931550764358E-2</v>
      </c>
      <c r="Q141" s="279">
        <f>'Initial unit rates'!Q139</f>
        <v>0.11659564355555745</v>
      </c>
      <c r="R141" s="294"/>
      <c r="S141" s="294"/>
      <c r="T141" s="294"/>
      <c r="U141" s="294"/>
      <c r="V141" s="294"/>
      <c r="W141" s="294"/>
      <c r="X141" s="294"/>
      <c r="Y141" s="294"/>
      <c r="Z141" s="268"/>
      <c r="AA141" s="268"/>
    </row>
    <row r="142" spans="4:27" x14ac:dyDescent="0.25">
      <c r="E142" t="s">
        <v>195</v>
      </c>
      <c r="G142" t="s">
        <v>269</v>
      </c>
      <c r="H142" s="268"/>
      <c r="I142" s="268"/>
      <c r="J142" s="279">
        <f>'Initial unit rates'!J140</f>
        <v>9.7488384494758315E-2</v>
      </c>
      <c r="K142" s="279">
        <f>'Initial unit rates'!K140</f>
        <v>9.7488384494758315E-2</v>
      </c>
      <c r="L142" s="279">
        <f>'Initial unit rates'!L140</f>
        <v>7.9026491429660159E-2</v>
      </c>
      <c r="M142" s="279">
        <f>'Initial unit rates'!M140</f>
        <v>7.9026491429660159E-2</v>
      </c>
      <c r="N142" s="279">
        <f>'Initial unit rates'!N140</f>
        <v>6.7653502282363581E-2</v>
      </c>
      <c r="O142" s="279">
        <f>'Initial unit rates'!O140</f>
        <v>5.9478851337278385E-2</v>
      </c>
      <c r="P142" s="279">
        <f>'Initial unit rates'!P140</f>
        <v>5.2144719111898059E-2</v>
      </c>
      <c r="Q142" s="279">
        <f>'Initial unit rates'!Q140</f>
        <v>9.2222391703239259E-2</v>
      </c>
      <c r="R142" s="294"/>
      <c r="S142" s="294"/>
      <c r="T142" s="294"/>
      <c r="U142" s="294"/>
      <c r="V142" s="294"/>
      <c r="W142" s="294"/>
      <c r="X142" s="294"/>
      <c r="Y142" s="294"/>
      <c r="Z142" s="268"/>
      <c r="AA142" s="268"/>
    </row>
    <row r="143" spans="4:27" x14ac:dyDescent="0.25">
      <c r="E143" t="s">
        <v>196</v>
      </c>
      <c r="G143" t="s">
        <v>269</v>
      </c>
      <c r="H143" s="268"/>
      <c r="I143" s="268"/>
      <c r="J143" s="279">
        <f>'Initial unit rates'!J141</f>
        <v>0</v>
      </c>
      <c r="K143" s="279">
        <f>'Initial unit rates'!K141</f>
        <v>0</v>
      </c>
      <c r="L143" s="279">
        <f>'Initial unit rates'!L141</f>
        <v>0</v>
      </c>
      <c r="M143" s="279">
        <f>'Initial unit rates'!M141</f>
        <v>0</v>
      </c>
      <c r="N143" s="279">
        <f>'Initial unit rates'!N141</f>
        <v>0</v>
      </c>
      <c r="O143" s="279">
        <f>'Initial unit rates'!O141</f>
        <v>0</v>
      </c>
      <c r="P143" s="279">
        <f>'Initial unit rates'!P141</f>
        <v>0</v>
      </c>
      <c r="Q143" s="279">
        <f>'Initial unit rates'!Q141</f>
        <v>0</v>
      </c>
      <c r="R143" s="294"/>
      <c r="S143" s="294"/>
      <c r="T143" s="294"/>
      <c r="U143" s="294"/>
      <c r="V143" s="294"/>
      <c r="W143" s="294"/>
      <c r="X143" s="294"/>
      <c r="Y143" s="294"/>
      <c r="Z143" s="268"/>
      <c r="AA143" s="268"/>
    </row>
    <row r="144" spans="4:27" x14ac:dyDescent="0.25">
      <c r="E144" t="s">
        <v>197</v>
      </c>
      <c r="G144" t="s">
        <v>269</v>
      </c>
      <c r="H144" s="268"/>
      <c r="I144" s="268"/>
      <c r="J144" s="279">
        <f>'Initial unit rates'!J142</f>
        <v>0.44893486071921429</v>
      </c>
      <c r="K144" s="279">
        <f>'Initial unit rates'!K142</f>
        <v>0.44893486071921429</v>
      </c>
      <c r="L144" s="279">
        <f>'Initial unit rates'!L142</f>
        <v>0.36391768216253711</v>
      </c>
      <c r="M144" s="279">
        <f>'Initial unit rates'!M142</f>
        <v>0.36391768216253711</v>
      </c>
      <c r="N144" s="279">
        <f>'Initial unit rates'!N142</f>
        <v>0.31154496796418818</v>
      </c>
      <c r="O144" s="279">
        <f>'Initial unit rates'!O142</f>
        <v>0.27390062907725821</v>
      </c>
      <c r="P144" s="279">
        <f>'Initial unit rates'!P142</f>
        <v>0.24012688622408321</v>
      </c>
      <c r="Q144" s="279">
        <f>'Initial unit rates'!Q142</f>
        <v>0.42468491799361602</v>
      </c>
      <c r="R144" s="294"/>
      <c r="S144" s="294"/>
      <c r="T144" s="294"/>
      <c r="U144" s="294"/>
      <c r="V144" s="294"/>
      <c r="W144" s="294"/>
      <c r="X144" s="294"/>
      <c r="Y144" s="294"/>
      <c r="Z144" s="268"/>
      <c r="AA144" s="268"/>
    </row>
    <row r="145" spans="2:27" x14ac:dyDescent="0.25">
      <c r="E145" t="s">
        <v>198</v>
      </c>
      <c r="G145" t="s">
        <v>269</v>
      </c>
      <c r="H145" s="268"/>
      <c r="I145" s="268"/>
      <c r="J145" s="279">
        <f>'Initial unit rates'!J143</f>
        <v>0.18419124855732591</v>
      </c>
      <c r="K145" s="279">
        <f>'Initial unit rates'!K143</f>
        <v>0.18419124855732591</v>
      </c>
      <c r="L145" s="279">
        <f>'Initial unit rates'!L143</f>
        <v>0.14930997370580654</v>
      </c>
      <c r="M145" s="279">
        <f>'Initial unit rates'!M143</f>
        <v>0.14930997370580654</v>
      </c>
      <c r="N145" s="279">
        <f>'Initial unit rates'!N143</f>
        <v>0.12782223358449898</v>
      </c>
      <c r="O145" s="279">
        <f>'Initial unit rates'!O143</f>
        <v>0.1123773252305553</v>
      </c>
      <c r="P145" s="279">
        <f>'Initial unit rates'!P143</f>
        <v>0</v>
      </c>
      <c r="Q145" s="279">
        <f>'Initial unit rates'!Q143</f>
        <v>0.17424186030773475</v>
      </c>
      <c r="R145" s="294"/>
      <c r="S145" s="294"/>
      <c r="T145" s="294"/>
      <c r="U145" s="294"/>
      <c r="V145" s="294"/>
      <c r="W145" s="294"/>
      <c r="X145" s="294"/>
      <c r="Y145" s="294"/>
      <c r="Z145" s="268"/>
      <c r="AA145" s="268"/>
    </row>
    <row r="146" spans="2:27" x14ac:dyDescent="0.25">
      <c r="E146" t="s">
        <v>199</v>
      </c>
      <c r="G146" t="s">
        <v>269</v>
      </c>
      <c r="H146" s="268"/>
      <c r="I146" s="268"/>
      <c r="J146" s="279">
        <f>'Initial unit rates'!J144</f>
        <v>0.45454809455125988</v>
      </c>
      <c r="K146" s="279">
        <f>'Initial unit rates'!K144</f>
        <v>0.45454809455125988</v>
      </c>
      <c r="L146" s="279">
        <f>'Initial unit rates'!L144</f>
        <v>0.36846790809580898</v>
      </c>
      <c r="M146" s="279">
        <f>'Initial unit rates'!M144</f>
        <v>0.36846790809580898</v>
      </c>
      <c r="N146" s="279">
        <f>'Initial unit rates'!N144</f>
        <v>0.31544035437186996</v>
      </c>
      <c r="O146" s="279">
        <f>'Initial unit rates'!O144</f>
        <v>0</v>
      </c>
      <c r="P146" s="279">
        <f>'Initial unit rates'!P144</f>
        <v>0</v>
      </c>
      <c r="Q146" s="279">
        <f>'Initial unit rates'!Q144</f>
        <v>0.42999494391992121</v>
      </c>
      <c r="R146" s="294"/>
      <c r="S146" s="294"/>
      <c r="T146" s="294"/>
      <c r="U146" s="294"/>
      <c r="V146" s="294"/>
      <c r="W146" s="294"/>
      <c r="X146" s="294"/>
      <c r="Y146" s="294"/>
      <c r="Z146" s="268"/>
      <c r="AA146" s="268"/>
    </row>
    <row r="147" spans="2:27" x14ac:dyDescent="0.25">
      <c r="E147" t="s">
        <v>334</v>
      </c>
      <c r="G147" t="s">
        <v>269</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25">
      <c r="E148" s="96" t="s">
        <v>335</v>
      </c>
      <c r="F148" s="96"/>
      <c r="G148" s="96" t="s">
        <v>269</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25">
      <c r="D149"/>
      <c r="E149"/>
      <c r="J149" s="106"/>
      <c r="K149" s="106"/>
      <c r="L149" s="106"/>
      <c r="M149" s="106"/>
      <c r="N149" s="106"/>
      <c r="O149" s="106"/>
      <c r="P149" s="106"/>
      <c r="Q149" s="106"/>
      <c r="R149" s="106"/>
      <c r="S149" s="106"/>
      <c r="T149" s="106"/>
      <c r="U149" s="106"/>
      <c r="V149" s="106"/>
      <c r="W149" s="106"/>
      <c r="X149" s="106"/>
      <c r="Y149" s="106"/>
    </row>
    <row r="150" spans="2:27" x14ac:dyDescent="0.25">
      <c r="B150" s="85" t="s">
        <v>632</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25">
      <c r="C151" s="295"/>
      <c r="D151"/>
      <c r="E151"/>
      <c r="J151" s="106"/>
      <c r="K151" s="106"/>
      <c r="L151" s="106"/>
      <c r="M151" s="106"/>
      <c r="N151" s="106"/>
      <c r="O151" s="106"/>
      <c r="P151" s="106"/>
      <c r="Q151" s="106"/>
      <c r="R151" s="106"/>
      <c r="S151" s="106"/>
      <c r="T151" s="106"/>
      <c r="U151" s="106"/>
      <c r="V151" s="106"/>
      <c r="W151" s="106"/>
      <c r="X151" s="106"/>
      <c r="Y151" s="106"/>
    </row>
    <row r="152" spans="2:27" x14ac:dyDescent="0.25">
      <c r="C152" s="86" t="s">
        <v>633</v>
      </c>
      <c r="D152"/>
      <c r="E152"/>
      <c r="J152" s="106"/>
      <c r="K152" s="106"/>
      <c r="L152" s="106"/>
      <c r="M152" s="106"/>
      <c r="N152" s="106"/>
      <c r="O152" s="106"/>
      <c r="P152" s="106"/>
      <c r="Q152" s="106"/>
      <c r="R152" s="106"/>
      <c r="S152" s="106"/>
      <c r="T152" s="106"/>
      <c r="U152" s="106"/>
      <c r="V152" s="106"/>
      <c r="W152" s="106"/>
      <c r="X152" s="106"/>
      <c r="Y152" s="106"/>
    </row>
    <row r="153" spans="2:27" x14ac:dyDescent="0.25">
      <c r="C153" s="86" t="s">
        <v>634</v>
      </c>
      <c r="D153"/>
      <c r="E153"/>
      <c r="J153" s="106"/>
      <c r="K153" s="106"/>
      <c r="L153" s="106"/>
      <c r="M153" s="106"/>
      <c r="N153" s="106"/>
      <c r="O153" s="106"/>
      <c r="P153" s="106"/>
      <c r="Q153" s="106"/>
      <c r="R153" s="106"/>
      <c r="S153" s="106"/>
      <c r="T153" s="106"/>
      <c r="U153" s="106"/>
      <c r="V153" s="106"/>
      <c r="W153" s="106"/>
      <c r="X153" s="106"/>
      <c r="Y153" s="106"/>
    </row>
    <row r="154" spans="2:27" x14ac:dyDescent="0.25">
      <c r="C154" s="295"/>
      <c r="D154"/>
      <c r="E154"/>
      <c r="J154" s="106"/>
      <c r="K154" s="106"/>
      <c r="L154" s="106"/>
      <c r="M154" s="106"/>
      <c r="N154" s="106"/>
      <c r="O154" s="106"/>
      <c r="P154" s="106"/>
      <c r="Q154" s="106"/>
      <c r="R154" s="106"/>
      <c r="S154" s="106"/>
      <c r="T154" s="106"/>
      <c r="U154" s="106"/>
      <c r="V154" s="106"/>
      <c r="W154" s="106"/>
      <c r="X154" s="106"/>
      <c r="Y154" s="106"/>
    </row>
    <row r="155" spans="2:27" x14ac:dyDescent="0.25">
      <c r="C155" s="93" t="str">
        <f ca="1">INDEX('Version control'!$H$41:$H$64,MATCH($A$1,'Version control'!$F$41:$F$64,0),1)&amp;"-C: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25">
      <c r="D156" s="75"/>
      <c r="E156" s="75"/>
      <c r="I156" t="s">
        <v>154</v>
      </c>
      <c r="J156" s="106"/>
      <c r="K156" s="106"/>
      <c r="L156" s="106"/>
      <c r="M156" s="106"/>
      <c r="N156" s="106"/>
      <c r="O156" s="106"/>
      <c r="P156" s="106"/>
      <c r="Q156" s="106"/>
      <c r="R156" s="106"/>
      <c r="S156" s="106"/>
      <c r="T156" s="106"/>
      <c r="U156" s="106"/>
      <c r="V156" s="106"/>
      <c r="W156" s="106"/>
      <c r="X156" s="106"/>
      <c r="Y156" s="106"/>
      <c r="AA156" t="s">
        <v>635</v>
      </c>
    </row>
    <row r="157" spans="2:27" x14ac:dyDescent="0.25">
      <c r="D157"/>
      <c r="E157" s="75" t="s">
        <v>578</v>
      </c>
      <c r="J157" s="106"/>
      <c r="K157" s="106"/>
      <c r="L157" s="106"/>
      <c r="M157" s="106"/>
      <c r="N157" s="106"/>
      <c r="O157" s="106"/>
      <c r="P157" s="106"/>
      <c r="Q157" s="106"/>
      <c r="R157" s="106"/>
      <c r="S157" s="106"/>
      <c r="T157" s="106"/>
      <c r="U157" s="106"/>
      <c r="V157" s="106"/>
      <c r="W157" s="106"/>
      <c r="X157" s="106"/>
      <c r="Y157" s="106"/>
    </row>
    <row r="158" spans="2:27" x14ac:dyDescent="0.25">
      <c r="D158"/>
      <c r="F158" s="95" t="s">
        <v>189</v>
      </c>
      <c r="G158" s="95" t="s">
        <v>269</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25">
      <c r="D159"/>
      <c r="F159" t="s">
        <v>191</v>
      </c>
      <c r="G159" t="s">
        <v>269</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25">
      <c r="D160"/>
      <c r="F160" t="s">
        <v>192</v>
      </c>
      <c r="G160" t="s">
        <v>269</v>
      </c>
      <c r="H160" s="268"/>
      <c r="I160" s="268"/>
      <c r="J160" s="294"/>
      <c r="K160" s="294"/>
      <c r="L160" s="294"/>
      <c r="M160" s="294"/>
      <c r="N160" s="294"/>
      <c r="O160" s="294"/>
      <c r="P160" s="294"/>
      <c r="Q160" s="294"/>
      <c r="R160" s="282">
        <f t="shared" ref="R160:S160" si="0">hundred * $H51 * R95 / $H37 * (1 - R109) / hours_in_year</f>
        <v>-0.1787455474969297</v>
      </c>
      <c r="S160" s="282">
        <f t="shared" si="0"/>
        <v>-0.17638920317964438</v>
      </c>
      <c r="T160" s="282">
        <f t="shared" ref="T160:U160" si="1">hundred * $H51 * T95 / $H37 * (1 - T109) / hours_in_year</f>
        <v>-0.1787455474969297</v>
      </c>
      <c r="U160" s="282">
        <f t="shared" si="1"/>
        <v>-0.1787455474969297</v>
      </c>
      <c r="V160" s="282">
        <f t="shared" ref="V160:W160" si="2">hundred * $H51 * V95 / $H37 * (1 - V109) / hours_in_year</f>
        <v>-0.17638920317964438</v>
      </c>
      <c r="W160" s="282">
        <f t="shared" si="2"/>
        <v>-0.17638920317964438</v>
      </c>
      <c r="X160" s="282">
        <f t="shared" ref="X160:Y160" si="3">hundred * $H51 * X95 / $H37 * (1 - X109) / hours_in_year</f>
        <v>-0.17403285886235906</v>
      </c>
      <c r="Y160" s="282">
        <f t="shared" si="3"/>
        <v>-0.17403285886235906</v>
      </c>
      <c r="Z160" s="268"/>
      <c r="AA160" s="268"/>
    </row>
    <row r="161" spans="4:27" x14ac:dyDescent="0.25">
      <c r="D161"/>
      <c r="F161" t="s">
        <v>193</v>
      </c>
      <c r="G161" t="s">
        <v>269</v>
      </c>
      <c r="H161" s="268"/>
      <c r="I161" s="268"/>
      <c r="J161" s="294"/>
      <c r="K161" s="294"/>
      <c r="L161" s="294"/>
      <c r="M161" s="294"/>
      <c r="N161" s="294"/>
      <c r="O161" s="294"/>
      <c r="P161" s="294"/>
      <c r="Q161" s="294"/>
      <c r="R161" s="282">
        <f t="shared" ref="R161:S161" si="4">hundred * $H52 * R96 / $H38 * (1 - R110) / hours_in_year</f>
        <v>-2.5603776440864045E-2</v>
      </c>
      <c r="S161" s="282">
        <f t="shared" si="4"/>
        <v>-2.5266250197764142E-2</v>
      </c>
      <c r="T161" s="282">
        <f t="shared" ref="T161:U161" si="5">hundred * $H52 * T96 / $H38 * (1 - T110) / hours_in_year</f>
        <v>-2.5603776440864045E-2</v>
      </c>
      <c r="U161" s="282">
        <f t="shared" si="5"/>
        <v>-2.5603776440864045E-2</v>
      </c>
      <c r="V161" s="282">
        <f t="shared" ref="V161:W161" si="6">hundred * $H52 * V96 / $H38 * (1 - V110) / hours_in_year</f>
        <v>-2.5266250197764142E-2</v>
      </c>
      <c r="W161" s="282">
        <f t="shared" si="6"/>
        <v>-2.5266250197764142E-2</v>
      </c>
      <c r="X161" s="282">
        <f t="shared" ref="X161:Y161" si="7">hundred * $H52 * X96 / $H38 * (1 - X110) / hours_in_year</f>
        <v>-2.492872395466424E-2</v>
      </c>
      <c r="Y161" s="282">
        <f t="shared" si="7"/>
        <v>-2.492872395466424E-2</v>
      </c>
      <c r="Z161" s="268"/>
      <c r="AA161" s="268"/>
    </row>
    <row r="162" spans="4:27" x14ac:dyDescent="0.25">
      <c r="D162"/>
      <c r="F162" t="s">
        <v>194</v>
      </c>
      <c r="G162" t="s">
        <v>269</v>
      </c>
      <c r="H162" s="268"/>
      <c r="I162" s="268"/>
      <c r="J162" s="294"/>
      <c r="K162" s="294"/>
      <c r="L162" s="294"/>
      <c r="M162" s="294"/>
      <c r="N162" s="294"/>
      <c r="O162" s="294"/>
      <c r="P162" s="294"/>
      <c r="Q162" s="294"/>
      <c r="R162" s="282">
        <f t="shared" ref="R162:S162" si="8">hundred * $H53 * R97 / $H39 * (1 - R111) / hours_in_year</f>
        <v>-8.1871679608709946E-2</v>
      </c>
      <c r="S162" s="282">
        <f t="shared" si="8"/>
        <v>-8.079239193025238E-2</v>
      </c>
      <c r="T162" s="282">
        <f t="shared" ref="T162:U162" si="9">hundred * $H53 * T97 / $H39 * (1 - T111) / hours_in_year</f>
        <v>-8.1871679608709946E-2</v>
      </c>
      <c r="U162" s="282">
        <f t="shared" si="9"/>
        <v>-8.1871679608709946E-2</v>
      </c>
      <c r="V162" s="282">
        <f t="shared" ref="V162:W162" si="10">hundred * $H53 * V97 / $H39 * (1 - V111) / hours_in_year</f>
        <v>-8.079239193025238E-2</v>
      </c>
      <c r="W162" s="282">
        <f t="shared" si="10"/>
        <v>-8.079239193025238E-2</v>
      </c>
      <c r="X162" s="282">
        <f t="shared" ref="X162:Y162" si="11">hundred * $H53 * X97 / $H39 * (1 - X111) / hours_in_year</f>
        <v>-7.97131042517948E-2</v>
      </c>
      <c r="Y162" s="282">
        <f t="shared" si="11"/>
        <v>-7.97131042517948E-2</v>
      </c>
      <c r="Z162" s="268"/>
      <c r="AA162" s="268"/>
    </row>
    <row r="163" spans="4:27" x14ac:dyDescent="0.25">
      <c r="D163"/>
      <c r="F163" t="s">
        <v>195</v>
      </c>
      <c r="G163" t="s">
        <v>269</v>
      </c>
      <c r="H163" s="268"/>
      <c r="I163" s="268"/>
      <c r="J163" s="294"/>
      <c r="K163" s="294"/>
      <c r="L163" s="294"/>
      <c r="M163" s="294"/>
      <c r="N163" s="294"/>
      <c r="O163" s="294"/>
      <c r="P163" s="294"/>
      <c r="Q163" s="294"/>
      <c r="R163" s="282">
        <f t="shared" ref="R163:S163" si="12">hundred * $H54 * R98 / $H40 * (1 - R112) / hours_in_year</f>
        <v>-6.4757154521633678E-2</v>
      </c>
      <c r="S163" s="282">
        <f t="shared" si="12"/>
        <v>-6.3903482051480304E-2</v>
      </c>
      <c r="T163" s="282">
        <f t="shared" ref="T163:U163" si="13">hundred * $H54 * T98 / $H40 * (1 - T112) / hours_in_year</f>
        <v>-6.4757154521633678E-2</v>
      </c>
      <c r="U163" s="282">
        <f t="shared" si="13"/>
        <v>-6.4757154521633678E-2</v>
      </c>
      <c r="V163" s="282">
        <f t="shared" ref="V163:W163" si="14">hundred * $H54 * V98 / $H40 * (1 - V112) / hours_in_year</f>
        <v>-6.3903482051480304E-2</v>
      </c>
      <c r="W163" s="282">
        <f t="shared" si="14"/>
        <v>-6.3903482051480304E-2</v>
      </c>
      <c r="X163" s="282">
        <f t="shared" ref="X163:Y163" si="15">hundred * $H54 * X98 / $H40 * (1 - X112) / hours_in_year</f>
        <v>-6.3049809581326943E-2</v>
      </c>
      <c r="Y163" s="282">
        <f t="shared" si="15"/>
        <v>-6.3049809581326943E-2</v>
      </c>
      <c r="Z163" s="268"/>
      <c r="AA163" s="268"/>
    </row>
    <row r="164" spans="4:27" x14ac:dyDescent="0.25">
      <c r="D164"/>
      <c r="F164" t="s">
        <v>196</v>
      </c>
      <c r="G164" t="s">
        <v>269</v>
      </c>
      <c r="H164" s="268"/>
      <c r="I164" s="268"/>
      <c r="J164" s="294"/>
      <c r="K164" s="294"/>
      <c r="L164" s="294"/>
      <c r="M164" s="294"/>
      <c r="N164" s="294"/>
      <c r="O164" s="294"/>
      <c r="P164" s="294"/>
      <c r="Q164" s="294"/>
      <c r="R164" s="282">
        <f t="shared" ref="R164:S164" si="16">hundred * $H55 * R99 / $H41 * (1 - R113) / hours_in_year</f>
        <v>0</v>
      </c>
      <c r="S164" s="282">
        <f t="shared" si="16"/>
        <v>0</v>
      </c>
      <c r="T164" s="282">
        <f t="shared" ref="T164:U164" si="17">hundred * $H55 * T99 / $H41 * (1 - T113) / hours_in_year</f>
        <v>0</v>
      </c>
      <c r="U164" s="282">
        <f t="shared" si="17"/>
        <v>0</v>
      </c>
      <c r="V164" s="282">
        <f t="shared" ref="V164:W164" si="18">hundred * $H55 * V99 / $H41 * (1 - V113) / hours_in_year</f>
        <v>0</v>
      </c>
      <c r="W164" s="282">
        <f t="shared" si="18"/>
        <v>0</v>
      </c>
      <c r="X164" s="282">
        <f t="shared" ref="X164:Y164" si="19">hundred * $H55 * X99 / $H41 * (1 - X113) / hours_in_year</f>
        <v>0</v>
      </c>
      <c r="Y164" s="282">
        <f t="shared" si="19"/>
        <v>0</v>
      </c>
      <c r="Z164" s="268"/>
      <c r="AA164" s="268"/>
    </row>
    <row r="165" spans="4:27" x14ac:dyDescent="0.25">
      <c r="D165"/>
      <c r="F165" t="s">
        <v>197</v>
      </c>
      <c r="G165" t="s">
        <v>269</v>
      </c>
      <c r="H165" s="268"/>
      <c r="I165" s="268"/>
      <c r="J165" s="294"/>
      <c r="K165" s="294"/>
      <c r="L165" s="294"/>
      <c r="M165" s="294"/>
      <c r="N165" s="294"/>
      <c r="O165" s="294"/>
      <c r="P165" s="294"/>
      <c r="Q165" s="294"/>
      <c r="R165" s="282">
        <f t="shared" ref="R165:S165" si="20">hundred * $H56 * R100 / $H42 * (1 - R114) / hours_in_year</f>
        <v>-0.29820726126921671</v>
      </c>
      <c r="S165" s="282">
        <f t="shared" si="20"/>
        <v>-0.29427609209994265</v>
      </c>
      <c r="T165" s="282">
        <f t="shared" ref="T165:U165" si="21">hundred * $H56 * T100 / $H42 * (1 - T114) / hours_in_year</f>
        <v>-0.29820726126921671</v>
      </c>
      <c r="U165" s="282">
        <f t="shared" si="21"/>
        <v>-0.29820726126921671</v>
      </c>
      <c r="V165" s="282">
        <f t="shared" ref="V165:W165" si="22">hundred * $H56 * V100 / $H42 * (1 - V114) / hours_in_year</f>
        <v>-0.29427609209994265</v>
      </c>
      <c r="W165" s="282">
        <f t="shared" si="22"/>
        <v>-0.29427609209994265</v>
      </c>
      <c r="X165" s="282">
        <f t="shared" ref="X165:Y165" si="23">hundred * $H56 * X100 / $H42 * (1 - X114) / hours_in_year</f>
        <v>-0.29034492293066866</v>
      </c>
      <c r="Y165" s="282">
        <f t="shared" si="23"/>
        <v>-0.29034492293066866</v>
      </c>
      <c r="Z165" s="268"/>
      <c r="AA165" s="268"/>
    </row>
    <row r="166" spans="4:27" x14ac:dyDescent="0.25">
      <c r="D166"/>
      <c r="F166" t="s">
        <v>198</v>
      </c>
      <c r="G166" t="s">
        <v>269</v>
      </c>
      <c r="H166" s="268"/>
      <c r="I166" s="268"/>
      <c r="J166" s="294"/>
      <c r="K166" s="294"/>
      <c r="L166" s="294"/>
      <c r="M166" s="294"/>
      <c r="N166" s="294"/>
      <c r="O166" s="294"/>
      <c r="P166" s="294"/>
      <c r="Q166" s="294"/>
      <c r="R166" s="282">
        <f t="shared" ref="R166:S166" si="24">hundred * $H57 * R101 / $H43 * (1 - R115) / hours_in_year</f>
        <v>-0.12234997231901727</v>
      </c>
      <c r="S166" s="282">
        <f t="shared" si="24"/>
        <v>-0.12073707249560271</v>
      </c>
      <c r="T166" s="282">
        <f t="shared" ref="T166:U166" si="25">hundred * $H57 * T101 / $H43 * (1 - T115) / hours_in_year</f>
        <v>-0.12234997231901727</v>
      </c>
      <c r="U166" s="282">
        <f t="shared" si="25"/>
        <v>-0.12234997231901727</v>
      </c>
      <c r="V166" s="282">
        <f t="shared" ref="V166:W166" si="26">hundred * $H57 * V101 / $H43 * (1 - V115) / hours_in_year</f>
        <v>-0.12073707249560271</v>
      </c>
      <c r="W166" s="282">
        <f t="shared" si="26"/>
        <v>-0.12073707249560271</v>
      </c>
      <c r="X166" s="282">
        <f t="shared" ref="X166:Y166" si="27">hundred * $H57 * X101 / $H43 * (1 - X115) / hours_in_year</f>
        <v>0</v>
      </c>
      <c r="Y166" s="282">
        <f t="shared" si="27"/>
        <v>0</v>
      </c>
      <c r="Z166" s="268"/>
      <c r="AA166" s="268"/>
    </row>
    <row r="167" spans="4:27" x14ac:dyDescent="0.25">
      <c r="D167"/>
      <c r="F167" t="s">
        <v>199</v>
      </c>
      <c r="G167" t="s">
        <v>269</v>
      </c>
      <c r="H167" s="268"/>
      <c r="I167" s="268"/>
      <c r="J167" s="294"/>
      <c r="K167" s="294"/>
      <c r="L167" s="294"/>
      <c r="M167" s="294"/>
      <c r="N167" s="294"/>
      <c r="O167" s="294"/>
      <c r="P167" s="294"/>
      <c r="Q167" s="294"/>
      <c r="R167" s="282">
        <f t="shared" ref="R167:S167" si="28">hundred * $H58 * R102 / $H44 * (1 - R116) / hours_in_year</f>
        <v>-0.30193588035047136</v>
      </c>
      <c r="S167" s="282">
        <f t="shared" si="28"/>
        <v>0</v>
      </c>
      <c r="T167" s="282">
        <f t="shared" ref="T167:U167" si="29">hundred * $H58 * T102 / $H44 * (1 - T116) / hours_in_year</f>
        <v>-0.30193588035047136</v>
      </c>
      <c r="U167" s="282">
        <f t="shared" si="29"/>
        <v>-0.30193588035047136</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25">
      <c r="D168"/>
      <c r="F168" t="s">
        <v>334</v>
      </c>
      <c r="G168" t="s">
        <v>269</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25">
      <c r="D169"/>
      <c r="F169" s="96" t="s">
        <v>335</v>
      </c>
      <c r="G169" s="96" t="s">
        <v>269</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25">
      <c r="D170"/>
      <c r="J170" s="106"/>
      <c r="K170" s="106"/>
      <c r="L170" s="106"/>
      <c r="M170" s="106"/>
      <c r="N170" s="106"/>
      <c r="O170" s="106"/>
      <c r="P170" s="106"/>
      <c r="Q170" s="106"/>
      <c r="R170" s="106"/>
      <c r="S170" s="106"/>
      <c r="T170" s="106"/>
      <c r="U170" s="106"/>
      <c r="V170" s="106"/>
      <c r="W170" s="106"/>
      <c r="X170" s="106"/>
      <c r="Y170" s="106"/>
    </row>
    <row r="171" spans="4:27" x14ac:dyDescent="0.25">
      <c r="D171"/>
      <c r="E171" s="75" t="s">
        <v>579</v>
      </c>
      <c r="J171" s="106"/>
      <c r="K171" s="106"/>
      <c r="L171" s="106"/>
      <c r="M171" s="106"/>
      <c r="N171" s="106"/>
      <c r="O171" s="106"/>
      <c r="P171" s="106"/>
      <c r="Q171" s="106"/>
      <c r="R171" s="106"/>
      <c r="S171" s="106"/>
      <c r="T171" s="106"/>
      <c r="U171" s="106"/>
      <c r="V171" s="106"/>
      <c r="W171" s="106"/>
      <c r="X171" s="106"/>
      <c r="Y171" s="106"/>
    </row>
    <row r="172" spans="4:27" x14ac:dyDescent="0.25">
      <c r="D172"/>
      <c r="F172" s="95" t="s">
        <v>189</v>
      </c>
      <c r="G172" s="95" t="s">
        <v>269</v>
      </c>
      <c r="H172" s="266"/>
      <c r="I172" s="266"/>
      <c r="J172" s="280"/>
      <c r="K172" s="280"/>
      <c r="L172" s="280"/>
      <c r="M172" s="280"/>
      <c r="N172" s="280"/>
      <c r="O172" s="280"/>
      <c r="P172" s="280"/>
      <c r="Q172" s="280"/>
      <c r="R172" s="283">
        <f t="shared" ref="R172:S172" si="32">hundred * $H63 * R93 / $H35 / hours_in_year</f>
        <v>-6.2859857859964785E-2</v>
      </c>
      <c r="S172" s="283">
        <f t="shared" si="32"/>
        <v>-6.2031196833562237E-2</v>
      </c>
      <c r="T172" s="283">
        <f t="shared" ref="T172:U172" si="33">hundred * $H63 * T93 / $H35 / hours_in_year</f>
        <v>-6.2859857859964785E-2</v>
      </c>
      <c r="U172" s="283">
        <f t="shared" si="33"/>
        <v>-6.2859857859964785E-2</v>
      </c>
      <c r="V172" s="283">
        <f t="shared" ref="V172:W172" si="34">hundred * $H63 * V93 / $H35 / hours_in_year</f>
        <v>-6.2031196833562237E-2</v>
      </c>
      <c r="W172" s="283">
        <f t="shared" si="34"/>
        <v>-6.2031196833562237E-2</v>
      </c>
      <c r="X172" s="283">
        <f t="shared" ref="X172:Y172" si="35">hundred * $H63 * X93 / $H35 / hours_in_year</f>
        <v>-6.1202535807159689E-2</v>
      </c>
      <c r="Y172" s="283">
        <f t="shared" si="35"/>
        <v>-6.1202535807159689E-2</v>
      </c>
      <c r="Z172" s="268"/>
      <c r="AA172" s="268"/>
    </row>
    <row r="173" spans="4:27" x14ac:dyDescent="0.25">
      <c r="D173"/>
      <c r="F173" t="s">
        <v>191</v>
      </c>
      <c r="G173" t="s">
        <v>269</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25">
      <c r="D174"/>
      <c r="F174" t="s">
        <v>192</v>
      </c>
      <c r="G174" t="s">
        <v>269</v>
      </c>
      <c r="H174" s="268"/>
      <c r="I174" s="268"/>
      <c r="J174" s="294"/>
      <c r="K174" s="294"/>
      <c r="L174" s="294"/>
      <c r="M174" s="294"/>
      <c r="N174" s="294"/>
      <c r="O174" s="294"/>
      <c r="P174" s="294"/>
      <c r="Q174" s="294"/>
      <c r="R174" s="282">
        <f t="shared" ref="R174:S174" si="40">hundred * $H65 * R95 / $H37 / hours_in_year</f>
        <v>-0.1282727714727091</v>
      </c>
      <c r="S174" s="282">
        <f t="shared" si="40"/>
        <v>-0.12658179331770161</v>
      </c>
      <c r="T174" s="282">
        <f t="shared" ref="T174:U174" si="41">hundred * $H65 * T95 / $H37 / hours_in_year</f>
        <v>-0.1282727714727091</v>
      </c>
      <c r="U174" s="282">
        <f t="shared" si="41"/>
        <v>-0.1282727714727091</v>
      </c>
      <c r="V174" s="282">
        <f t="shared" ref="V174:W174" si="42">hundred * $H65 * V95 / $H37 / hours_in_year</f>
        <v>-0.12658179331770161</v>
      </c>
      <c r="W174" s="282">
        <f t="shared" si="42"/>
        <v>-0.12658179331770161</v>
      </c>
      <c r="X174" s="282">
        <f t="shared" ref="X174:Y174" si="43">hundred * $H65 * X95 / $H37 / hours_in_year</f>
        <v>-0.12489081516269412</v>
      </c>
      <c r="Y174" s="282">
        <f t="shared" si="43"/>
        <v>-0.12489081516269412</v>
      </c>
      <c r="Z174" s="268"/>
      <c r="AA174" s="268"/>
    </row>
    <row r="175" spans="4:27" x14ac:dyDescent="0.25">
      <c r="D175"/>
      <c r="F175" t="s">
        <v>193</v>
      </c>
      <c r="G175" t="s">
        <v>269</v>
      </c>
      <c r="H175" s="268"/>
      <c r="I175" s="268"/>
      <c r="J175" s="294"/>
      <c r="K175" s="294"/>
      <c r="L175" s="294"/>
      <c r="M175" s="294"/>
      <c r="N175" s="294"/>
      <c r="O175" s="294"/>
      <c r="P175" s="294"/>
      <c r="Q175" s="294"/>
      <c r="R175" s="282">
        <f t="shared" ref="R175:S175" si="44">hundred * $H66 * R96 / $H38 / hours_in_year</f>
        <v>-1.8373981395501334E-2</v>
      </c>
      <c r="S175" s="282">
        <f t="shared" si="44"/>
        <v>-1.8131763185014499E-2</v>
      </c>
      <c r="T175" s="282">
        <f t="shared" ref="T175:U175" si="45">hundred * $H66 * T96 / $H38 / hours_in_year</f>
        <v>-1.8373981395501334E-2</v>
      </c>
      <c r="U175" s="282">
        <f t="shared" si="45"/>
        <v>-1.8373981395501334E-2</v>
      </c>
      <c r="V175" s="282">
        <f t="shared" ref="V175:W175" si="46">hundred * $H66 * V96 / $H38 / hours_in_year</f>
        <v>-1.8131763185014499E-2</v>
      </c>
      <c r="W175" s="282">
        <f t="shared" si="46"/>
        <v>-1.8131763185014499E-2</v>
      </c>
      <c r="X175" s="282">
        <f t="shared" ref="X175:Y175" si="47">hundred * $H66 * X96 / $H38 / hours_in_year</f>
        <v>-1.7889544974527664E-2</v>
      </c>
      <c r="Y175" s="282">
        <f t="shared" si="47"/>
        <v>-1.7889544974527664E-2</v>
      </c>
      <c r="Z175" s="268"/>
      <c r="AA175" s="268"/>
    </row>
    <row r="176" spans="4:27" x14ac:dyDescent="0.25">
      <c r="D176"/>
      <c r="F176" t="s">
        <v>194</v>
      </c>
      <c r="G176" t="s">
        <v>269</v>
      </c>
      <c r="H176" s="268"/>
      <c r="I176" s="268"/>
      <c r="J176" s="294"/>
      <c r="K176" s="294"/>
      <c r="L176" s="294"/>
      <c r="M176" s="294"/>
      <c r="N176" s="294"/>
      <c r="O176" s="294"/>
      <c r="P176" s="294"/>
      <c r="Q176" s="294"/>
      <c r="R176" s="282">
        <f t="shared" ref="R176:S176" si="48">hundred * $H67 * R97 / $H39 / hours_in_year</f>
        <v>-5.8753392157728006E-2</v>
      </c>
      <c r="S176" s="282">
        <f t="shared" si="48"/>
        <v>-5.7978865330789969E-2</v>
      </c>
      <c r="T176" s="282">
        <f t="shared" ref="T176:U176" si="49">hundred * $H67 * T97 / $H39 / hours_in_year</f>
        <v>-5.8753392157728006E-2</v>
      </c>
      <c r="U176" s="282">
        <f t="shared" si="49"/>
        <v>-5.8753392157728006E-2</v>
      </c>
      <c r="V176" s="282">
        <f t="shared" ref="V176:W176" si="50">hundred * $H67 * V97 / $H39 / hours_in_year</f>
        <v>-5.7978865330789969E-2</v>
      </c>
      <c r="W176" s="282">
        <f t="shared" si="50"/>
        <v>-5.7978865330789969E-2</v>
      </c>
      <c r="X176" s="282">
        <f t="shared" ref="X176:Y176" si="51">hundred * $H67 * X97 / $H39 / hours_in_year</f>
        <v>-5.7204338503851933E-2</v>
      </c>
      <c r="Y176" s="282">
        <f t="shared" si="51"/>
        <v>-5.7204338503851933E-2</v>
      </c>
      <c r="Z176" s="268"/>
      <c r="AA176" s="268"/>
    </row>
    <row r="177" spans="2:27" x14ac:dyDescent="0.25">
      <c r="D177"/>
      <c r="F177" t="s">
        <v>195</v>
      </c>
      <c r="G177" t="s">
        <v>269</v>
      </c>
      <c r="H177" s="268"/>
      <c r="I177" s="268"/>
      <c r="J177" s="294"/>
      <c r="K177" s="294"/>
      <c r="L177" s="294"/>
      <c r="M177" s="294"/>
      <c r="N177" s="294"/>
      <c r="O177" s="294"/>
      <c r="P177" s="294"/>
      <c r="Q177" s="294"/>
      <c r="R177" s="282">
        <f t="shared" ref="R177:S177" si="52">hundred * $H68 * R98 / $H40 / hours_in_year</f>
        <v>-4.647153341438677E-2</v>
      </c>
      <c r="S177" s="282">
        <f t="shared" si="52"/>
        <v>-4.5858914329827999E-2</v>
      </c>
      <c r="T177" s="282">
        <f t="shared" ref="T177:U177" si="53">hundred * $H68 * T98 / $H40 / hours_in_year</f>
        <v>-4.647153341438677E-2</v>
      </c>
      <c r="U177" s="282">
        <f t="shared" si="53"/>
        <v>-4.647153341438677E-2</v>
      </c>
      <c r="V177" s="282">
        <f t="shared" ref="V177:W177" si="54">hundred * $H68 * V98 / $H40 / hours_in_year</f>
        <v>-4.5858914329827999E-2</v>
      </c>
      <c r="W177" s="282">
        <f t="shared" si="54"/>
        <v>-4.5858914329827999E-2</v>
      </c>
      <c r="X177" s="282">
        <f t="shared" ref="X177:Y177" si="55">hundred * $H68 * X98 / $H40 / hours_in_year</f>
        <v>-4.524629524526922E-2</v>
      </c>
      <c r="Y177" s="282">
        <f t="shared" si="55"/>
        <v>-4.524629524526922E-2</v>
      </c>
      <c r="Z177" s="268"/>
      <c r="AA177" s="268"/>
    </row>
    <row r="178" spans="2:27" x14ac:dyDescent="0.25">
      <c r="D178"/>
      <c r="F178" t="s">
        <v>196</v>
      </c>
      <c r="G178" t="s">
        <v>269</v>
      </c>
      <c r="H178" s="268"/>
      <c r="I178" s="268"/>
      <c r="J178" s="294"/>
      <c r="K178" s="294"/>
      <c r="L178" s="294"/>
      <c r="M178" s="294"/>
      <c r="N178" s="294"/>
      <c r="O178" s="294"/>
      <c r="P178" s="294"/>
      <c r="Q178" s="294"/>
      <c r="R178" s="282">
        <f t="shared" ref="R178:S178" si="56">hundred * $H69 * R99 / $H41 / hours_in_year</f>
        <v>0</v>
      </c>
      <c r="S178" s="282">
        <f t="shared" si="56"/>
        <v>0</v>
      </c>
      <c r="T178" s="282">
        <f t="shared" ref="T178:U178" si="57">hundred * $H69 * T99 / $H41 / hours_in_year</f>
        <v>0</v>
      </c>
      <c r="U178" s="282">
        <f t="shared" si="57"/>
        <v>0</v>
      </c>
      <c r="V178" s="282">
        <f t="shared" ref="V178:W178" si="58">hundred * $H69 * V99 / $H41 / hours_in_year</f>
        <v>0</v>
      </c>
      <c r="W178" s="282">
        <f t="shared" si="58"/>
        <v>0</v>
      </c>
      <c r="X178" s="282">
        <f t="shared" ref="X178:Y178" si="59">hundred * $H69 * X99 / $H41 / hours_in_year</f>
        <v>0</v>
      </c>
      <c r="Y178" s="282">
        <f t="shared" si="59"/>
        <v>0</v>
      </c>
      <c r="Z178" s="268"/>
      <c r="AA178" s="268"/>
    </row>
    <row r="179" spans="2:27" x14ac:dyDescent="0.25">
      <c r="D179"/>
      <c r="F179" t="s">
        <v>197</v>
      </c>
      <c r="G179" t="s">
        <v>269</v>
      </c>
      <c r="H179" s="268"/>
      <c r="I179" s="268"/>
      <c r="J179" s="294"/>
      <c r="K179" s="294"/>
      <c r="L179" s="294"/>
      <c r="M179" s="294"/>
      <c r="N179" s="294"/>
      <c r="O179" s="294"/>
      <c r="P179" s="294"/>
      <c r="Q179" s="294"/>
      <c r="R179" s="282">
        <f t="shared" ref="R179:S179" si="60">hundred * $H70 * R100 / $H42 / hours_in_year</f>
        <v>-0.21400181661557605</v>
      </c>
      <c r="S179" s="282">
        <f t="shared" si="60"/>
        <v>-0.21118070038900538</v>
      </c>
      <c r="T179" s="282">
        <f t="shared" ref="T179:U179" si="61">hundred * $H70 * T100 / $H42 / hours_in_year</f>
        <v>-0.21400181661557605</v>
      </c>
      <c r="U179" s="282">
        <f t="shared" si="61"/>
        <v>-0.21400181661557605</v>
      </c>
      <c r="V179" s="282">
        <f t="shared" ref="V179:W179" si="62">hundred * $H70 * V100 / $H42 / hours_in_year</f>
        <v>-0.21118070038900538</v>
      </c>
      <c r="W179" s="282">
        <f t="shared" si="62"/>
        <v>-0.21118070038900538</v>
      </c>
      <c r="X179" s="282">
        <f t="shared" ref="X179:Y179" si="63">hundred * $H70 * X100 / $H42 / hours_in_year</f>
        <v>-0.20835958416243469</v>
      </c>
      <c r="Y179" s="282">
        <f t="shared" si="63"/>
        <v>-0.20835958416243469</v>
      </c>
      <c r="Z179" s="268"/>
      <c r="AA179" s="268"/>
    </row>
    <row r="180" spans="2:27" x14ac:dyDescent="0.25">
      <c r="D180"/>
      <c r="F180" t="s">
        <v>198</v>
      </c>
      <c r="G180" t="s">
        <v>269</v>
      </c>
      <c r="H180" s="268"/>
      <c r="I180" s="268"/>
      <c r="J180" s="294"/>
      <c r="K180" s="294"/>
      <c r="L180" s="294"/>
      <c r="M180" s="294"/>
      <c r="N180" s="294"/>
      <c r="O180" s="294"/>
      <c r="P180" s="294"/>
      <c r="Q180" s="294"/>
      <c r="R180" s="282">
        <f t="shared" ref="R180:S180" si="64">hundred * $H71 * R101 / $H43 / hours_in_year</f>
        <v>-8.7801739728589082E-2</v>
      </c>
      <c r="S180" s="282">
        <f t="shared" si="64"/>
        <v>-8.6644277999586974E-2</v>
      </c>
      <c r="T180" s="282">
        <f t="shared" ref="T180:U180" si="65">hundred * $H71 * T101 / $H43 / hours_in_year</f>
        <v>-8.7801739728589082E-2</v>
      </c>
      <c r="U180" s="282">
        <f t="shared" si="65"/>
        <v>-8.7801739728589082E-2</v>
      </c>
      <c r="V180" s="282">
        <f t="shared" ref="V180:W180" si="66">hundred * $H71 * V101 / $H43 / hours_in_year</f>
        <v>-8.6644277999586974E-2</v>
      </c>
      <c r="W180" s="282">
        <f t="shared" si="66"/>
        <v>-8.6644277999586974E-2</v>
      </c>
      <c r="X180" s="282">
        <f t="shared" ref="X180:Y180" si="67">hundred * $H71 * X101 / $H43 / hours_in_year</f>
        <v>0</v>
      </c>
      <c r="Y180" s="282">
        <f t="shared" si="67"/>
        <v>0</v>
      </c>
      <c r="Z180" s="268"/>
      <c r="AA180" s="268"/>
    </row>
    <row r="181" spans="2:27" x14ac:dyDescent="0.25">
      <c r="D181"/>
      <c r="F181" t="s">
        <v>199</v>
      </c>
      <c r="G181" t="s">
        <v>269</v>
      </c>
      <c r="H181" s="268"/>
      <c r="I181" s="268"/>
      <c r="J181" s="294"/>
      <c r="K181" s="294"/>
      <c r="L181" s="294"/>
      <c r="M181" s="294"/>
      <c r="N181" s="294"/>
      <c r="O181" s="294"/>
      <c r="P181" s="294"/>
      <c r="Q181" s="294"/>
      <c r="R181" s="282">
        <f t="shared" ref="R181:S181" si="68">hundred * $H72 * R102 / $H44 / hours_in_year</f>
        <v>-0.21667757727096673</v>
      </c>
      <c r="S181" s="282">
        <f t="shared" si="68"/>
        <v>0</v>
      </c>
      <c r="T181" s="282">
        <f t="shared" ref="T181:U181" si="69">hundred * $H72 * T102 / $H44 / hours_in_year</f>
        <v>-0.21667757727096673</v>
      </c>
      <c r="U181" s="282">
        <f t="shared" si="69"/>
        <v>-0.21667757727096673</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25">
      <c r="D182"/>
      <c r="F182" t="s">
        <v>334</v>
      </c>
      <c r="G182" t="s">
        <v>269</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25">
      <c r="D183"/>
      <c r="F183" s="96" t="s">
        <v>335</v>
      </c>
      <c r="G183" s="96" t="s">
        <v>269</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25">
      <c r="D184"/>
      <c r="E184"/>
      <c r="J184" s="106"/>
      <c r="K184" s="106"/>
      <c r="L184" s="106"/>
      <c r="M184" s="106"/>
      <c r="N184" s="106"/>
      <c r="O184" s="106"/>
      <c r="P184" s="106"/>
      <c r="Q184" s="106"/>
      <c r="R184" s="106"/>
      <c r="S184" s="106"/>
      <c r="T184" s="106"/>
      <c r="U184" s="106"/>
      <c r="V184" s="106"/>
      <c r="W184" s="106"/>
      <c r="X184" s="106"/>
      <c r="Y184" s="106"/>
    </row>
    <row r="185" spans="2:27" x14ac:dyDescent="0.25">
      <c r="B185" s="85" t="s">
        <v>636</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25">
      <c r="B186" s="296"/>
      <c r="J186" s="106"/>
      <c r="K186" s="106"/>
      <c r="L186" s="106"/>
      <c r="M186" s="106"/>
      <c r="N186" s="106"/>
      <c r="O186" s="106"/>
      <c r="P186" s="106"/>
      <c r="Q186" s="106"/>
      <c r="R186" s="106"/>
      <c r="S186" s="106"/>
      <c r="T186" s="106"/>
      <c r="U186" s="106"/>
      <c r="V186" s="106"/>
      <c r="W186" s="106"/>
      <c r="X186" s="106"/>
      <c r="Y186" s="106"/>
    </row>
    <row r="187" spans="2:27" x14ac:dyDescent="0.25">
      <c r="B187" s="296"/>
      <c r="C187" s="86" t="s">
        <v>637</v>
      </c>
      <c r="J187" s="106"/>
      <c r="K187" s="106"/>
      <c r="L187" s="106"/>
      <c r="M187" s="106"/>
      <c r="N187" s="106"/>
      <c r="O187" s="106"/>
      <c r="P187" s="106"/>
      <c r="Q187" s="106"/>
      <c r="R187" s="106"/>
      <c r="S187" s="106"/>
      <c r="T187" s="106"/>
      <c r="U187" s="106"/>
      <c r="V187" s="106"/>
      <c r="W187" s="106"/>
      <c r="X187" s="106"/>
      <c r="Y187" s="106"/>
    </row>
    <row r="188" spans="2:27" x14ac:dyDescent="0.25">
      <c r="B188" s="296"/>
      <c r="C188" s="86" t="s">
        <v>638</v>
      </c>
      <c r="I188" t="s">
        <v>154</v>
      </c>
      <c r="J188" s="106"/>
      <c r="K188" s="106"/>
      <c r="L188" s="106"/>
      <c r="M188" s="106"/>
      <c r="N188" s="106"/>
      <c r="O188" s="106"/>
      <c r="P188" s="106"/>
      <c r="Q188" s="106"/>
      <c r="R188" s="106"/>
      <c r="S188" s="106"/>
      <c r="T188" s="106"/>
      <c r="U188" s="106"/>
      <c r="V188" s="106"/>
      <c r="W188" s="106"/>
      <c r="X188" s="106"/>
      <c r="Y188" s="106"/>
      <c r="AA188" t="s">
        <v>639</v>
      </c>
    </row>
    <row r="189" spans="2:27" x14ac:dyDescent="0.25">
      <c r="B189" s="296"/>
      <c r="J189" s="106"/>
      <c r="K189" s="106"/>
      <c r="L189" s="106"/>
      <c r="M189" s="106"/>
      <c r="N189" s="106"/>
      <c r="O189" s="106"/>
      <c r="P189" s="106"/>
      <c r="Q189" s="106"/>
      <c r="R189" s="106"/>
      <c r="S189" s="106"/>
      <c r="T189" s="106"/>
      <c r="U189" s="106"/>
      <c r="V189" s="106"/>
      <c r="W189" s="106"/>
      <c r="X189" s="106"/>
      <c r="Y189" s="106"/>
    </row>
    <row r="190" spans="2:27" x14ac:dyDescent="0.25">
      <c r="C190" s="93" t="str">
        <f ca="1">INDEX('Version control'!$H$41:$H$64,MATCH($A$1,'Version control'!$F$41:$F$64,0),1)&amp;"-D: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25">
      <c r="C191" s="75"/>
      <c r="D191"/>
      <c r="E191" s="75"/>
      <c r="I191" t="s">
        <v>154</v>
      </c>
      <c r="J191" s="106"/>
      <c r="K191" s="106"/>
      <c r="L191" s="106"/>
      <c r="M191" s="106"/>
      <c r="N191" s="106"/>
      <c r="O191" s="106"/>
      <c r="P191" s="106"/>
      <c r="Q191" s="106"/>
      <c r="R191" s="106"/>
      <c r="S191" s="106"/>
      <c r="T191" s="106"/>
      <c r="U191" s="106"/>
      <c r="V191" s="106"/>
      <c r="W191" s="106"/>
      <c r="X191" s="106"/>
      <c r="Y191" s="106"/>
      <c r="AA191" t="s">
        <v>640</v>
      </c>
    </row>
    <row r="192" spans="2:27" x14ac:dyDescent="0.25">
      <c r="E192" s="75" t="s">
        <v>578</v>
      </c>
      <c r="J192" s="106"/>
      <c r="K192" s="106"/>
      <c r="L192" s="106"/>
      <c r="M192" s="106"/>
      <c r="N192" s="106"/>
      <c r="O192" s="106"/>
      <c r="P192" s="106"/>
      <c r="Q192" s="106"/>
      <c r="R192" s="106"/>
      <c r="S192" s="106"/>
      <c r="T192" s="106"/>
      <c r="U192" s="106"/>
      <c r="V192" s="106"/>
      <c r="W192" s="106"/>
      <c r="X192" s="106"/>
      <c r="Y192" s="106"/>
    </row>
    <row r="193" spans="4:27" x14ac:dyDescent="0.25">
      <c r="F193" s="95" t="s">
        <v>189</v>
      </c>
      <c r="G193" s="95" t="s">
        <v>272</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25">
      <c r="F194" t="s">
        <v>191</v>
      </c>
      <c r="G194" t="s">
        <v>272</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25">
      <c r="F195" t="s">
        <v>192</v>
      </c>
      <c r="G195" t="s">
        <v>272</v>
      </c>
      <c r="H195" s="268"/>
      <c r="I195" s="268"/>
      <c r="J195" s="282">
        <f t="shared" ref="J195:K195" si="72">ABS(J125 + J160)*(1-J82)*PowerFactor*$H23</f>
        <v>5.1847445092973718E-2</v>
      </c>
      <c r="K195" s="282">
        <f t="shared" si="72"/>
        <v>5.1847445092973718E-2</v>
      </c>
      <c r="L195" s="282">
        <f t="shared" ref="L195:M195" si="73">ABS(L125 + L160)*(1-L82)*PowerFactor*$H23</f>
        <v>4.202881908982669E-2</v>
      </c>
      <c r="M195" s="282">
        <f t="shared" si="73"/>
        <v>4.202881908982669E-2</v>
      </c>
      <c r="N195" s="282">
        <f t="shared" ref="N195:P195" si="74">ABS(N125 + N160)*(1-N82)*PowerFactor*$H23</f>
        <v>3.5980299223450717E-2</v>
      </c>
      <c r="O195" s="282">
        <f t="shared" si="74"/>
        <v>3.1632758044816064E-2</v>
      </c>
      <c r="P195" s="282">
        <f t="shared" si="74"/>
        <v>2.773223164025285E-2</v>
      </c>
      <c r="Q195" s="282">
        <f t="shared" ref="Q195:S195" si="75">ABS(Q125 + Q160)*(1-Q82)*PowerFactor*$H23</f>
        <v>4.9046821474752207E-2</v>
      </c>
      <c r="R195" s="282">
        <f t="shared" si="75"/>
        <v>2.471504979363218E-2</v>
      </c>
      <c r="S195" s="282">
        <f t="shared" si="75"/>
        <v>2.4389239344375261E-2</v>
      </c>
      <c r="T195" s="282">
        <f t="shared" ref="T195:U195" si="76">ABS(T125 + T160)*(1-T82)*PowerFactor*$H23</f>
        <v>2.471504979363218E-2</v>
      </c>
      <c r="U195" s="282">
        <f t="shared" si="76"/>
        <v>2.471504979363218E-2</v>
      </c>
      <c r="V195" s="282">
        <f t="shared" ref="V195:W195" si="77">ABS(V125 + V160)*(1-V82)*PowerFactor*$H23</f>
        <v>2.4389239344375261E-2</v>
      </c>
      <c r="W195" s="282">
        <f t="shared" si="77"/>
        <v>2.4389239344375261E-2</v>
      </c>
      <c r="X195" s="282">
        <f t="shared" ref="X195:Y195" si="78">ABS(X125 + X160)*(1-X82)*PowerFactor*$H23</f>
        <v>2.4063428895118338E-2</v>
      </c>
      <c r="Y195" s="282">
        <f t="shared" si="78"/>
        <v>2.4063428895118338E-2</v>
      </c>
      <c r="Z195" s="268"/>
      <c r="AA195" s="268"/>
    </row>
    <row r="196" spans="4:27" x14ac:dyDescent="0.25">
      <c r="F196" t="s">
        <v>193</v>
      </c>
      <c r="G196" t="s">
        <v>272</v>
      </c>
      <c r="H196" s="268"/>
      <c r="I196" s="268"/>
      <c r="J196" s="282">
        <f t="shared" ref="J196:K196" si="79">ABS(J126 + J161)*(1-J83)*PowerFactor*$H24</f>
        <v>7.4267046747739261E-3</v>
      </c>
      <c r="K196" s="282">
        <f t="shared" si="79"/>
        <v>7.4267046747739261E-3</v>
      </c>
      <c r="L196" s="282">
        <f t="shared" ref="L196:M196" si="80">ABS(L126 + L161)*(1-L83)*PowerFactor*$H24</f>
        <v>6.0202701724244396E-3</v>
      </c>
      <c r="M196" s="282">
        <f t="shared" si="80"/>
        <v>6.0202701724244396E-3</v>
      </c>
      <c r="N196" s="282">
        <f t="shared" ref="N196:P196" si="81">ABS(N126 + N161)*(1-N83)*PowerFactor*$H24</f>
        <v>5.1538712459869825E-3</v>
      </c>
      <c r="O196" s="282">
        <f t="shared" si="81"/>
        <v>4.5311230211277061E-3</v>
      </c>
      <c r="P196" s="282">
        <f t="shared" si="81"/>
        <v>3.9724058532729992E-3</v>
      </c>
      <c r="Q196" s="282">
        <f t="shared" ref="Q196:S196" si="82">ABS(Q126 + Q161)*(1-Q83)*PowerFactor*$H24</f>
        <v>7.0255392078848603E-3</v>
      </c>
      <c r="R196" s="282">
        <f t="shared" si="82"/>
        <v>3.5402202656368317E-3</v>
      </c>
      <c r="S196" s="282">
        <f t="shared" si="82"/>
        <v>3.4935506952800378E-3</v>
      </c>
      <c r="T196" s="282">
        <f t="shared" ref="T196:U196" si="83">ABS(T126 + T161)*(1-T83)*PowerFactor*$H24</f>
        <v>3.5402202656368317E-3</v>
      </c>
      <c r="U196" s="282">
        <f t="shared" si="83"/>
        <v>3.5402202656368317E-3</v>
      </c>
      <c r="V196" s="282">
        <f t="shared" ref="V196:W196" si="84">ABS(V126 + V161)*(1-V83)*PowerFactor*$H24</f>
        <v>3.4935506952800378E-3</v>
      </c>
      <c r="W196" s="282">
        <f t="shared" si="84"/>
        <v>3.4935506952800378E-3</v>
      </c>
      <c r="X196" s="282">
        <f t="shared" ref="X196:Y196" si="85">ABS(X126 + X161)*(1-X83)*PowerFactor*$H24</f>
        <v>3.4468811249232434E-3</v>
      </c>
      <c r="Y196" s="282">
        <f t="shared" si="85"/>
        <v>3.4468811249232434E-3</v>
      </c>
      <c r="Z196" s="268"/>
      <c r="AA196" s="268"/>
    </row>
    <row r="197" spans="4:27" x14ac:dyDescent="0.25">
      <c r="F197" t="s">
        <v>194</v>
      </c>
      <c r="G197" t="s">
        <v>272</v>
      </c>
      <c r="H197" s="268"/>
      <c r="I197" s="268"/>
      <c r="J197" s="282">
        <f t="shared" ref="J197:K197" si="86">ABS(J127 + J162)*(1-J84)*PowerFactor*$H25</f>
        <v>2.3747933711495878E-2</v>
      </c>
      <c r="K197" s="282">
        <f t="shared" si="86"/>
        <v>2.3747933711495878E-2</v>
      </c>
      <c r="L197" s="282">
        <f t="shared" ref="L197:M197" si="87">ABS(L127 + L162)*(1-L84)*PowerFactor*$H25</f>
        <v>1.9250661395712972E-2</v>
      </c>
      <c r="M197" s="282">
        <f t="shared" si="87"/>
        <v>1.9250661395712972E-2</v>
      </c>
      <c r="N197" s="282">
        <f t="shared" ref="N197:P197" si="88">ABS(N127 + N162)*(1-N84)*PowerFactor*$H25</f>
        <v>1.6480228858838968E-2</v>
      </c>
      <c r="O197" s="282">
        <f t="shared" si="88"/>
        <v>1.4488903740830287E-2</v>
      </c>
      <c r="P197" s="282">
        <f t="shared" si="88"/>
        <v>1.0161861553387493E-2</v>
      </c>
      <c r="Q197" s="282">
        <f t="shared" ref="Q197:S197" si="89">ABS(Q127 + Q162)*(1-Q84)*PowerFactor*$H25</f>
        <v>2.2465150655993159E-2</v>
      </c>
      <c r="R197" s="282">
        <f t="shared" si="89"/>
        <v>1.1320352683203612E-2</v>
      </c>
      <c r="S197" s="282">
        <f t="shared" si="89"/>
        <v>1.1171120161956106E-2</v>
      </c>
      <c r="T197" s="282">
        <f t="shared" ref="T197:U197" si="90">ABS(T127 + T162)*(1-T84)*PowerFactor*$H25</f>
        <v>1.1320352683203612E-2</v>
      </c>
      <c r="U197" s="282">
        <f t="shared" si="90"/>
        <v>1.1320352683203612E-2</v>
      </c>
      <c r="V197" s="282">
        <f t="shared" ref="V197:W197" si="91">ABS(V127 + V162)*(1-V84)*PowerFactor*$H25</f>
        <v>1.1171120161956106E-2</v>
      </c>
      <c r="W197" s="282">
        <f t="shared" si="91"/>
        <v>1.1171120161956106E-2</v>
      </c>
      <c r="X197" s="282">
        <f t="shared" ref="X197:Y197" si="92">ABS(X127 + X162)*(1-X84)*PowerFactor*$H25</f>
        <v>1.10218876407086E-2</v>
      </c>
      <c r="Y197" s="282">
        <f t="shared" si="92"/>
        <v>1.10218876407086E-2</v>
      </c>
      <c r="Z197" s="268"/>
      <c r="AA197" s="268"/>
    </row>
    <row r="198" spans="4:27" x14ac:dyDescent="0.25">
      <c r="F198" t="s">
        <v>195</v>
      </c>
      <c r="G198" t="s">
        <v>272</v>
      </c>
      <c r="H198" s="268"/>
      <c r="I198" s="268"/>
      <c r="J198" s="282">
        <f t="shared" ref="J198:K198" si="93">ABS(J128 + J163)*(1-J85)*PowerFactor*$H26</f>
        <v>1.8783645581411129E-2</v>
      </c>
      <c r="K198" s="282">
        <f t="shared" si="93"/>
        <v>1.8783645581411129E-2</v>
      </c>
      <c r="L198" s="282">
        <f t="shared" ref="L198:M198" si="94">ABS(L128 + L163)*(1-L85)*PowerFactor*$H26</f>
        <v>1.5226486870720202E-2</v>
      </c>
      <c r="M198" s="282">
        <f t="shared" si="94"/>
        <v>1.5226486870720202E-2</v>
      </c>
      <c r="N198" s="282">
        <f t="shared" ref="N198:P198" si="95">ABS(N128 + N163)*(1-N85)*PowerFactor*$H26</f>
        <v>1.3035187892373295E-2</v>
      </c>
      <c r="O198" s="282">
        <f t="shared" si="95"/>
        <v>1.1460131059705362E-2</v>
      </c>
      <c r="P198" s="282">
        <f t="shared" si="95"/>
        <v>0</v>
      </c>
      <c r="Q198" s="282">
        <f t="shared" ref="Q198:S198" si="96">ABS(Q128 + Q163)*(1-Q85)*PowerFactor*$H26</f>
        <v>1.7769016579783983E-2</v>
      </c>
      <c r="R198" s="282">
        <f t="shared" si="96"/>
        <v>8.9539365925945698E-3</v>
      </c>
      <c r="S198" s="282">
        <f t="shared" si="96"/>
        <v>8.8358997636903084E-3</v>
      </c>
      <c r="T198" s="282">
        <f t="shared" ref="T198:U198" si="97">ABS(T128 + T163)*(1-T85)*PowerFactor*$H26</f>
        <v>8.9539365925945698E-3</v>
      </c>
      <c r="U198" s="282">
        <f t="shared" si="97"/>
        <v>8.9539365925945698E-3</v>
      </c>
      <c r="V198" s="282">
        <f t="shared" ref="V198:W198" si="98">ABS(V128 + V163)*(1-V85)*PowerFactor*$H26</f>
        <v>8.8358997636903084E-3</v>
      </c>
      <c r="W198" s="282">
        <f t="shared" si="98"/>
        <v>8.8358997636903084E-3</v>
      </c>
      <c r="X198" s="282">
        <f t="shared" ref="X198:Y198" si="99">ABS(X128 + X163)*(1-X85)*PowerFactor*$H26</f>
        <v>8.7178629347860487E-3</v>
      </c>
      <c r="Y198" s="282">
        <f t="shared" si="99"/>
        <v>8.7178629347860487E-3</v>
      </c>
      <c r="Z198" s="268"/>
      <c r="AA198" s="268"/>
    </row>
    <row r="199" spans="4:27" x14ac:dyDescent="0.25">
      <c r="F199" t="s">
        <v>196</v>
      </c>
      <c r="G199" t="s">
        <v>272</v>
      </c>
      <c r="H199" s="268"/>
      <c r="I199" s="268"/>
      <c r="J199" s="282">
        <f t="shared" ref="J199:K199" si="100">ABS(J129 + J164)*(1-J86)*PowerFactor*$H27</f>
        <v>0</v>
      </c>
      <c r="K199" s="282">
        <f t="shared" si="100"/>
        <v>0</v>
      </c>
      <c r="L199" s="282">
        <f t="shared" ref="L199:M199" si="101">ABS(L129 + L164)*(1-L86)*PowerFactor*$H27</f>
        <v>0</v>
      </c>
      <c r="M199" s="282">
        <f t="shared" si="101"/>
        <v>0</v>
      </c>
      <c r="N199" s="282">
        <f t="shared" ref="N199:P199" si="102">ABS(N129 + N164)*(1-N86)*PowerFactor*$H27</f>
        <v>0</v>
      </c>
      <c r="O199" s="282">
        <f t="shared" si="102"/>
        <v>0</v>
      </c>
      <c r="P199" s="282">
        <f t="shared" si="102"/>
        <v>0</v>
      </c>
      <c r="Q199" s="282">
        <f t="shared" ref="Q199:S199" si="103">ABS(Q129 + Q164)*(1-Q86)*PowerFactor*$H27</f>
        <v>0</v>
      </c>
      <c r="R199" s="282">
        <f t="shared" si="103"/>
        <v>0</v>
      </c>
      <c r="S199" s="282">
        <f t="shared" si="103"/>
        <v>0</v>
      </c>
      <c r="T199" s="282">
        <f t="shared" ref="T199:U199" si="104">ABS(T129 + T164)*(1-T86)*PowerFactor*$H27</f>
        <v>0</v>
      </c>
      <c r="U199" s="282">
        <f t="shared" si="104"/>
        <v>0</v>
      </c>
      <c r="V199" s="282">
        <f t="shared" ref="V199:W199" si="105">ABS(V129 + V164)*(1-V86)*PowerFactor*$H27</f>
        <v>0</v>
      </c>
      <c r="W199" s="282">
        <f t="shared" si="105"/>
        <v>0</v>
      </c>
      <c r="X199" s="282">
        <f t="shared" ref="X199:Y199" si="106">ABS(X129 + X164)*(1-X86)*PowerFactor*$H27</f>
        <v>0</v>
      </c>
      <c r="Y199" s="282">
        <f t="shared" si="106"/>
        <v>0</v>
      </c>
      <c r="Z199" s="268"/>
      <c r="AA199" s="268"/>
    </row>
    <row r="200" spans="4:27" x14ac:dyDescent="0.25">
      <c r="F200" t="s">
        <v>197</v>
      </c>
      <c r="G200" t="s">
        <v>272</v>
      </c>
      <c r="H200" s="268"/>
      <c r="I200" s="268"/>
      <c r="J200" s="282">
        <f t="shared" ref="J200:K200" si="107">ABS(J130 + J165)*(1-J87)*PowerFactor*$H28</f>
        <v>8.6498851700053433E-2</v>
      </c>
      <c r="K200" s="282">
        <f t="shared" si="107"/>
        <v>8.6498851700053433E-2</v>
      </c>
      <c r="L200" s="282">
        <f t="shared" ref="L200:M200" si="108">ABS(L130 + L165)*(1-L87)*PowerFactor*$H28</f>
        <v>7.0118104818089944E-2</v>
      </c>
      <c r="M200" s="282">
        <f t="shared" si="108"/>
        <v>7.0118104818089944E-2</v>
      </c>
      <c r="N200" s="282">
        <f t="shared" ref="N200:P200" si="109">ABS(N130 + N165)*(1-N87)*PowerFactor*$H28</f>
        <v>4.8021723131342176E-2</v>
      </c>
      <c r="O200" s="282">
        <f t="shared" si="109"/>
        <v>0</v>
      </c>
      <c r="P200" s="282">
        <f t="shared" si="109"/>
        <v>0</v>
      </c>
      <c r="Q200" s="282">
        <f t="shared" ref="Q200:S200" si="110">ABS(Q130 + Q165)*(1-Q87)*PowerFactor*$H28</f>
        <v>8.1826476299765111E-2</v>
      </c>
      <c r="R200" s="282">
        <f t="shared" si="110"/>
        <v>4.1232956089258505E-2</v>
      </c>
      <c r="S200" s="282">
        <f t="shared" si="110"/>
        <v>4.0689395462846424E-2</v>
      </c>
      <c r="T200" s="282">
        <f t="shared" ref="T200:U200" si="111">ABS(T130 + T165)*(1-T87)*PowerFactor*$H28</f>
        <v>4.1232956089258505E-2</v>
      </c>
      <c r="U200" s="282">
        <f t="shared" si="111"/>
        <v>4.1232956089258505E-2</v>
      </c>
      <c r="V200" s="282">
        <f t="shared" ref="V200:W200" si="112">ABS(V130 + V165)*(1-V87)*PowerFactor*$H28</f>
        <v>4.0689395462846424E-2</v>
      </c>
      <c r="W200" s="282">
        <f t="shared" si="112"/>
        <v>4.0689395462846424E-2</v>
      </c>
      <c r="X200" s="282">
        <f t="shared" ref="X200:Y200" si="113">ABS(X130 + X165)*(1-X87)*PowerFactor*$H28</f>
        <v>4.0145834836434365E-2</v>
      </c>
      <c r="Y200" s="282">
        <f t="shared" si="113"/>
        <v>4.0145834836434365E-2</v>
      </c>
      <c r="Z200" s="268"/>
      <c r="AA200" s="268"/>
    </row>
    <row r="201" spans="4:27" x14ac:dyDescent="0.25">
      <c r="F201" t="s">
        <v>198</v>
      </c>
      <c r="G201" t="s">
        <v>272</v>
      </c>
      <c r="H201" s="268"/>
      <c r="I201" s="268"/>
      <c r="J201" s="282">
        <f t="shared" ref="J201:K201" si="114">ABS(J131 + J166)*(1-J88)*PowerFactor*$H29</f>
        <v>3.5489183147602958E-2</v>
      </c>
      <c r="K201" s="282">
        <f t="shared" si="114"/>
        <v>3.5489183147602958E-2</v>
      </c>
      <c r="L201" s="282">
        <f t="shared" ref="L201:M201" si="115">ABS(L131 + L166)*(1-L88)*PowerFactor*$H29</f>
        <v>2.8768408076456326E-2</v>
      </c>
      <c r="M201" s="282">
        <f t="shared" si="115"/>
        <v>2.8768408076456326E-2</v>
      </c>
      <c r="N201" s="282">
        <f t="shared" ref="N201:P201" si="116">ABS(N131 + N166)*(1-N88)*PowerFactor*$H29</f>
        <v>0</v>
      </c>
      <c r="O201" s="282">
        <f t="shared" si="116"/>
        <v>0</v>
      </c>
      <c r="P201" s="282">
        <f t="shared" si="116"/>
        <v>0</v>
      </c>
      <c r="Q201" s="282">
        <f t="shared" ref="Q201:S201" si="117">ABS(Q131 + Q166)*(1-Q88)*PowerFactor*$H29</f>
        <v>3.357217751046241E-2</v>
      </c>
      <c r="R201" s="282">
        <f t="shared" si="117"/>
        <v>1.6917264236559357E-2</v>
      </c>
      <c r="S201" s="282">
        <f t="shared" si="117"/>
        <v>1.6694249453779852E-2</v>
      </c>
      <c r="T201" s="282">
        <f t="shared" ref="T201:U201" si="118">ABS(T131 + T166)*(1-T88)*PowerFactor*$H29</f>
        <v>1.6917264236559357E-2</v>
      </c>
      <c r="U201" s="282">
        <f t="shared" si="118"/>
        <v>1.6917264236559357E-2</v>
      </c>
      <c r="V201" s="282">
        <f t="shared" ref="V201:W201" si="119">ABS(V131 + V166)*(1-V88)*PowerFactor*$H29</f>
        <v>1.6694249453779852E-2</v>
      </c>
      <c r="W201" s="282">
        <f t="shared" si="119"/>
        <v>1.6694249453779852E-2</v>
      </c>
      <c r="X201" s="282">
        <f t="shared" ref="X201:Y201" si="120">ABS(X131 + X166)*(1-X88)*PowerFactor*$H29</f>
        <v>0</v>
      </c>
      <c r="Y201" s="282">
        <f t="shared" si="120"/>
        <v>0</v>
      </c>
      <c r="Z201" s="268"/>
      <c r="AA201" s="268"/>
    </row>
    <row r="202" spans="4:27" x14ac:dyDescent="0.25">
      <c r="F202" t="s">
        <v>199</v>
      </c>
      <c r="G202" t="s">
        <v>272</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8.2849589417750849E-2</v>
      </c>
      <c r="R202" s="282">
        <f t="shared" si="124"/>
        <v>4.1748510224984756E-2</v>
      </c>
      <c r="S202" s="282">
        <f t="shared" si="124"/>
        <v>0</v>
      </c>
      <c r="T202" s="282">
        <f t="shared" ref="T202:U202" si="125">ABS(T132 + T167)*(1-T89)*PowerFactor*$H30</f>
        <v>4.1748510224984756E-2</v>
      </c>
      <c r="U202" s="282">
        <f t="shared" si="125"/>
        <v>4.1748510224984756E-2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25">
      <c r="F203" t="s">
        <v>334</v>
      </c>
      <c r="G203" t="s">
        <v>272</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25">
      <c r="F204" s="96" t="s">
        <v>335</v>
      </c>
      <c r="G204" s="96" t="s">
        <v>272</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25">
      <c r="D205"/>
      <c r="J205" s="106"/>
      <c r="K205" s="106"/>
      <c r="L205" s="106"/>
      <c r="M205" s="106"/>
      <c r="N205" s="106"/>
      <c r="O205" s="106"/>
      <c r="P205" s="106"/>
      <c r="Q205" s="106"/>
      <c r="R205" s="106"/>
      <c r="S205" s="106"/>
      <c r="T205" s="106"/>
      <c r="U205" s="106"/>
      <c r="V205" s="106"/>
      <c r="W205" s="106"/>
      <c r="X205" s="106"/>
      <c r="Y205" s="106"/>
    </row>
    <row r="206" spans="4:27" x14ac:dyDescent="0.25">
      <c r="E206" s="75" t="s">
        <v>579</v>
      </c>
      <c r="J206" s="106"/>
      <c r="K206" s="106"/>
      <c r="L206" s="106"/>
      <c r="M206" s="106"/>
      <c r="N206" s="106"/>
      <c r="O206" s="106"/>
      <c r="P206" s="106"/>
      <c r="Q206" s="106"/>
      <c r="R206" s="106"/>
      <c r="S206" s="106"/>
      <c r="T206" s="106"/>
      <c r="U206" s="106"/>
      <c r="V206" s="106"/>
      <c r="W206" s="106"/>
      <c r="X206" s="106"/>
      <c r="Y206" s="106"/>
    </row>
    <row r="207" spans="4:27" x14ac:dyDescent="0.25">
      <c r="F207" s="95" t="s">
        <v>189</v>
      </c>
      <c r="G207" s="95" t="s">
        <v>272</v>
      </c>
      <c r="H207" s="266"/>
      <c r="I207" s="266"/>
      <c r="J207" s="281">
        <f t="shared" ref="J207:K207" si="128">ABS(J137 + J172)*(1-J81)*PowerFactor*$H22</f>
        <v>1.8233310281491843E-2</v>
      </c>
      <c r="K207" s="281">
        <f t="shared" si="128"/>
        <v>1.8233310281491843E-2</v>
      </c>
      <c r="L207" s="281">
        <f t="shared" ref="L207:M207" si="129">ABS(L137 + L172)*(1-L81)*PowerFactor*$H22</f>
        <v>1.4780371488996448E-2</v>
      </c>
      <c r="M207" s="281">
        <f t="shared" si="129"/>
        <v>1.4780371488996448E-2</v>
      </c>
      <c r="N207" s="281">
        <f t="shared" ref="N207:P207" si="130">ABS(N137 + N172)*(1-N81)*PowerFactor*$H22</f>
        <v>1.2653274594064855E-2</v>
      </c>
      <c r="O207" s="281">
        <f t="shared" si="130"/>
        <v>1.1124364787044276E-2</v>
      </c>
      <c r="P207" s="281">
        <f t="shared" si="130"/>
        <v>9.7526576938978347E-3</v>
      </c>
      <c r="Q207" s="281">
        <f t="shared" ref="Q207:S207" si="131">ABS(Q137 + Q172)*(1-Q81)*PowerFactor*$H22</f>
        <v>1.7248408531345089E-2</v>
      </c>
      <c r="R207" s="281">
        <f t="shared" si="131"/>
        <v>8.6915984134170211E-3</v>
      </c>
      <c r="S207" s="281">
        <f t="shared" si="131"/>
        <v>8.5770199032589815E-3</v>
      </c>
      <c r="T207" s="281">
        <f t="shared" ref="T207:U207" si="132">ABS(T137 + T172)*(1-T81)*PowerFactor*$H22</f>
        <v>8.6915984134170211E-3</v>
      </c>
      <c r="U207" s="281">
        <f t="shared" si="132"/>
        <v>8.6915984134170211E-3</v>
      </c>
      <c r="V207" s="281">
        <f t="shared" ref="V207:W207" si="133">ABS(V137 + V172)*(1-V81)*PowerFactor*$H22</f>
        <v>8.5770199032589815E-3</v>
      </c>
      <c r="W207" s="281">
        <f t="shared" si="133"/>
        <v>8.5770199032589815E-3</v>
      </c>
      <c r="X207" s="281">
        <f t="shared" ref="X207:Y207" si="134">ABS(X137 + X172)*(1-X81)*PowerFactor*$H22</f>
        <v>8.4624413931009418E-3</v>
      </c>
      <c r="Y207" s="281">
        <f t="shared" si="134"/>
        <v>8.4624413931009418E-3</v>
      </c>
      <c r="Z207" s="268"/>
      <c r="AA207" s="268"/>
    </row>
    <row r="208" spans="4:27" x14ac:dyDescent="0.25">
      <c r="F208" t="s">
        <v>191</v>
      </c>
      <c r="G208" t="s">
        <v>272</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25">
      <c r="F209" t="s">
        <v>192</v>
      </c>
      <c r="G209" t="s">
        <v>272</v>
      </c>
      <c r="H209" s="268"/>
      <c r="I209" s="268"/>
      <c r="J209" s="282">
        <f t="shared" ref="J209:K209" si="142">ABS(J139 + J174)*(1-J82)*PowerFactor*$H23</f>
        <v>3.7207167221712675E-2</v>
      </c>
      <c r="K209" s="282">
        <f t="shared" si="142"/>
        <v>3.7207167221712675E-2</v>
      </c>
      <c r="L209" s="282">
        <f t="shared" ref="L209:M209" si="143">ABS(L139 + L174)*(1-L82)*PowerFactor*$H23</f>
        <v>3.0161048383427713E-2</v>
      </c>
      <c r="M209" s="282">
        <f t="shared" si="143"/>
        <v>3.0161048383427713E-2</v>
      </c>
      <c r="N209" s="282">
        <f t="shared" ref="N209:P209" si="144">ABS(N139 + N174)*(1-N82)*PowerFactor*$H23</f>
        <v>2.5820462464323277E-2</v>
      </c>
      <c r="O209" s="282">
        <f t="shared" si="144"/>
        <v>2.2700546114603991E-2</v>
      </c>
      <c r="P209" s="282">
        <f t="shared" si="144"/>
        <v>1.9901419987423681E-2</v>
      </c>
      <c r="Q209" s="282">
        <f t="shared" ref="Q209:S209" si="145">ABS(Q139 + Q174)*(1-Q82)*PowerFactor*$H23</f>
        <v>3.5197361895695424E-2</v>
      </c>
      <c r="R209" s="282">
        <f t="shared" si="145"/>
        <v>1.7736206459462507E-2</v>
      </c>
      <c r="S209" s="282">
        <f t="shared" si="145"/>
        <v>1.7502395828170154E-2</v>
      </c>
      <c r="T209" s="282">
        <f t="shared" ref="T209:U209" si="146">ABS(T139 + T174)*(1-T82)*PowerFactor*$H23</f>
        <v>1.7736206459462507E-2</v>
      </c>
      <c r="U209" s="282">
        <f t="shared" si="146"/>
        <v>1.7736206459462507E-2</v>
      </c>
      <c r="V209" s="282">
        <f t="shared" ref="V209:W209" si="147">ABS(V139 + V174)*(1-V82)*PowerFactor*$H23</f>
        <v>1.7502395828170154E-2</v>
      </c>
      <c r="W209" s="282">
        <f t="shared" si="147"/>
        <v>1.7502395828170154E-2</v>
      </c>
      <c r="X209" s="282">
        <f t="shared" ref="X209:Y209" si="148">ABS(X139 + X174)*(1-X82)*PowerFactor*$H23</f>
        <v>1.7268585196877802E-2</v>
      </c>
      <c r="Y209" s="282">
        <f t="shared" si="148"/>
        <v>1.7268585196877802E-2</v>
      </c>
      <c r="Z209" s="268"/>
      <c r="AA209" s="268"/>
    </row>
    <row r="210" spans="3:27" x14ac:dyDescent="0.25">
      <c r="F210" t="s">
        <v>193</v>
      </c>
      <c r="G210" t="s">
        <v>272</v>
      </c>
      <c r="H210" s="268"/>
      <c r="I210" s="268"/>
      <c r="J210" s="282">
        <f t="shared" ref="J210:K210" si="149">ABS(J140 + J175)*(1-J83)*PowerFactor*$H24</f>
        <v>5.3296096315850298E-3</v>
      </c>
      <c r="K210" s="282">
        <f t="shared" si="149"/>
        <v>5.3296096315850298E-3</v>
      </c>
      <c r="L210" s="282">
        <f t="shared" ref="L210:M210" si="150">ABS(L140 + L175)*(1-L83)*PowerFactor*$H24</f>
        <v>4.3203131537843291E-3</v>
      </c>
      <c r="M210" s="282">
        <f t="shared" si="150"/>
        <v>4.3203131537843291E-3</v>
      </c>
      <c r="N210" s="282">
        <f t="shared" ref="N210:P210" si="151">ABS(N140 + N175)*(1-N83)*PowerFactor*$H24</f>
        <v>3.6985612105812611E-3</v>
      </c>
      <c r="O210" s="282">
        <f t="shared" si="151"/>
        <v>3.2516597808615565E-3</v>
      </c>
      <c r="P210" s="282">
        <f t="shared" si="151"/>
        <v>2.8507088168027899E-3</v>
      </c>
      <c r="Q210" s="282">
        <f t="shared" ref="Q210:S210" si="152">ABS(Q140 + Q175)*(1-Q83)*PowerFactor*$H24</f>
        <v>5.041722145840033E-3</v>
      </c>
      <c r="R210" s="282">
        <f t="shared" si="152"/>
        <v>2.5405604304906508E-3</v>
      </c>
      <c r="S210" s="282">
        <f t="shared" si="152"/>
        <v>2.5070690500510373E-3</v>
      </c>
      <c r="T210" s="282">
        <f t="shared" ref="T210:U210" si="153">ABS(T140 + T175)*(1-T83)*PowerFactor*$H24</f>
        <v>2.5405604304906508E-3</v>
      </c>
      <c r="U210" s="282">
        <f t="shared" si="153"/>
        <v>2.5405604304906508E-3</v>
      </c>
      <c r="V210" s="282">
        <f t="shared" ref="V210:W210" si="154">ABS(V140 + V175)*(1-V83)*PowerFactor*$H24</f>
        <v>2.5070690500510373E-3</v>
      </c>
      <c r="W210" s="282">
        <f t="shared" si="154"/>
        <v>2.5070690500510373E-3</v>
      </c>
      <c r="X210" s="282">
        <f t="shared" ref="X210:Y210" si="155">ABS(X140 + X175)*(1-X83)*PowerFactor*$H24</f>
        <v>2.4735776696114243E-3</v>
      </c>
      <c r="Y210" s="282">
        <f t="shared" si="155"/>
        <v>2.4735776696114243E-3</v>
      </c>
      <c r="Z210" s="268"/>
      <c r="AA210" s="268"/>
    </row>
    <row r="211" spans="3:27" x14ac:dyDescent="0.25">
      <c r="F211" t="s">
        <v>194</v>
      </c>
      <c r="G211" t="s">
        <v>272</v>
      </c>
      <c r="H211" s="268"/>
      <c r="I211" s="268"/>
      <c r="J211" s="282">
        <f t="shared" ref="J211:K211" si="156">ABS(J141 + J176)*(1-J84)*PowerFactor*$H25</f>
        <v>1.7042177086822707E-2</v>
      </c>
      <c r="K211" s="282">
        <f t="shared" si="156"/>
        <v>1.7042177086822707E-2</v>
      </c>
      <c r="L211" s="282">
        <f t="shared" ref="L211:M211" si="157">ABS(L141 + L176)*(1-L84)*PowerFactor*$H25</f>
        <v>1.3814809512685671E-2</v>
      </c>
      <c r="M211" s="282">
        <f t="shared" si="157"/>
        <v>1.3814809512685671E-2</v>
      </c>
      <c r="N211" s="282">
        <f t="shared" ref="N211:P211" si="158">ABS(N141 + N176)*(1-N84)*PowerFactor*$H25</f>
        <v>1.1826670145526885E-2</v>
      </c>
      <c r="O211" s="282">
        <f t="shared" si="158"/>
        <v>1.0397639910272602E-2</v>
      </c>
      <c r="P211" s="282">
        <f t="shared" si="158"/>
        <v>7.2924342062135683E-3</v>
      </c>
      <c r="Q211" s="282">
        <f t="shared" ref="Q211:S211" si="159">ABS(Q141 + Q176)*(1-Q84)*PowerFactor*$H25</f>
        <v>1.6121616323034226E-2</v>
      </c>
      <c r="R211" s="282">
        <f t="shared" si="159"/>
        <v>8.1237996305781462E-3</v>
      </c>
      <c r="S211" s="282">
        <f t="shared" si="159"/>
        <v>8.0167062267852141E-3</v>
      </c>
      <c r="T211" s="282">
        <f t="shared" ref="T211:U211" si="160">ABS(T141 + T176)*(1-T84)*PowerFactor*$H25</f>
        <v>8.1237996305781462E-3</v>
      </c>
      <c r="U211" s="282">
        <f t="shared" si="160"/>
        <v>8.1237996305781462E-3</v>
      </c>
      <c r="V211" s="282">
        <f t="shared" ref="V211:W211" si="161">ABS(V141 + V176)*(1-V84)*PowerFactor*$H25</f>
        <v>8.0167062267852141E-3</v>
      </c>
      <c r="W211" s="282">
        <f t="shared" si="161"/>
        <v>8.0167062267852141E-3</v>
      </c>
      <c r="X211" s="282">
        <f t="shared" ref="X211:Y211" si="162">ABS(X141 + X176)*(1-X84)*PowerFactor*$H25</f>
        <v>7.9096128229922819E-3</v>
      </c>
      <c r="Y211" s="282">
        <f t="shared" si="162"/>
        <v>7.9096128229922819E-3</v>
      </c>
      <c r="Z211" s="268"/>
      <c r="AA211" s="268"/>
    </row>
    <row r="212" spans="3:27" x14ac:dyDescent="0.25">
      <c r="F212" t="s">
        <v>195</v>
      </c>
      <c r="G212" t="s">
        <v>272</v>
      </c>
      <c r="H212" s="268"/>
      <c r="I212" s="268"/>
      <c r="J212" s="282">
        <f t="shared" ref="J212:K212" si="163">ABS(J142 + J177)*(1-J85)*PowerFactor*$H26</f>
        <v>1.3479665987932359E-2</v>
      </c>
      <c r="K212" s="282">
        <f t="shared" si="163"/>
        <v>1.3479665987932359E-2</v>
      </c>
      <c r="L212" s="282">
        <f t="shared" ref="L212:M212" si="164">ABS(L142 + L177)*(1-L85)*PowerFactor*$H26</f>
        <v>1.0926950058622561E-2</v>
      </c>
      <c r="M212" s="282">
        <f t="shared" si="164"/>
        <v>1.0926950058622561E-2</v>
      </c>
      <c r="N212" s="282">
        <f t="shared" ref="N212:P212" si="165">ABS(N142 + N177)*(1-N85)*PowerFactor*$H26</f>
        <v>9.3544130247548967E-3</v>
      </c>
      <c r="O212" s="282">
        <f t="shared" si="165"/>
        <v>8.2241084774105026E-3</v>
      </c>
      <c r="P212" s="282">
        <f t="shared" si="165"/>
        <v>0</v>
      </c>
      <c r="Q212" s="282">
        <f t="shared" ref="Q212:S212" si="166">ABS(Q142 + Q177)*(1-Q85)*PowerFactor*$H26</f>
        <v>1.2751540024081218E-2</v>
      </c>
      <c r="R212" s="282">
        <f t="shared" si="166"/>
        <v>6.425593691181254E-3</v>
      </c>
      <c r="S212" s="282">
        <f t="shared" si="166"/>
        <v>6.3408871830112571E-3</v>
      </c>
      <c r="T212" s="282">
        <f t="shared" ref="T212:U212" si="167">ABS(T142 + T177)*(1-T85)*PowerFactor*$H26</f>
        <v>6.425593691181254E-3</v>
      </c>
      <c r="U212" s="282">
        <f t="shared" si="167"/>
        <v>6.425593691181254E-3</v>
      </c>
      <c r="V212" s="282">
        <f t="shared" ref="V212:W212" si="168">ABS(V142 + V177)*(1-V85)*PowerFactor*$H26</f>
        <v>6.3408871830112571E-3</v>
      </c>
      <c r="W212" s="282">
        <f t="shared" si="168"/>
        <v>6.3408871830112571E-3</v>
      </c>
      <c r="X212" s="282">
        <f t="shared" ref="X212:Y212" si="169">ABS(X142 + X177)*(1-X85)*PowerFactor*$H26</f>
        <v>6.2561806748412576E-3</v>
      </c>
      <c r="Y212" s="282">
        <f t="shared" si="169"/>
        <v>6.2561806748412576E-3</v>
      </c>
      <c r="Z212" s="268"/>
      <c r="AA212" s="268"/>
    </row>
    <row r="213" spans="3:27" x14ac:dyDescent="0.25">
      <c r="F213" t="s">
        <v>196</v>
      </c>
      <c r="G213" t="s">
        <v>272</v>
      </c>
      <c r="H213" s="268"/>
      <c r="I213" s="268"/>
      <c r="J213" s="282">
        <f t="shared" ref="J213:K213" si="170">ABS(J143 + J178)*(1-J86)*PowerFactor*$H27</f>
        <v>0</v>
      </c>
      <c r="K213" s="282">
        <f t="shared" si="170"/>
        <v>0</v>
      </c>
      <c r="L213" s="282">
        <f t="shared" ref="L213:M213" si="171">ABS(L143 + L178)*(1-L86)*PowerFactor*$H27</f>
        <v>0</v>
      </c>
      <c r="M213" s="282">
        <f t="shared" si="171"/>
        <v>0</v>
      </c>
      <c r="N213" s="282">
        <f t="shared" ref="N213:P213" si="172">ABS(N143 + N178)*(1-N86)*PowerFactor*$H27</f>
        <v>0</v>
      </c>
      <c r="O213" s="282">
        <f t="shared" si="172"/>
        <v>0</v>
      </c>
      <c r="P213" s="282">
        <f t="shared" si="172"/>
        <v>0</v>
      </c>
      <c r="Q213" s="282">
        <f t="shared" ref="Q213:S213" si="173">ABS(Q143 + Q178)*(1-Q86)*PowerFactor*$H27</f>
        <v>0</v>
      </c>
      <c r="R213" s="282">
        <f t="shared" si="173"/>
        <v>0</v>
      </c>
      <c r="S213" s="282">
        <f t="shared" si="173"/>
        <v>0</v>
      </c>
      <c r="T213" s="282">
        <f t="shared" ref="T213:U213" si="174">ABS(T143 + T178)*(1-T86)*PowerFactor*$H27</f>
        <v>0</v>
      </c>
      <c r="U213" s="282">
        <f t="shared" si="174"/>
        <v>0</v>
      </c>
      <c r="V213" s="282">
        <f t="shared" ref="V213:W213" si="175">ABS(V143 + V178)*(1-V86)*PowerFactor*$H27</f>
        <v>0</v>
      </c>
      <c r="W213" s="282">
        <f t="shared" si="175"/>
        <v>0</v>
      </c>
      <c r="X213" s="282">
        <f t="shared" ref="X213:Y213" si="176">ABS(X143 + X178)*(1-X86)*PowerFactor*$H27</f>
        <v>0</v>
      </c>
      <c r="Y213" s="282">
        <f t="shared" si="176"/>
        <v>0</v>
      </c>
      <c r="Z213" s="268"/>
      <c r="AA213" s="268"/>
    </row>
    <row r="214" spans="3:27" x14ac:dyDescent="0.25">
      <c r="F214" t="s">
        <v>197</v>
      </c>
      <c r="G214" t="s">
        <v>272</v>
      </c>
      <c r="H214" s="268"/>
      <c r="I214" s="268"/>
      <c r="J214" s="282">
        <f t="shared" ref="J214:K214" si="177">ABS(J144 + J179)*(1-J87)*PowerFactor*$H28</f>
        <v>6.2073979420177137E-2</v>
      </c>
      <c r="K214" s="282">
        <f t="shared" si="177"/>
        <v>6.2073979420177137E-2</v>
      </c>
      <c r="L214" s="282">
        <f t="shared" ref="L214:M214" si="178">ABS(L144 + L179)*(1-L87)*PowerFactor*$H28</f>
        <v>5.0318700305442894E-2</v>
      </c>
      <c r="M214" s="282">
        <f t="shared" si="178"/>
        <v>5.0318700305442894E-2</v>
      </c>
      <c r="N214" s="282">
        <f t="shared" ref="N214:P214" si="179">ABS(N144 + N179)*(1-N87)*PowerFactor*$H28</f>
        <v>3.4461722841281801E-2</v>
      </c>
      <c r="O214" s="282">
        <f t="shared" si="179"/>
        <v>0</v>
      </c>
      <c r="P214" s="282">
        <f t="shared" si="179"/>
        <v>0</v>
      </c>
      <c r="Q214" s="282">
        <f t="shared" ref="Q214:S214" si="180">ABS(Q144 + Q179)*(1-Q87)*PowerFactor*$H28</f>
        <v>5.8720953007218878E-2</v>
      </c>
      <c r="R214" s="282">
        <f t="shared" si="180"/>
        <v>2.9589914980525905E-2</v>
      </c>
      <c r="S214" s="282">
        <f t="shared" si="180"/>
        <v>2.919984077174308E-2</v>
      </c>
      <c r="T214" s="282">
        <f t="shared" ref="T214:U214" si="181">ABS(T144 + T179)*(1-T87)*PowerFactor*$H28</f>
        <v>2.9589914980525905E-2</v>
      </c>
      <c r="U214" s="282">
        <f t="shared" si="181"/>
        <v>2.9589914980525905E-2</v>
      </c>
      <c r="V214" s="282">
        <f t="shared" ref="V214:W214" si="182">ABS(V144 + V179)*(1-V87)*PowerFactor*$H28</f>
        <v>2.919984077174308E-2</v>
      </c>
      <c r="W214" s="282">
        <f t="shared" si="182"/>
        <v>2.919984077174308E-2</v>
      </c>
      <c r="X214" s="282">
        <f t="shared" ref="X214:Y214" si="183">ABS(X144 + X179)*(1-X87)*PowerFactor*$H28</f>
        <v>2.8809766562960252E-2</v>
      </c>
      <c r="Y214" s="282">
        <f t="shared" si="183"/>
        <v>2.8809766562960252E-2</v>
      </c>
      <c r="Z214" s="268"/>
      <c r="AA214" s="268"/>
    </row>
    <row r="215" spans="3:27" x14ac:dyDescent="0.25">
      <c r="F215" t="s">
        <v>198</v>
      </c>
      <c r="G215" t="s">
        <v>272</v>
      </c>
      <c r="H215" s="268"/>
      <c r="I215" s="268"/>
      <c r="J215" s="282">
        <f t="shared" ref="J215:K215" si="184">ABS(J145 + J180)*(1-J88)*PowerFactor*$H29</f>
        <v>2.5468023922239437E-2</v>
      </c>
      <c r="K215" s="282">
        <f t="shared" si="184"/>
        <v>2.5468023922239437E-2</v>
      </c>
      <c r="L215" s="282">
        <f t="shared" ref="L215:M215" si="185">ABS(L145 + L180)*(1-L88)*PowerFactor*$H29</f>
        <v>2.064500898903961E-2</v>
      </c>
      <c r="M215" s="282">
        <f t="shared" si="185"/>
        <v>2.064500898903961E-2</v>
      </c>
      <c r="N215" s="282">
        <f t="shared" ref="N215:P215" si="186">ABS(N145 + N180)*(1-N88)*PowerFactor*$H29</f>
        <v>0</v>
      </c>
      <c r="O215" s="282">
        <f t="shared" si="186"/>
        <v>0</v>
      </c>
      <c r="P215" s="282">
        <f t="shared" si="186"/>
        <v>0</v>
      </c>
      <c r="Q215" s="282">
        <f t="shared" ref="Q215:S215" si="187">ABS(Q145 + Q180)*(1-Q88)*PowerFactor*$H29</f>
        <v>2.4092327411482727E-2</v>
      </c>
      <c r="R215" s="282">
        <f t="shared" si="187"/>
        <v>1.2140298875958778E-2</v>
      </c>
      <c r="S215" s="282">
        <f t="shared" si="187"/>
        <v>1.198025727119096E-2</v>
      </c>
      <c r="T215" s="282">
        <f t="shared" ref="T215:U215" si="188">ABS(T145 + T180)*(1-T88)*PowerFactor*$H29</f>
        <v>1.2140298875958778E-2</v>
      </c>
      <c r="U215" s="282">
        <f t="shared" si="188"/>
        <v>1.2140298875958778E-2</v>
      </c>
      <c r="V215" s="282">
        <f t="shared" ref="V215:W215" si="189">ABS(V145 + V180)*(1-V88)*PowerFactor*$H29</f>
        <v>1.198025727119096E-2</v>
      </c>
      <c r="W215" s="282">
        <f t="shared" si="189"/>
        <v>1.198025727119096E-2</v>
      </c>
      <c r="X215" s="282">
        <f t="shared" ref="X215:Y215" si="190">ABS(X145 + X180)*(1-X88)*PowerFactor*$H29</f>
        <v>0</v>
      </c>
      <c r="Y215" s="282">
        <f t="shared" si="190"/>
        <v>0</v>
      </c>
      <c r="Z215" s="268"/>
      <c r="AA215" s="268"/>
    </row>
    <row r="216" spans="3:27" x14ac:dyDescent="0.25">
      <c r="F216" t="s">
        <v>199</v>
      </c>
      <c r="G216" t="s">
        <v>272</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5.9455167408706926E-2</v>
      </c>
      <c r="R216" s="282">
        <f t="shared" si="194"/>
        <v>2.9959890953409698E-2</v>
      </c>
      <c r="S216" s="282">
        <f t="shared" si="194"/>
        <v>0</v>
      </c>
      <c r="T216" s="282">
        <f t="shared" ref="T216:U216" si="195">ABS(T146 + T181)*(1-T89)*PowerFactor*$H30</f>
        <v>2.9959890953409698E-2</v>
      </c>
      <c r="U216" s="282">
        <f t="shared" si="195"/>
        <v>2.9959890953409698E-2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25">
      <c r="F217" t="s">
        <v>334</v>
      </c>
      <c r="G217" t="s">
        <v>272</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25">
      <c r="F218" s="96" t="s">
        <v>335</v>
      </c>
      <c r="G218" s="96" t="s">
        <v>272</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25">
      <c r="J219" s="106"/>
      <c r="K219" s="106"/>
      <c r="L219" s="106"/>
      <c r="M219" s="106"/>
      <c r="N219" s="106"/>
      <c r="O219" s="106"/>
      <c r="P219" s="106"/>
      <c r="Q219" s="106"/>
      <c r="R219" s="106"/>
      <c r="S219" s="106"/>
      <c r="T219" s="106"/>
      <c r="U219" s="106"/>
      <c r="V219" s="106"/>
      <c r="W219" s="106"/>
      <c r="X219" s="106"/>
      <c r="Y219" s="106"/>
    </row>
    <row r="220" spans="3:27" x14ac:dyDescent="0.25">
      <c r="C220" s="93" t="str">
        <f ca="1">INDEX('Version control'!$H$41:$H$64,MATCH($A$1,'Version control'!$F$41:$F$64,0),1)&amp;"-E: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25">
      <c r="D221" s="75"/>
      <c r="E221" s="75"/>
      <c r="J221" s="106"/>
      <c r="K221" s="106"/>
      <c r="L221" s="106"/>
      <c r="M221" s="106"/>
      <c r="N221" s="106"/>
      <c r="O221" s="106"/>
      <c r="P221" s="106"/>
      <c r="Q221" s="106"/>
      <c r="R221" s="106"/>
      <c r="S221" s="106"/>
      <c r="T221" s="106"/>
      <c r="U221" s="106"/>
      <c r="V221" s="106"/>
      <c r="W221" s="106"/>
      <c r="X221" s="106"/>
      <c r="Y221" s="106"/>
    </row>
    <row r="222" spans="3:27" x14ac:dyDescent="0.25">
      <c r="D222"/>
      <c r="E222" s="75" t="s">
        <v>578</v>
      </c>
      <c r="J222" s="106"/>
      <c r="K222" s="106"/>
      <c r="L222" s="106"/>
      <c r="M222" s="106"/>
      <c r="N222" s="106"/>
      <c r="O222" s="106"/>
      <c r="P222" s="106"/>
      <c r="Q222" s="106"/>
      <c r="R222" s="106"/>
      <c r="S222" s="106"/>
      <c r="T222" s="106"/>
      <c r="U222" s="106"/>
      <c r="V222" s="106"/>
      <c r="W222" s="106"/>
      <c r="X222" s="106"/>
      <c r="Y222" s="106"/>
    </row>
    <row r="223" spans="3:27" x14ac:dyDescent="0.25">
      <c r="D223"/>
      <c r="F223" s="95" t="s">
        <v>189</v>
      </c>
      <c r="G223" s="95" t="s">
        <v>272</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25">
      <c r="D224"/>
      <c r="F224" t="s">
        <v>191</v>
      </c>
      <c r="G224" t="s">
        <v>272</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25">
      <c r="D225"/>
      <c r="F225" t="s">
        <v>192</v>
      </c>
      <c r="G225" t="s">
        <v>272</v>
      </c>
      <c r="H225" s="268"/>
      <c r="I225" s="268"/>
      <c r="J225" s="282">
        <f t="shared" ref="J225:K225" si="198">J$78 * J195</f>
        <v>0</v>
      </c>
      <c r="K225" s="282">
        <f t="shared" si="198"/>
        <v>0</v>
      </c>
      <c r="L225" s="282">
        <f t="shared" ref="L225:M225" si="199">L$78 * L195</f>
        <v>0</v>
      </c>
      <c r="M225" s="282">
        <f t="shared" si="199"/>
        <v>0</v>
      </c>
      <c r="N225" s="282">
        <f t="shared" ref="N225:P225" si="200">N$78 * N195</f>
        <v>3.5980299223450717E-2</v>
      </c>
      <c r="O225" s="282">
        <f t="shared" si="200"/>
        <v>3.1632758044816064E-2</v>
      </c>
      <c r="P225" s="282">
        <f t="shared" si="200"/>
        <v>2.773223164025285E-2</v>
      </c>
      <c r="Q225" s="282">
        <f t="shared" ref="Q225:S225" si="201">Q$78 * Q195</f>
        <v>0</v>
      </c>
      <c r="R225" s="282">
        <f t="shared" si="201"/>
        <v>0</v>
      </c>
      <c r="S225" s="282">
        <f t="shared" si="201"/>
        <v>0</v>
      </c>
      <c r="T225" s="282">
        <f t="shared" ref="T225:U225" si="202">T$78 * T195</f>
        <v>2.471504979363218E-2</v>
      </c>
      <c r="U225" s="282">
        <f t="shared" si="202"/>
        <v>0</v>
      </c>
      <c r="V225" s="282">
        <f t="shared" ref="V225:W225" si="203">V$78 * V195</f>
        <v>2.4389239344375261E-2</v>
      </c>
      <c r="W225" s="282">
        <f t="shared" si="203"/>
        <v>0</v>
      </c>
      <c r="X225" s="282">
        <f t="shared" ref="X225:Y225" si="204">X$78 * X195</f>
        <v>2.4063428895118338E-2</v>
      </c>
      <c r="Y225" s="282">
        <f t="shared" si="204"/>
        <v>0</v>
      </c>
      <c r="Z225" s="268"/>
      <c r="AA225" s="268"/>
    </row>
    <row r="226" spans="4:27" x14ac:dyDescent="0.25">
      <c r="D226"/>
      <c r="F226" t="s">
        <v>193</v>
      </c>
      <c r="G226" t="s">
        <v>272</v>
      </c>
      <c r="H226" s="268"/>
      <c r="I226" s="268"/>
      <c r="J226" s="282">
        <f t="shared" ref="J226:K226" si="205">J$78 * J196</f>
        <v>0</v>
      </c>
      <c r="K226" s="282">
        <f t="shared" si="205"/>
        <v>0</v>
      </c>
      <c r="L226" s="282">
        <f t="shared" ref="L226:M226" si="206">L$78 * L196</f>
        <v>0</v>
      </c>
      <c r="M226" s="282">
        <f t="shared" si="206"/>
        <v>0</v>
      </c>
      <c r="N226" s="282">
        <f t="shared" ref="N226:P226" si="207">N$78 * N196</f>
        <v>5.1538712459869825E-3</v>
      </c>
      <c r="O226" s="282">
        <f t="shared" si="207"/>
        <v>4.5311230211277061E-3</v>
      </c>
      <c r="P226" s="282">
        <f t="shared" si="207"/>
        <v>3.9724058532729992E-3</v>
      </c>
      <c r="Q226" s="282">
        <f t="shared" ref="Q226:S226" si="208">Q$78 * Q196</f>
        <v>0</v>
      </c>
      <c r="R226" s="282">
        <f t="shared" si="208"/>
        <v>0</v>
      </c>
      <c r="S226" s="282">
        <f t="shared" si="208"/>
        <v>0</v>
      </c>
      <c r="T226" s="282">
        <f t="shared" ref="T226:U226" si="209">T$78 * T196</f>
        <v>3.5402202656368317E-3</v>
      </c>
      <c r="U226" s="282">
        <f t="shared" si="209"/>
        <v>0</v>
      </c>
      <c r="V226" s="282">
        <f t="shared" ref="V226:W226" si="210">V$78 * V196</f>
        <v>3.4935506952800378E-3</v>
      </c>
      <c r="W226" s="282">
        <f t="shared" si="210"/>
        <v>0</v>
      </c>
      <c r="X226" s="282">
        <f t="shared" ref="X226:Y226" si="211">X$78 * X196</f>
        <v>3.4468811249232434E-3</v>
      </c>
      <c r="Y226" s="282">
        <f t="shared" si="211"/>
        <v>0</v>
      </c>
      <c r="Z226" s="268"/>
      <c r="AA226" s="268"/>
    </row>
    <row r="227" spans="4:27" x14ac:dyDescent="0.25">
      <c r="D227"/>
      <c r="F227" t="s">
        <v>194</v>
      </c>
      <c r="G227" t="s">
        <v>272</v>
      </c>
      <c r="H227" s="268"/>
      <c r="I227" s="268"/>
      <c r="J227" s="282">
        <f t="shared" ref="J227:K227" si="212">J$78 * J197</f>
        <v>0</v>
      </c>
      <c r="K227" s="282">
        <f t="shared" si="212"/>
        <v>0</v>
      </c>
      <c r="L227" s="282">
        <f t="shared" ref="L227:M227" si="213">L$78 * L197</f>
        <v>0</v>
      </c>
      <c r="M227" s="282">
        <f t="shared" si="213"/>
        <v>0</v>
      </c>
      <c r="N227" s="282">
        <f t="shared" ref="N227:P227" si="214">N$78 * N197</f>
        <v>1.6480228858838968E-2</v>
      </c>
      <c r="O227" s="282">
        <f t="shared" si="214"/>
        <v>1.4488903740830287E-2</v>
      </c>
      <c r="P227" s="282">
        <f t="shared" si="214"/>
        <v>1.0161861553387493E-2</v>
      </c>
      <c r="Q227" s="282">
        <f t="shared" ref="Q227:S227" si="215">Q$78 * Q197</f>
        <v>0</v>
      </c>
      <c r="R227" s="282">
        <f t="shared" si="215"/>
        <v>0</v>
      </c>
      <c r="S227" s="282">
        <f t="shared" si="215"/>
        <v>0</v>
      </c>
      <c r="T227" s="282">
        <f t="shared" ref="T227:U227" si="216">T$78 * T197</f>
        <v>1.1320352683203612E-2</v>
      </c>
      <c r="U227" s="282">
        <f t="shared" si="216"/>
        <v>0</v>
      </c>
      <c r="V227" s="282">
        <f t="shared" ref="V227:W227" si="217">V$78 * V197</f>
        <v>1.1171120161956106E-2</v>
      </c>
      <c r="W227" s="282">
        <f t="shared" si="217"/>
        <v>0</v>
      </c>
      <c r="X227" s="282">
        <f t="shared" ref="X227:Y227" si="218">X$78 * X197</f>
        <v>1.10218876407086E-2</v>
      </c>
      <c r="Y227" s="282">
        <f t="shared" si="218"/>
        <v>0</v>
      </c>
      <c r="Z227" s="268"/>
      <c r="AA227" s="268"/>
    </row>
    <row r="228" spans="4:27" x14ac:dyDescent="0.25">
      <c r="D228"/>
      <c r="F228" t="s">
        <v>195</v>
      </c>
      <c r="G228" t="s">
        <v>272</v>
      </c>
      <c r="H228" s="268"/>
      <c r="I228" s="268"/>
      <c r="J228" s="282">
        <f t="shared" ref="J228:K228" si="219">J$78 * J198</f>
        <v>0</v>
      </c>
      <c r="K228" s="282">
        <f t="shared" si="219"/>
        <v>0</v>
      </c>
      <c r="L228" s="282">
        <f t="shared" ref="L228:M228" si="220">L$78 * L198</f>
        <v>0</v>
      </c>
      <c r="M228" s="282">
        <f t="shared" si="220"/>
        <v>0</v>
      </c>
      <c r="N228" s="282">
        <f t="shared" ref="N228:P228" si="221">N$78 * N198</f>
        <v>1.3035187892373295E-2</v>
      </c>
      <c r="O228" s="282">
        <f t="shared" si="221"/>
        <v>1.1460131059705362E-2</v>
      </c>
      <c r="P228" s="282">
        <f t="shared" si="221"/>
        <v>0</v>
      </c>
      <c r="Q228" s="282">
        <f t="shared" ref="Q228:S228" si="222">Q$78 * Q198</f>
        <v>0</v>
      </c>
      <c r="R228" s="282">
        <f t="shared" si="222"/>
        <v>0</v>
      </c>
      <c r="S228" s="282">
        <f t="shared" si="222"/>
        <v>0</v>
      </c>
      <c r="T228" s="282">
        <f t="shared" ref="T228:U228" si="223">T$78 * T198</f>
        <v>8.9539365925945698E-3</v>
      </c>
      <c r="U228" s="282">
        <f t="shared" si="223"/>
        <v>0</v>
      </c>
      <c r="V228" s="282">
        <f t="shared" ref="V228:W228" si="224">V$78 * V198</f>
        <v>8.8358997636903084E-3</v>
      </c>
      <c r="W228" s="282">
        <f t="shared" si="224"/>
        <v>0</v>
      </c>
      <c r="X228" s="282">
        <f t="shared" ref="X228:Y228" si="225">X$78 * X198</f>
        <v>8.7178629347860487E-3</v>
      </c>
      <c r="Y228" s="282">
        <f t="shared" si="225"/>
        <v>0</v>
      </c>
      <c r="Z228" s="268"/>
      <c r="AA228" s="268"/>
    </row>
    <row r="229" spans="4:27" x14ac:dyDescent="0.25">
      <c r="D229"/>
      <c r="F229" t="s">
        <v>196</v>
      </c>
      <c r="G229" t="s">
        <v>272</v>
      </c>
      <c r="H229" s="268"/>
      <c r="I229" s="268"/>
      <c r="J229" s="282">
        <f t="shared" ref="J229:K229" si="226">J$78 * J199</f>
        <v>0</v>
      </c>
      <c r="K229" s="282">
        <f t="shared" si="226"/>
        <v>0</v>
      </c>
      <c r="L229" s="282">
        <f t="shared" ref="L229:M229" si="227">L$78 * L199</f>
        <v>0</v>
      </c>
      <c r="M229" s="282">
        <f t="shared" si="227"/>
        <v>0</v>
      </c>
      <c r="N229" s="282">
        <f t="shared" ref="N229:P229" si="228">N$78 * N199</f>
        <v>0</v>
      </c>
      <c r="O229" s="282">
        <f t="shared" si="228"/>
        <v>0</v>
      </c>
      <c r="P229" s="282">
        <f t="shared" si="228"/>
        <v>0</v>
      </c>
      <c r="Q229" s="282">
        <f t="shared" ref="Q229:S229" si="229">Q$78 * Q199</f>
        <v>0</v>
      </c>
      <c r="R229" s="282">
        <f t="shared" si="229"/>
        <v>0</v>
      </c>
      <c r="S229" s="282">
        <f t="shared" si="229"/>
        <v>0</v>
      </c>
      <c r="T229" s="282">
        <f t="shared" ref="T229:U229" si="230">T$78 * T199</f>
        <v>0</v>
      </c>
      <c r="U229" s="282">
        <f t="shared" si="230"/>
        <v>0</v>
      </c>
      <c r="V229" s="282">
        <f t="shared" ref="V229:W229" si="231">V$78 * V199</f>
        <v>0</v>
      </c>
      <c r="W229" s="282">
        <f t="shared" si="231"/>
        <v>0</v>
      </c>
      <c r="X229" s="282">
        <f t="shared" ref="X229:Y229" si="232">X$78 * X199</f>
        <v>0</v>
      </c>
      <c r="Y229" s="282">
        <f t="shared" si="232"/>
        <v>0</v>
      </c>
      <c r="Z229" s="268"/>
      <c r="AA229" s="268"/>
    </row>
    <row r="230" spans="4:27" x14ac:dyDescent="0.25">
      <c r="D230"/>
      <c r="F230" t="s">
        <v>197</v>
      </c>
      <c r="G230" t="s">
        <v>272</v>
      </c>
      <c r="H230" s="268"/>
      <c r="I230" s="268"/>
      <c r="J230" s="282">
        <f t="shared" ref="J230:K230" si="233">J$78 * J200</f>
        <v>0</v>
      </c>
      <c r="K230" s="282">
        <f t="shared" si="233"/>
        <v>0</v>
      </c>
      <c r="L230" s="282">
        <f t="shared" ref="L230:M230" si="234">L$78 * L200</f>
        <v>0</v>
      </c>
      <c r="M230" s="282">
        <f t="shared" si="234"/>
        <v>0</v>
      </c>
      <c r="N230" s="282">
        <f t="shared" ref="N230:P230" si="235">N$78 * N200</f>
        <v>4.8021723131342176E-2</v>
      </c>
      <c r="O230" s="282">
        <f t="shared" si="235"/>
        <v>0</v>
      </c>
      <c r="P230" s="282">
        <f t="shared" si="235"/>
        <v>0</v>
      </c>
      <c r="Q230" s="282">
        <f t="shared" ref="Q230:S230" si="236">Q$78 * Q200</f>
        <v>0</v>
      </c>
      <c r="R230" s="282">
        <f t="shared" si="236"/>
        <v>0</v>
      </c>
      <c r="S230" s="282">
        <f t="shared" si="236"/>
        <v>0</v>
      </c>
      <c r="T230" s="282">
        <f t="shared" ref="T230:U230" si="237">T$78 * T200</f>
        <v>4.1232956089258505E-2</v>
      </c>
      <c r="U230" s="282">
        <f t="shared" si="237"/>
        <v>0</v>
      </c>
      <c r="V230" s="282">
        <f t="shared" ref="V230:W230" si="238">V$78 * V200</f>
        <v>4.0689395462846424E-2</v>
      </c>
      <c r="W230" s="282">
        <f t="shared" si="238"/>
        <v>0</v>
      </c>
      <c r="X230" s="282">
        <f t="shared" ref="X230:Y230" si="239">X$78 * X200</f>
        <v>4.0145834836434365E-2</v>
      </c>
      <c r="Y230" s="282">
        <f t="shared" si="239"/>
        <v>0</v>
      </c>
      <c r="Z230" s="268"/>
      <c r="AA230" s="268"/>
    </row>
    <row r="231" spans="4:27" x14ac:dyDescent="0.25">
      <c r="D231"/>
      <c r="F231" t="s">
        <v>198</v>
      </c>
      <c r="G231" t="s">
        <v>272</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1.6917264236559357E-2</v>
      </c>
      <c r="U231" s="282">
        <f t="shared" si="244"/>
        <v>0</v>
      </c>
      <c r="V231" s="282">
        <f t="shared" ref="V231:W231" si="245">V$78 * V201</f>
        <v>1.6694249453779852E-2</v>
      </c>
      <c r="W231" s="282">
        <f t="shared" si="245"/>
        <v>0</v>
      </c>
      <c r="X231" s="282">
        <f t="shared" ref="X231:Y231" si="246">X$78 * X201</f>
        <v>0</v>
      </c>
      <c r="Y231" s="282">
        <f t="shared" si="246"/>
        <v>0</v>
      </c>
      <c r="Z231" s="268"/>
      <c r="AA231" s="268"/>
    </row>
    <row r="232" spans="4:27" x14ac:dyDescent="0.25">
      <c r="D232"/>
      <c r="F232" t="s">
        <v>199</v>
      </c>
      <c r="G232" t="s">
        <v>272</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4.1748510224984756E-2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25">
      <c r="D233"/>
      <c r="F233" t="s">
        <v>334</v>
      </c>
      <c r="G233" t="s">
        <v>272</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25">
      <c r="D234"/>
      <c r="F234" s="96" t="s">
        <v>335</v>
      </c>
      <c r="G234" s="96" t="s">
        <v>272</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25">
      <c r="D235"/>
      <c r="J235" s="106"/>
      <c r="K235" s="106"/>
      <c r="L235" s="106"/>
      <c r="M235" s="106"/>
      <c r="N235" s="106"/>
      <c r="O235" s="106"/>
      <c r="P235" s="106"/>
      <c r="Q235" s="106"/>
      <c r="R235" s="106"/>
      <c r="S235" s="106"/>
      <c r="T235" s="106"/>
      <c r="U235" s="106"/>
      <c r="V235" s="106"/>
      <c r="W235" s="106"/>
      <c r="X235" s="106"/>
      <c r="Y235" s="106"/>
    </row>
    <row r="236" spans="4:27" x14ac:dyDescent="0.25">
      <c r="D236"/>
      <c r="E236" s="75" t="s">
        <v>579</v>
      </c>
      <c r="J236" s="106"/>
      <c r="K236" s="106"/>
      <c r="L236" s="106"/>
      <c r="M236" s="106"/>
      <c r="N236" s="106"/>
      <c r="O236" s="106"/>
      <c r="P236" s="106"/>
      <c r="Q236" s="106"/>
      <c r="R236" s="106"/>
      <c r="S236" s="106"/>
      <c r="T236" s="106"/>
      <c r="U236" s="106"/>
      <c r="V236" s="106"/>
      <c r="W236" s="106"/>
      <c r="X236" s="106"/>
      <c r="Y236" s="106"/>
    </row>
    <row r="237" spans="4:27" x14ac:dyDescent="0.25">
      <c r="D237"/>
      <c r="F237" s="95" t="s">
        <v>189</v>
      </c>
      <c r="G237" s="95" t="s">
        <v>272</v>
      </c>
      <c r="H237" s="266"/>
      <c r="I237" s="266"/>
      <c r="J237" s="283">
        <f t="shared" ref="J237:K237" si="254">J$78 * J207</f>
        <v>0</v>
      </c>
      <c r="K237" s="283">
        <f t="shared" si="254"/>
        <v>0</v>
      </c>
      <c r="L237" s="283">
        <f t="shared" ref="L237:M237" si="255">L$78 * L207</f>
        <v>0</v>
      </c>
      <c r="M237" s="283">
        <f t="shared" si="255"/>
        <v>0</v>
      </c>
      <c r="N237" s="283">
        <f t="shared" ref="N237:P237" si="256">N$78 * N207</f>
        <v>1.2653274594064855E-2</v>
      </c>
      <c r="O237" s="283">
        <f t="shared" si="256"/>
        <v>1.1124364787044276E-2</v>
      </c>
      <c r="P237" s="283">
        <f t="shared" si="256"/>
        <v>9.7526576938978347E-3</v>
      </c>
      <c r="Q237" s="283">
        <f t="shared" ref="Q237:S237" si="257">Q$78 * Q207</f>
        <v>0</v>
      </c>
      <c r="R237" s="283">
        <f t="shared" si="257"/>
        <v>0</v>
      </c>
      <c r="S237" s="283">
        <f t="shared" si="257"/>
        <v>0</v>
      </c>
      <c r="T237" s="283">
        <f t="shared" ref="T237:U237" si="258">T$78 * T207</f>
        <v>8.6915984134170211E-3</v>
      </c>
      <c r="U237" s="283">
        <f t="shared" si="258"/>
        <v>0</v>
      </c>
      <c r="V237" s="283">
        <f t="shared" ref="V237:W237" si="259">V$78 * V207</f>
        <v>8.5770199032589815E-3</v>
      </c>
      <c r="W237" s="283">
        <f t="shared" si="259"/>
        <v>0</v>
      </c>
      <c r="X237" s="283">
        <f t="shared" ref="X237:Y237" si="260">X$78 * X207</f>
        <v>8.4624413931009418E-3</v>
      </c>
      <c r="Y237" s="283">
        <f t="shared" si="260"/>
        <v>0</v>
      </c>
      <c r="Z237" s="268"/>
      <c r="AA237" s="268"/>
    </row>
    <row r="238" spans="4:27" x14ac:dyDescent="0.25">
      <c r="D238"/>
      <c r="F238" t="s">
        <v>191</v>
      </c>
      <c r="G238" t="s">
        <v>272</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25">
      <c r="D239"/>
      <c r="F239" t="s">
        <v>192</v>
      </c>
      <c r="G239" t="s">
        <v>272</v>
      </c>
      <c r="H239" s="268"/>
      <c r="I239" s="268"/>
      <c r="J239" s="282">
        <f t="shared" ref="J239:K239" si="268">J$78 * J209</f>
        <v>0</v>
      </c>
      <c r="K239" s="282">
        <f t="shared" si="268"/>
        <v>0</v>
      </c>
      <c r="L239" s="282">
        <f t="shared" ref="L239:M239" si="269">L$78 * L209</f>
        <v>0</v>
      </c>
      <c r="M239" s="282">
        <f t="shared" si="269"/>
        <v>0</v>
      </c>
      <c r="N239" s="282">
        <f t="shared" ref="N239:P239" si="270">N$78 * N209</f>
        <v>2.5820462464323277E-2</v>
      </c>
      <c r="O239" s="282">
        <f t="shared" si="270"/>
        <v>2.2700546114603991E-2</v>
      </c>
      <c r="P239" s="282">
        <f t="shared" si="270"/>
        <v>1.9901419987423681E-2</v>
      </c>
      <c r="Q239" s="282">
        <f t="shared" ref="Q239:S239" si="271">Q$78 * Q209</f>
        <v>0</v>
      </c>
      <c r="R239" s="282">
        <f t="shared" si="271"/>
        <v>0</v>
      </c>
      <c r="S239" s="282">
        <f t="shared" si="271"/>
        <v>0</v>
      </c>
      <c r="T239" s="282">
        <f t="shared" ref="T239:U239" si="272">T$78 * T209</f>
        <v>1.7736206459462507E-2</v>
      </c>
      <c r="U239" s="282">
        <f t="shared" si="272"/>
        <v>0</v>
      </c>
      <c r="V239" s="282">
        <f t="shared" ref="V239:W239" si="273">V$78 * V209</f>
        <v>1.7502395828170154E-2</v>
      </c>
      <c r="W239" s="282">
        <f t="shared" si="273"/>
        <v>0</v>
      </c>
      <c r="X239" s="282">
        <f t="shared" ref="X239:Y239" si="274">X$78 * X209</f>
        <v>1.7268585196877802E-2</v>
      </c>
      <c r="Y239" s="282">
        <f t="shared" si="274"/>
        <v>0</v>
      </c>
      <c r="Z239" s="268"/>
      <c r="AA239" s="268"/>
    </row>
    <row r="240" spans="4:27" x14ac:dyDescent="0.25">
      <c r="D240"/>
      <c r="F240" t="s">
        <v>193</v>
      </c>
      <c r="G240" t="s">
        <v>272</v>
      </c>
      <c r="H240" s="268"/>
      <c r="I240" s="268"/>
      <c r="J240" s="282">
        <f t="shared" ref="J240:K240" si="275">J$78 * J210</f>
        <v>0</v>
      </c>
      <c r="K240" s="282">
        <f t="shared" si="275"/>
        <v>0</v>
      </c>
      <c r="L240" s="282">
        <f t="shared" ref="L240:M240" si="276">L$78 * L210</f>
        <v>0</v>
      </c>
      <c r="M240" s="282">
        <f t="shared" si="276"/>
        <v>0</v>
      </c>
      <c r="N240" s="282">
        <f t="shared" ref="N240:P240" si="277">N$78 * N210</f>
        <v>3.6985612105812611E-3</v>
      </c>
      <c r="O240" s="282">
        <f t="shared" si="277"/>
        <v>3.2516597808615565E-3</v>
      </c>
      <c r="P240" s="282">
        <f t="shared" si="277"/>
        <v>2.8507088168027899E-3</v>
      </c>
      <c r="Q240" s="282">
        <f t="shared" ref="Q240:S240" si="278">Q$78 * Q210</f>
        <v>0</v>
      </c>
      <c r="R240" s="282">
        <f t="shared" si="278"/>
        <v>0</v>
      </c>
      <c r="S240" s="282">
        <f t="shared" si="278"/>
        <v>0</v>
      </c>
      <c r="T240" s="282">
        <f t="shared" ref="T240:U240" si="279">T$78 * T210</f>
        <v>2.5405604304906508E-3</v>
      </c>
      <c r="U240" s="282">
        <f t="shared" si="279"/>
        <v>0</v>
      </c>
      <c r="V240" s="282">
        <f t="shared" ref="V240:W240" si="280">V$78 * V210</f>
        <v>2.5070690500510373E-3</v>
      </c>
      <c r="W240" s="282">
        <f t="shared" si="280"/>
        <v>0</v>
      </c>
      <c r="X240" s="282">
        <f t="shared" ref="X240:Y240" si="281">X$78 * X210</f>
        <v>2.4735776696114243E-3</v>
      </c>
      <c r="Y240" s="282">
        <f t="shared" si="281"/>
        <v>0</v>
      </c>
      <c r="Z240" s="268"/>
      <c r="AA240" s="268"/>
    </row>
    <row r="241" spans="2:27" x14ac:dyDescent="0.25">
      <c r="D241"/>
      <c r="F241" t="s">
        <v>194</v>
      </c>
      <c r="G241" t="s">
        <v>272</v>
      </c>
      <c r="H241" s="268"/>
      <c r="I241" s="268"/>
      <c r="J241" s="282">
        <f t="shared" ref="J241:K241" si="282">J$78 * J211</f>
        <v>0</v>
      </c>
      <c r="K241" s="282">
        <f t="shared" si="282"/>
        <v>0</v>
      </c>
      <c r="L241" s="282">
        <f t="shared" ref="L241:M241" si="283">L$78 * L211</f>
        <v>0</v>
      </c>
      <c r="M241" s="282">
        <f t="shared" si="283"/>
        <v>0</v>
      </c>
      <c r="N241" s="282">
        <f t="shared" ref="N241:P241" si="284">N$78 * N211</f>
        <v>1.1826670145526885E-2</v>
      </c>
      <c r="O241" s="282">
        <f t="shared" si="284"/>
        <v>1.0397639910272602E-2</v>
      </c>
      <c r="P241" s="282">
        <f t="shared" si="284"/>
        <v>7.2924342062135683E-3</v>
      </c>
      <c r="Q241" s="282">
        <f t="shared" ref="Q241:S241" si="285">Q$78 * Q211</f>
        <v>0</v>
      </c>
      <c r="R241" s="282">
        <f t="shared" si="285"/>
        <v>0</v>
      </c>
      <c r="S241" s="282">
        <f t="shared" si="285"/>
        <v>0</v>
      </c>
      <c r="T241" s="282">
        <f t="shared" ref="T241:U241" si="286">T$78 * T211</f>
        <v>8.1237996305781462E-3</v>
      </c>
      <c r="U241" s="282">
        <f t="shared" si="286"/>
        <v>0</v>
      </c>
      <c r="V241" s="282">
        <f t="shared" ref="V241:W241" si="287">V$78 * V211</f>
        <v>8.0167062267852141E-3</v>
      </c>
      <c r="W241" s="282">
        <f t="shared" si="287"/>
        <v>0</v>
      </c>
      <c r="X241" s="282">
        <f t="shared" ref="X241:Y241" si="288">X$78 * X211</f>
        <v>7.9096128229922819E-3</v>
      </c>
      <c r="Y241" s="282">
        <f t="shared" si="288"/>
        <v>0</v>
      </c>
      <c r="Z241" s="268"/>
      <c r="AA241" s="268"/>
    </row>
    <row r="242" spans="2:27" x14ac:dyDescent="0.25">
      <c r="D242"/>
      <c r="F242" t="s">
        <v>195</v>
      </c>
      <c r="G242" t="s">
        <v>272</v>
      </c>
      <c r="H242" s="268"/>
      <c r="I242" s="268"/>
      <c r="J242" s="282">
        <f t="shared" ref="J242:K242" si="289">J$78 * J212</f>
        <v>0</v>
      </c>
      <c r="K242" s="282">
        <f t="shared" si="289"/>
        <v>0</v>
      </c>
      <c r="L242" s="282">
        <f t="shared" ref="L242:M242" si="290">L$78 * L212</f>
        <v>0</v>
      </c>
      <c r="M242" s="282">
        <f t="shared" si="290"/>
        <v>0</v>
      </c>
      <c r="N242" s="282">
        <f t="shared" ref="N242:P242" si="291">N$78 * N212</f>
        <v>9.3544130247548967E-3</v>
      </c>
      <c r="O242" s="282">
        <f t="shared" si="291"/>
        <v>8.2241084774105026E-3</v>
      </c>
      <c r="P242" s="282">
        <f t="shared" si="291"/>
        <v>0</v>
      </c>
      <c r="Q242" s="282">
        <f t="shared" ref="Q242:S242" si="292">Q$78 * Q212</f>
        <v>0</v>
      </c>
      <c r="R242" s="282">
        <f t="shared" si="292"/>
        <v>0</v>
      </c>
      <c r="S242" s="282">
        <f t="shared" si="292"/>
        <v>0</v>
      </c>
      <c r="T242" s="282">
        <f t="shared" ref="T242:U242" si="293">T$78 * T212</f>
        <v>6.425593691181254E-3</v>
      </c>
      <c r="U242" s="282">
        <f t="shared" si="293"/>
        <v>0</v>
      </c>
      <c r="V242" s="282">
        <f t="shared" ref="V242:W242" si="294">V$78 * V212</f>
        <v>6.3408871830112571E-3</v>
      </c>
      <c r="W242" s="282">
        <f t="shared" si="294"/>
        <v>0</v>
      </c>
      <c r="X242" s="282">
        <f t="shared" ref="X242:Y242" si="295">X$78 * X212</f>
        <v>6.2561806748412576E-3</v>
      </c>
      <c r="Y242" s="282">
        <f t="shared" si="295"/>
        <v>0</v>
      </c>
      <c r="Z242" s="268"/>
      <c r="AA242" s="268"/>
    </row>
    <row r="243" spans="2:27" x14ac:dyDescent="0.25">
      <c r="D243"/>
      <c r="F243" t="s">
        <v>196</v>
      </c>
      <c r="G243" t="s">
        <v>272</v>
      </c>
      <c r="H243" s="268"/>
      <c r="I243" s="268"/>
      <c r="J243" s="282">
        <f t="shared" ref="J243:K243" si="296">J$78 * J213</f>
        <v>0</v>
      </c>
      <c r="K243" s="282">
        <f t="shared" si="296"/>
        <v>0</v>
      </c>
      <c r="L243" s="282">
        <f t="shared" ref="L243:M243" si="297">L$78 * L213</f>
        <v>0</v>
      </c>
      <c r="M243" s="282">
        <f t="shared" si="297"/>
        <v>0</v>
      </c>
      <c r="N243" s="282">
        <f t="shared" ref="N243:P243" si="298">N$78 * N213</f>
        <v>0</v>
      </c>
      <c r="O243" s="282">
        <f t="shared" si="298"/>
        <v>0</v>
      </c>
      <c r="P243" s="282">
        <f t="shared" si="298"/>
        <v>0</v>
      </c>
      <c r="Q243" s="282">
        <f t="shared" ref="Q243:S243" si="299">Q$78 * Q213</f>
        <v>0</v>
      </c>
      <c r="R243" s="282">
        <f t="shared" si="299"/>
        <v>0</v>
      </c>
      <c r="S243" s="282">
        <f t="shared" si="299"/>
        <v>0</v>
      </c>
      <c r="T243" s="282">
        <f t="shared" ref="T243:U243" si="300">T$78 * T213</f>
        <v>0</v>
      </c>
      <c r="U243" s="282">
        <f t="shared" si="300"/>
        <v>0</v>
      </c>
      <c r="V243" s="282">
        <f t="shared" ref="V243:W243" si="301">V$78 * V213</f>
        <v>0</v>
      </c>
      <c r="W243" s="282">
        <f t="shared" si="301"/>
        <v>0</v>
      </c>
      <c r="X243" s="282">
        <f t="shared" ref="X243:Y243" si="302">X$78 * X213</f>
        <v>0</v>
      </c>
      <c r="Y243" s="282">
        <f t="shared" si="302"/>
        <v>0</v>
      </c>
      <c r="Z243" s="268"/>
      <c r="AA243" s="268"/>
    </row>
    <row r="244" spans="2:27" x14ac:dyDescent="0.25">
      <c r="D244"/>
      <c r="F244" t="s">
        <v>197</v>
      </c>
      <c r="G244" t="s">
        <v>272</v>
      </c>
      <c r="H244" s="268"/>
      <c r="I244" s="268"/>
      <c r="J244" s="282">
        <f t="shared" ref="J244:K244" si="303">J$78 * J214</f>
        <v>0</v>
      </c>
      <c r="K244" s="282">
        <f t="shared" si="303"/>
        <v>0</v>
      </c>
      <c r="L244" s="282">
        <f t="shared" ref="L244:M244" si="304">L$78 * L214</f>
        <v>0</v>
      </c>
      <c r="M244" s="282">
        <f t="shared" si="304"/>
        <v>0</v>
      </c>
      <c r="N244" s="282">
        <f t="shared" ref="N244:P244" si="305">N$78 * N214</f>
        <v>3.4461722841281801E-2</v>
      </c>
      <c r="O244" s="282">
        <f t="shared" si="305"/>
        <v>0</v>
      </c>
      <c r="P244" s="282">
        <f t="shared" si="305"/>
        <v>0</v>
      </c>
      <c r="Q244" s="282">
        <f t="shared" ref="Q244:S244" si="306">Q$78 * Q214</f>
        <v>0</v>
      </c>
      <c r="R244" s="282">
        <f t="shared" si="306"/>
        <v>0</v>
      </c>
      <c r="S244" s="282">
        <f t="shared" si="306"/>
        <v>0</v>
      </c>
      <c r="T244" s="282">
        <f t="shared" ref="T244:U244" si="307">T$78 * T214</f>
        <v>2.9589914980525905E-2</v>
      </c>
      <c r="U244" s="282">
        <f t="shared" si="307"/>
        <v>0</v>
      </c>
      <c r="V244" s="282">
        <f t="shared" ref="V244:W244" si="308">V$78 * V214</f>
        <v>2.919984077174308E-2</v>
      </c>
      <c r="W244" s="282">
        <f t="shared" si="308"/>
        <v>0</v>
      </c>
      <c r="X244" s="282">
        <f t="shared" ref="X244:Y244" si="309">X$78 * X214</f>
        <v>2.8809766562960252E-2</v>
      </c>
      <c r="Y244" s="282">
        <f t="shared" si="309"/>
        <v>0</v>
      </c>
      <c r="Z244" s="268"/>
      <c r="AA244" s="268"/>
    </row>
    <row r="245" spans="2:27" x14ac:dyDescent="0.25">
      <c r="D245"/>
      <c r="F245" t="s">
        <v>198</v>
      </c>
      <c r="G245" t="s">
        <v>272</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1.2140298875958778E-2</v>
      </c>
      <c r="U245" s="282">
        <f t="shared" si="314"/>
        <v>0</v>
      </c>
      <c r="V245" s="282">
        <f t="shared" ref="V245:W245" si="315">V$78 * V215</f>
        <v>1.198025727119096E-2</v>
      </c>
      <c r="W245" s="282">
        <f t="shared" si="315"/>
        <v>0</v>
      </c>
      <c r="X245" s="282">
        <f t="shared" ref="X245:Y245" si="316">X$78 * X215</f>
        <v>0</v>
      </c>
      <c r="Y245" s="282">
        <f t="shared" si="316"/>
        <v>0</v>
      </c>
      <c r="Z245" s="268"/>
      <c r="AA245" s="268"/>
    </row>
    <row r="246" spans="2:27" x14ac:dyDescent="0.25">
      <c r="D246"/>
      <c r="F246" t="s">
        <v>199</v>
      </c>
      <c r="G246" t="s">
        <v>272</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2.9959890953409698E-2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25">
      <c r="D247"/>
      <c r="F247" t="s">
        <v>334</v>
      </c>
      <c r="G247" t="s">
        <v>272</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25">
      <c r="D248"/>
      <c r="F248" s="96" t="s">
        <v>335</v>
      </c>
      <c r="G248" s="96" t="s">
        <v>272</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25">
      <c r="C249" s="105"/>
      <c r="J249" s="106"/>
      <c r="K249" s="106"/>
      <c r="L249" s="106"/>
      <c r="M249" s="106"/>
      <c r="N249" s="106"/>
      <c r="O249" s="106"/>
      <c r="P249" s="106"/>
      <c r="Q249" s="106"/>
      <c r="R249" s="106"/>
      <c r="S249" s="106"/>
      <c r="T249" s="106"/>
      <c r="U249" s="106"/>
      <c r="V249" s="106"/>
      <c r="W249" s="106"/>
      <c r="X249" s="106"/>
      <c r="Y249" s="106"/>
    </row>
    <row r="250" spans="2:27" x14ac:dyDescent="0.25">
      <c r="E250" t="s">
        <v>641</v>
      </c>
      <c r="G250" t="s">
        <v>272</v>
      </c>
      <c r="H250" s="268"/>
      <c r="I250" s="268" t="s">
        <v>154</v>
      </c>
      <c r="J250" s="297">
        <f t="shared" ref="J250:K250" si="324">SUM(J223:J234,J237:J248)</f>
        <v>0</v>
      </c>
      <c r="K250" s="297">
        <f t="shared" si="324"/>
        <v>0</v>
      </c>
      <c r="L250" s="297">
        <f t="shared" ref="L250:M250" si="325">SUM(L223:L234,L237:L248)</f>
        <v>0</v>
      </c>
      <c r="M250" s="297">
        <f t="shared" si="325"/>
        <v>0</v>
      </c>
      <c r="N250" s="297">
        <f t="shared" ref="N250:P250" si="326">SUM(N223:N234,N237:N248)</f>
        <v>0.2164864146325251</v>
      </c>
      <c r="O250" s="297">
        <f t="shared" si="326"/>
        <v>0.11781123493667237</v>
      </c>
      <c r="P250" s="297">
        <f t="shared" si="326"/>
        <v>8.1663719751251224E-2</v>
      </c>
      <c r="Q250" s="297">
        <f t="shared" ref="Q250:S250" si="327">SUM(Q223:Q234,Q237:Q248)</f>
        <v>0</v>
      </c>
      <c r="R250" s="297">
        <f t="shared" si="327"/>
        <v>0</v>
      </c>
      <c r="S250" s="297">
        <f t="shared" si="327"/>
        <v>0</v>
      </c>
      <c r="T250" s="297">
        <f t="shared" ref="T250:U250" si="328">SUM(T223:T234,T237:T248)</f>
        <v>0.26363615332089374</v>
      </c>
      <c r="U250" s="297">
        <f t="shared" si="328"/>
        <v>0</v>
      </c>
      <c r="V250" s="297">
        <f t="shared" ref="V250:W250" si="329">SUM(V223:V234,V237:V248)</f>
        <v>0.18939763111613869</v>
      </c>
      <c r="W250" s="297">
        <f t="shared" si="329"/>
        <v>0</v>
      </c>
      <c r="X250" s="297">
        <f t="shared" ref="X250:Y250" si="330">SUM(X223:X234,X237:X248)</f>
        <v>0.15857605975235456</v>
      </c>
      <c r="Y250" s="297">
        <f t="shared" si="330"/>
        <v>0</v>
      </c>
      <c r="Z250" s="268"/>
      <c r="AA250" s="268" t="s">
        <v>640</v>
      </c>
    </row>
    <row r="251" spans="2:27" x14ac:dyDescent="0.25">
      <c r="C251" s="105"/>
    </row>
    <row r="252" spans="2:27" x14ac:dyDescent="0.25">
      <c r="B252" s="85" t="s">
        <v>231</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25">
      <c r="E254" t="s">
        <v>232</v>
      </c>
      <c r="G254" s="6" t="s">
        <v>56</v>
      </c>
      <c r="H254" s="113">
        <f t="array" ref="H254">SUM(IF(ISERROR(H21:Y250), 1))</f>
        <v>0</v>
      </c>
    </row>
    <row r="256" spans="2:27" x14ac:dyDescent="0.25">
      <c r="B256" s="85" t="s">
        <v>107</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H165 &amp; IF(H165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673</v>
      </c>
      <c r="E9"/>
    </row>
    <row r="10" spans="1:27" x14ac:dyDescent="0.25">
      <c r="D10" s="134" t="s">
        <v>674</v>
      </c>
      <c r="E10"/>
    </row>
    <row r="11" spans="1:27" x14ac:dyDescent="0.25">
      <c r="D11" s="86" t="s">
        <v>675</v>
      </c>
      <c r="E11"/>
    </row>
    <row r="12" spans="1:27" x14ac:dyDescent="0.25">
      <c r="D12" s="134" t="s">
        <v>676</v>
      </c>
      <c r="E12"/>
    </row>
    <row r="14" spans="1:27" x14ac:dyDescent="0.25">
      <c r="B14" s="85" t="s">
        <v>677</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25">
      <c r="C16" s="93" t="str">
        <f ca="1">INDEX('Version control'!$H$41:$H$64,MATCH($A$1,'Version control'!$F$41:$F$64,0),1)&amp;"-A: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25">
      <c r="D17"/>
      <c r="E17" s="75"/>
      <c r="I17" t="s">
        <v>154</v>
      </c>
      <c r="AA17" t="s">
        <v>678</v>
      </c>
    </row>
    <row r="18" spans="3:27" x14ac:dyDescent="0.25">
      <c r="C18" s="105"/>
      <c r="E18" t="s">
        <v>506</v>
      </c>
      <c r="G18" t="s">
        <v>212</v>
      </c>
      <c r="J18" s="167">
        <f>'Volume adjustments'!J275</f>
        <v>1555970.1026352285</v>
      </c>
      <c r="K18" s="167">
        <f>'Volume adjustments'!K275</f>
        <v>0</v>
      </c>
      <c r="L18" s="167">
        <f>'Volume adjustments'!L275</f>
        <v>142887.74752632907</v>
      </c>
      <c r="M18" s="167">
        <f>'Volume adjustments'!M275</f>
        <v>0</v>
      </c>
      <c r="N18" s="167">
        <f>'Volume adjustments'!N275</f>
        <v>8553.6761507862702</v>
      </c>
      <c r="O18" s="167">
        <f>'Volume adjustments'!O275</f>
        <v>1727.8306187910828</v>
      </c>
      <c r="P18" s="167">
        <f>'Volume adjustments'!P275</f>
        <v>1128.3423922071754</v>
      </c>
      <c r="Q18" s="167">
        <f>'Volume adjustments'!Q275</f>
        <v>2437</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304.24933518428963</v>
      </c>
      <c r="Y18" s="167">
        <f>'Volume adjustments'!Y275</f>
        <v>0</v>
      </c>
    </row>
    <row r="19" spans="3:27" x14ac:dyDescent="0.25">
      <c r="C19" s="105"/>
      <c r="E19"/>
      <c r="J19" s="167"/>
      <c r="K19" s="167"/>
      <c r="L19" s="167"/>
      <c r="M19" s="167"/>
      <c r="N19" s="167"/>
      <c r="O19" s="167"/>
      <c r="P19" s="167"/>
      <c r="Q19" s="167"/>
      <c r="R19" s="167"/>
      <c r="S19" s="167"/>
      <c r="T19" s="167"/>
      <c r="U19" s="167"/>
      <c r="V19" s="167"/>
      <c r="W19" s="167"/>
      <c r="X19" s="167"/>
      <c r="Y19" s="167"/>
    </row>
    <row r="20" spans="3:27" x14ac:dyDescent="0.25">
      <c r="C20" s="105"/>
      <c r="E20" t="s">
        <v>428</v>
      </c>
      <c r="G20" t="s">
        <v>172</v>
      </c>
      <c r="H20" s="97"/>
      <c r="J20" s="167">
        <f>'System peak demand'!J200</f>
        <v>1396.8491733090075</v>
      </c>
      <c r="K20" s="167">
        <f>'System peak demand'!K200</f>
        <v>22.469215119639088</v>
      </c>
      <c r="L20" s="167">
        <f>'System peak demand'!L200</f>
        <v>460.78602394813072</v>
      </c>
      <c r="M20" s="167">
        <f>'System peak demand'!M200</f>
        <v>8.9672647610951586</v>
      </c>
      <c r="N20" s="167">
        <f>'System peak demand'!N200</f>
        <v>265.36394131308924</v>
      </c>
      <c r="O20" s="167">
        <f>'System peak demand'!O200</f>
        <v>123.0814124542609</v>
      </c>
      <c r="P20" s="167">
        <f>'System peak demand'!P200</f>
        <v>318.07388895427567</v>
      </c>
      <c r="Q20" s="167">
        <f>'System peak demand'!Q200</f>
        <v>24.592695836521987</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25">
      <c r="J21" s="106"/>
      <c r="K21" s="106"/>
      <c r="L21" s="106"/>
      <c r="M21" s="106"/>
      <c r="N21" s="106"/>
      <c r="O21" s="106"/>
      <c r="P21" s="106"/>
      <c r="Q21" s="106"/>
      <c r="R21" s="106"/>
      <c r="S21" s="106"/>
      <c r="T21" s="106"/>
      <c r="U21" s="106"/>
      <c r="V21" s="106"/>
      <c r="W21" s="106"/>
      <c r="X21" s="106"/>
      <c r="Y21" s="106"/>
    </row>
    <row r="22" spans="3:27" x14ac:dyDescent="0.25">
      <c r="C22" s="93" t="str">
        <f ca="1">INDEX('Version control'!$H$41:$H$64,MATCH($A$1,'Version control'!$F$41:$F$64,0),1)&amp;"-B: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25">
      <c r="D23"/>
      <c r="E23" s="75"/>
      <c r="I23" t="s">
        <v>154</v>
      </c>
      <c r="J23" s="106"/>
      <c r="K23" s="106"/>
      <c r="L23" s="106"/>
      <c r="M23" s="106"/>
      <c r="N23" s="106"/>
      <c r="O23" s="106"/>
      <c r="P23" s="106"/>
      <c r="Q23" s="106"/>
      <c r="R23" s="106"/>
      <c r="S23" s="106"/>
      <c r="T23" s="106"/>
      <c r="U23" s="106"/>
      <c r="V23" s="106"/>
      <c r="W23" s="106"/>
      <c r="X23" s="106"/>
      <c r="Y23" s="106"/>
      <c r="AA23" t="s">
        <v>678</v>
      </c>
    </row>
    <row r="24" spans="3:27" x14ac:dyDescent="0.25">
      <c r="C24" s="105"/>
      <c r="E24" s="75" t="s">
        <v>578</v>
      </c>
      <c r="J24" s="106"/>
      <c r="K24" s="106"/>
      <c r="L24" s="106"/>
      <c r="M24" s="106"/>
      <c r="N24" s="106"/>
      <c r="O24" s="106"/>
      <c r="P24" s="106"/>
      <c r="Q24" s="106"/>
      <c r="R24" s="106"/>
      <c r="S24" s="106"/>
      <c r="T24" s="106"/>
      <c r="U24" s="106"/>
      <c r="V24" s="106"/>
      <c r="W24" s="106"/>
      <c r="X24" s="106"/>
      <c r="Y24" s="106"/>
    </row>
    <row r="25" spans="3:27" x14ac:dyDescent="0.25">
      <c r="C25" s="105"/>
      <c r="E25" s="86"/>
      <c r="F25" s="95" t="s">
        <v>189</v>
      </c>
      <c r="G25" s="95" t="s">
        <v>271</v>
      </c>
      <c r="H25" s="95"/>
      <c r="I25" s="95"/>
      <c r="J25" s="117"/>
      <c r="K25" s="117"/>
      <c r="L25" s="117"/>
      <c r="M25" s="117"/>
      <c r="N25" s="117"/>
      <c r="O25" s="117"/>
      <c r="P25" s="117"/>
      <c r="Q25" s="117"/>
      <c r="R25" s="117"/>
      <c r="S25" s="117"/>
      <c r="T25" s="117"/>
      <c r="U25" s="117"/>
      <c r="V25" s="117"/>
      <c r="W25" s="117"/>
      <c r="X25" s="117"/>
      <c r="Y25" s="117"/>
    </row>
    <row r="26" spans="3:27" x14ac:dyDescent="0.25">
      <c r="C26" s="105"/>
      <c r="E26" s="86"/>
      <c r="F26" t="s">
        <v>191</v>
      </c>
      <c r="G26" t="s">
        <v>271</v>
      </c>
      <c r="J26" s="119"/>
      <c r="K26" s="119"/>
      <c r="L26" s="119"/>
      <c r="M26" s="119"/>
      <c r="N26" s="119"/>
      <c r="O26" s="119"/>
      <c r="P26" s="119"/>
      <c r="Q26" s="119"/>
      <c r="R26" s="119"/>
      <c r="S26" s="119"/>
      <c r="T26" s="119"/>
      <c r="U26" s="119"/>
      <c r="V26" s="119"/>
      <c r="W26" s="119"/>
      <c r="X26" s="119"/>
      <c r="Y26" s="119"/>
    </row>
    <row r="27" spans="3:27" x14ac:dyDescent="0.25">
      <c r="C27" s="105"/>
      <c r="E27" s="86"/>
      <c r="F27" t="s">
        <v>192</v>
      </c>
      <c r="G27" t="s">
        <v>271</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25">
      <c r="C28" s="105"/>
      <c r="E28" s="86"/>
      <c r="F28" t="s">
        <v>193</v>
      </c>
      <c r="G28" t="s">
        <v>271</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25">
      <c r="C29" s="105"/>
      <c r="E29" s="86"/>
      <c r="F29" t="s">
        <v>194</v>
      </c>
      <c r="G29" t="s">
        <v>271</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25">
      <c r="C30" s="105"/>
      <c r="E30" s="86"/>
      <c r="F30" t="s">
        <v>195</v>
      </c>
      <c r="G30" t="s">
        <v>271</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25">
      <c r="C31" s="105"/>
      <c r="E31" s="86"/>
      <c r="F31" t="s">
        <v>196</v>
      </c>
      <c r="G31" t="s">
        <v>271</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25">
      <c r="C32" s="105"/>
      <c r="E32" s="86"/>
      <c r="F32" t="s">
        <v>197</v>
      </c>
      <c r="G32" t="s">
        <v>271</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25">
      <c r="C33" s="105"/>
      <c r="E33" s="86"/>
      <c r="F33" t="s">
        <v>198</v>
      </c>
      <c r="G33" t="s">
        <v>271</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25">
      <c r="C34" s="105"/>
      <c r="E34" s="86"/>
      <c r="F34" t="s">
        <v>199</v>
      </c>
      <c r="G34" t="s">
        <v>271</v>
      </c>
      <c r="J34" s="167">
        <f>'Capacity charges'!J271</f>
        <v>4.4164221503343226</v>
      </c>
      <c r="K34" s="167">
        <f>'Capacity charges'!K271</f>
        <v>0</v>
      </c>
      <c r="L34" s="167">
        <f>'Capacity charges'!L271</f>
        <v>4.4164221503343226</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25">
      <c r="C35" s="105"/>
      <c r="E35" s="86"/>
      <c r="F35" t="s">
        <v>334</v>
      </c>
      <c r="G35" t="s">
        <v>271</v>
      </c>
      <c r="J35" s="119"/>
      <c r="K35" s="119"/>
      <c r="L35" s="119"/>
      <c r="M35" s="119"/>
      <c r="N35" s="119"/>
      <c r="O35" s="119"/>
      <c r="P35" s="119"/>
      <c r="Q35" s="119"/>
      <c r="R35" s="119"/>
      <c r="S35" s="119"/>
      <c r="T35" s="119"/>
      <c r="U35" s="119"/>
      <c r="V35" s="119"/>
      <c r="W35" s="119"/>
      <c r="X35" s="119"/>
      <c r="Y35" s="119"/>
    </row>
    <row r="36" spans="3:25" x14ac:dyDescent="0.25">
      <c r="C36" s="105"/>
      <c r="E36" s="86"/>
      <c r="F36" s="96" t="s">
        <v>335</v>
      </c>
      <c r="G36" s="96" t="s">
        <v>271</v>
      </c>
      <c r="H36" s="96"/>
      <c r="I36" s="96"/>
      <c r="J36" s="121"/>
      <c r="K36" s="121"/>
      <c r="L36" s="121"/>
      <c r="M36" s="121"/>
      <c r="N36" s="121"/>
      <c r="O36" s="121"/>
      <c r="P36" s="121"/>
      <c r="Q36" s="121"/>
      <c r="R36" s="121"/>
      <c r="S36" s="121"/>
      <c r="T36" s="121"/>
      <c r="U36" s="121"/>
      <c r="V36" s="121"/>
      <c r="W36" s="121"/>
      <c r="X36" s="121"/>
      <c r="Y36" s="121"/>
    </row>
    <row r="37" spans="3:25" x14ac:dyDescent="0.25">
      <c r="C37" s="105"/>
      <c r="D37"/>
      <c r="E37" s="86"/>
      <c r="J37" s="106"/>
      <c r="K37" s="106"/>
      <c r="L37" s="106"/>
      <c r="M37" s="106"/>
      <c r="N37" s="106"/>
      <c r="O37" s="106"/>
      <c r="P37" s="106"/>
      <c r="Q37" s="106"/>
      <c r="R37" s="106"/>
      <c r="S37" s="106"/>
      <c r="T37" s="106"/>
      <c r="U37" s="106"/>
      <c r="V37" s="106"/>
      <c r="W37" s="106"/>
      <c r="X37" s="106"/>
      <c r="Y37" s="106"/>
    </row>
    <row r="38" spans="3:25" x14ac:dyDescent="0.25">
      <c r="C38" s="105"/>
      <c r="E38" s="75" t="s">
        <v>579</v>
      </c>
      <c r="J38" s="106"/>
      <c r="K38" s="106"/>
      <c r="L38" s="106"/>
      <c r="M38" s="106"/>
      <c r="N38" s="106"/>
      <c r="O38" s="106"/>
      <c r="P38" s="106"/>
      <c r="Q38" s="106"/>
      <c r="R38" s="106"/>
      <c r="S38" s="106"/>
      <c r="T38" s="106"/>
      <c r="U38" s="106"/>
      <c r="V38" s="106"/>
      <c r="W38" s="106"/>
      <c r="X38" s="106"/>
      <c r="Y38" s="106"/>
    </row>
    <row r="39" spans="3:25" x14ac:dyDescent="0.25">
      <c r="C39" s="105"/>
      <c r="F39" s="95" t="s">
        <v>189</v>
      </c>
      <c r="G39" s="95" t="s">
        <v>271</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25">
      <c r="C40" s="105"/>
      <c r="F40" t="s">
        <v>191</v>
      </c>
      <c r="G40" t="s">
        <v>271</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25">
      <c r="C41" s="105"/>
      <c r="F41" t="s">
        <v>192</v>
      </c>
      <c r="G41" t="s">
        <v>271</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25">
      <c r="C42" s="105"/>
      <c r="F42" t="s">
        <v>193</v>
      </c>
      <c r="G42" t="s">
        <v>271</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25">
      <c r="C43" s="105"/>
      <c r="F43" t="s">
        <v>194</v>
      </c>
      <c r="G43" t="s">
        <v>271</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25">
      <c r="C44" s="105"/>
      <c r="F44" t="s">
        <v>195</v>
      </c>
      <c r="G44" t="s">
        <v>271</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25">
      <c r="C45" s="105"/>
      <c r="F45" t="s">
        <v>196</v>
      </c>
      <c r="G45" t="s">
        <v>271</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25">
      <c r="C46" s="105"/>
      <c r="F46" t="s">
        <v>197</v>
      </c>
      <c r="G46" t="s">
        <v>271</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25">
      <c r="C47" s="105"/>
      <c r="F47" t="s">
        <v>198</v>
      </c>
      <c r="G47" t="s">
        <v>271</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25">
      <c r="C48" s="105"/>
      <c r="F48" t="s">
        <v>199</v>
      </c>
      <c r="G48" t="s">
        <v>271</v>
      </c>
      <c r="J48" s="167">
        <f>'Capacity charges'!J285</f>
        <v>3.1693472489242054</v>
      </c>
      <c r="K48" s="167">
        <f>'Capacity charges'!K285</f>
        <v>0</v>
      </c>
      <c r="L48" s="167">
        <f>'Capacity charges'!L285</f>
        <v>3.1693472489242054</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25">
      <c r="C49" s="105"/>
      <c r="F49" t="s">
        <v>334</v>
      </c>
      <c r="G49" t="s">
        <v>271</v>
      </c>
      <c r="J49" s="119"/>
      <c r="K49" s="119"/>
      <c r="L49" s="119"/>
      <c r="M49" s="119"/>
      <c r="N49" s="119"/>
      <c r="O49" s="119"/>
      <c r="P49" s="119"/>
      <c r="Q49" s="119"/>
      <c r="R49" s="119"/>
      <c r="S49" s="119"/>
      <c r="T49" s="119"/>
      <c r="U49" s="119"/>
      <c r="V49" s="119"/>
      <c r="W49" s="119"/>
      <c r="X49" s="119"/>
      <c r="Y49" s="119"/>
    </row>
    <row r="50" spans="3:27" x14ac:dyDescent="0.25">
      <c r="C50" s="105"/>
      <c r="F50" s="96" t="s">
        <v>335</v>
      </c>
      <c r="G50" s="96" t="s">
        <v>271</v>
      </c>
      <c r="H50" s="96"/>
      <c r="I50" s="96"/>
      <c r="J50" s="121"/>
      <c r="K50" s="121"/>
      <c r="L50" s="121"/>
      <c r="M50" s="121"/>
      <c r="N50" s="121"/>
      <c r="O50" s="121"/>
      <c r="P50" s="121"/>
      <c r="Q50" s="121"/>
      <c r="R50" s="121"/>
      <c r="S50" s="121"/>
      <c r="T50" s="121"/>
      <c r="U50" s="121"/>
      <c r="V50" s="121"/>
      <c r="W50" s="121"/>
      <c r="X50" s="121"/>
      <c r="Y50" s="121"/>
    </row>
    <row r="51" spans="3:27" x14ac:dyDescent="0.25">
      <c r="C51" s="105"/>
      <c r="J51" s="106"/>
      <c r="K51" s="106"/>
      <c r="L51" s="106"/>
      <c r="M51" s="106"/>
      <c r="N51" s="106"/>
      <c r="O51" s="106"/>
      <c r="P51" s="106"/>
      <c r="Q51" s="106"/>
      <c r="R51" s="106"/>
      <c r="S51" s="106"/>
      <c r="T51" s="106"/>
      <c r="U51" s="106"/>
      <c r="V51" s="106"/>
      <c r="W51" s="106"/>
      <c r="X51" s="106"/>
      <c r="Y51" s="106"/>
    </row>
    <row r="52" spans="3:27" x14ac:dyDescent="0.25">
      <c r="C52" s="93" t="str">
        <f ca="1">INDEX('Version control'!$H$41:$H$64,MATCH($A$1,'Version control'!$F$41:$F$64,0),1)&amp;"-C: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25">
      <c r="D53"/>
    </row>
    <row r="54" spans="3:27" x14ac:dyDescent="0.25">
      <c r="C54" s="75"/>
      <c r="D54"/>
      <c r="E54" s="75" t="s">
        <v>579</v>
      </c>
      <c r="I54" t="s">
        <v>154</v>
      </c>
      <c r="J54" s="106"/>
      <c r="K54" s="106"/>
      <c r="L54" s="106"/>
      <c r="M54" s="106"/>
      <c r="N54" s="106"/>
      <c r="O54" s="106"/>
      <c r="P54" s="106"/>
      <c r="Q54" s="106"/>
      <c r="R54" s="106"/>
      <c r="S54" s="106"/>
      <c r="T54" s="106"/>
      <c r="U54" s="106"/>
      <c r="V54" s="106"/>
      <c r="W54" s="106"/>
      <c r="X54" s="106"/>
      <c r="Y54" s="106"/>
      <c r="AA54" t="s">
        <v>679</v>
      </c>
    </row>
    <row r="55" spans="3:27" x14ac:dyDescent="0.25">
      <c r="C55" s="105"/>
      <c r="D55"/>
      <c r="F55" s="95" t="s">
        <v>334</v>
      </c>
      <c r="G55" s="95" t="s">
        <v>270</v>
      </c>
      <c r="H55" s="95"/>
      <c r="I55" s="95"/>
      <c r="J55" s="171">
        <f>'Service model charges'!J42</f>
        <v>2.9592353325390395</v>
      </c>
      <c r="K55" s="171">
        <f>'Service model charges'!K42</f>
        <v>0</v>
      </c>
      <c r="L55" s="171">
        <f>'Service model charges'!L42</f>
        <v>8.676881277513445</v>
      </c>
      <c r="M55" s="171">
        <f>'Service model charges'!M42</f>
        <v>0</v>
      </c>
      <c r="N55" s="171">
        <f>'Service model charges'!N42</f>
        <v>17.311572695706502</v>
      </c>
      <c r="O55" s="171">
        <f>'Service model charges'!O42</f>
        <v>13.513542855749364</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25">
      <c r="C56" s="105"/>
      <c r="D56"/>
      <c r="F56" s="96" t="s">
        <v>335</v>
      </c>
      <c r="G56" s="96" t="s">
        <v>270</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124.75480667074974</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78.076882971343878</v>
      </c>
      <c r="Y56" s="172">
        <f>'Service model charges'!Y43</f>
        <v>78.076882971343878</v>
      </c>
    </row>
    <row r="57" spans="3:27" x14ac:dyDescent="0.25">
      <c r="C57" s="105"/>
      <c r="D57"/>
      <c r="F57" s="2"/>
    </row>
    <row r="58" spans="3:27" x14ac:dyDescent="0.25">
      <c r="C58" s="93" t="str">
        <f ca="1">INDEX('Version control'!$H$41:$H$64,MATCH($A$1,'Version control'!$F$41:$F$64,0),1)&amp;"-D: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25">
      <c r="C59" s="75"/>
      <c r="D59"/>
      <c r="E59"/>
    </row>
    <row r="60" spans="3:27" x14ac:dyDescent="0.25">
      <c r="D60" s="86" t="s">
        <v>680</v>
      </c>
      <c r="E60"/>
    </row>
    <row r="61" spans="3:27" x14ac:dyDescent="0.25">
      <c r="D61" s="86" t="s">
        <v>681</v>
      </c>
      <c r="E61"/>
    </row>
    <row r="62" spans="3:27" x14ac:dyDescent="0.25">
      <c r="D62" s="86"/>
      <c r="E62"/>
    </row>
    <row r="63" spans="3:27" x14ac:dyDescent="0.25">
      <c r="E63" t="s">
        <v>682</v>
      </c>
      <c r="G63" t="s">
        <v>149</v>
      </c>
      <c r="I63" t="s">
        <v>154</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683</v>
      </c>
    </row>
    <row r="65" spans="2:27" x14ac:dyDescent="0.25">
      <c r="B65" s="85" t="s">
        <v>684</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25">
      <c r="J66" s="106"/>
      <c r="K66" s="106"/>
      <c r="L66" s="106"/>
      <c r="M66" s="106"/>
      <c r="N66" s="106"/>
      <c r="O66" s="106"/>
      <c r="P66" s="106"/>
      <c r="Q66" s="106"/>
      <c r="R66" s="106"/>
      <c r="S66" s="106"/>
      <c r="T66" s="106"/>
      <c r="U66" s="106"/>
      <c r="V66" s="106"/>
      <c r="W66" s="106"/>
      <c r="X66" s="106"/>
      <c r="Y66" s="106"/>
    </row>
    <row r="67" spans="2:27" x14ac:dyDescent="0.25">
      <c r="C67" s="93" t="str">
        <f ca="1">INDEX('Version control'!$H$41:$H$64,MATCH($A$1,'Version control'!$F$41:$F$64,0),1)&amp;"-E: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25">
      <c r="D68"/>
      <c r="E68" s="75"/>
      <c r="I68" t="s">
        <v>154</v>
      </c>
      <c r="J68" s="106"/>
      <c r="K68" s="106"/>
      <c r="L68" s="106"/>
      <c r="M68" s="106"/>
      <c r="N68" s="106"/>
      <c r="O68" s="106"/>
      <c r="P68" s="106"/>
      <c r="Q68" s="106"/>
      <c r="R68" s="106"/>
      <c r="S68" s="106"/>
      <c r="T68" s="106"/>
      <c r="U68" s="106"/>
      <c r="V68" s="106"/>
      <c r="W68" s="106"/>
      <c r="X68" s="106"/>
      <c r="Y68" s="106"/>
      <c r="AA68" t="s">
        <v>683</v>
      </c>
    </row>
    <row r="69" spans="2:27" x14ac:dyDescent="0.25">
      <c r="C69" s="105"/>
      <c r="D69"/>
      <c r="E69" s="75" t="s">
        <v>578</v>
      </c>
      <c r="J69" s="106"/>
      <c r="K69" s="106"/>
      <c r="L69" s="106"/>
      <c r="M69" s="106"/>
      <c r="N69" s="106"/>
      <c r="O69" s="106"/>
      <c r="P69" s="106"/>
      <c r="Q69" s="106"/>
      <c r="R69" s="106"/>
      <c r="S69" s="106"/>
      <c r="T69" s="106"/>
      <c r="U69" s="106"/>
      <c r="V69" s="106"/>
      <c r="W69" s="106"/>
      <c r="X69" s="106"/>
      <c r="Y69" s="106"/>
    </row>
    <row r="70" spans="2:27" x14ac:dyDescent="0.25">
      <c r="C70" s="105"/>
      <c r="D70"/>
      <c r="E70" s="86"/>
      <c r="F70" s="95" t="s">
        <v>189</v>
      </c>
      <c r="G70" s="95" t="s">
        <v>685</v>
      </c>
      <c r="H70" s="95"/>
      <c r="I70" s="95"/>
      <c r="J70" s="117"/>
      <c r="K70" s="117"/>
      <c r="L70" s="117"/>
      <c r="M70" s="117"/>
      <c r="N70" s="117"/>
      <c r="O70" s="117"/>
      <c r="P70" s="117"/>
      <c r="Q70" s="117"/>
      <c r="R70" s="117"/>
      <c r="S70" s="117"/>
      <c r="T70" s="117"/>
      <c r="U70" s="117"/>
      <c r="V70" s="117"/>
      <c r="W70" s="117"/>
      <c r="X70" s="117"/>
      <c r="Y70" s="117"/>
    </row>
    <row r="71" spans="2:27" x14ac:dyDescent="0.25">
      <c r="C71" s="105"/>
      <c r="D71"/>
      <c r="E71" s="86"/>
      <c r="F71" t="s">
        <v>191</v>
      </c>
      <c r="G71" t="s">
        <v>685</v>
      </c>
      <c r="J71" s="119"/>
      <c r="K71" s="119"/>
      <c r="L71" s="119"/>
      <c r="M71" s="119"/>
      <c r="N71" s="119"/>
      <c r="O71" s="119"/>
      <c r="P71" s="119"/>
      <c r="Q71" s="119"/>
      <c r="R71" s="119"/>
      <c r="S71" s="119"/>
      <c r="T71" s="119"/>
      <c r="U71" s="119"/>
      <c r="V71" s="119"/>
      <c r="W71" s="119"/>
      <c r="X71" s="119"/>
      <c r="Y71" s="119"/>
    </row>
    <row r="72" spans="2:27" x14ac:dyDescent="0.25">
      <c r="C72" s="105"/>
      <c r="D72"/>
      <c r="E72" s="86"/>
      <c r="F72" t="s">
        <v>192</v>
      </c>
      <c r="G72" t="s">
        <v>685</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25">
      <c r="C73" s="105"/>
      <c r="D73"/>
      <c r="E73" s="86"/>
      <c r="F73" t="s">
        <v>193</v>
      </c>
      <c r="G73" t="s">
        <v>685</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25">
      <c r="C74" s="105"/>
      <c r="D74"/>
      <c r="E74" s="86"/>
      <c r="F74" t="s">
        <v>194</v>
      </c>
      <c r="G74" t="s">
        <v>685</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25">
      <c r="C75" s="105"/>
      <c r="D75"/>
      <c r="E75" s="86"/>
      <c r="F75" t="s">
        <v>195</v>
      </c>
      <c r="G75" t="s">
        <v>685</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25">
      <c r="C76" s="105"/>
      <c r="D76"/>
      <c r="E76" s="86"/>
      <c r="F76" t="s">
        <v>196</v>
      </c>
      <c r="G76" t="s">
        <v>685</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25">
      <c r="C77" s="105"/>
      <c r="D77"/>
      <c r="E77" s="86"/>
      <c r="F77" t="s">
        <v>197</v>
      </c>
      <c r="G77" t="s">
        <v>685</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25">
      <c r="C78" s="105"/>
      <c r="D78"/>
      <c r="E78" s="86"/>
      <c r="F78" t="s">
        <v>198</v>
      </c>
      <c r="G78" t="s">
        <v>685</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25">
      <c r="C79" s="105"/>
      <c r="D79"/>
      <c r="E79" s="86"/>
      <c r="F79" t="s">
        <v>199</v>
      </c>
      <c r="G79" t="s">
        <v>685</v>
      </c>
      <c r="J79" s="168">
        <f t="shared" ref="J79:K79" si="49">J$20 * J34 * thousand / PowerFactor</f>
        <v>6493763.8207137762</v>
      </c>
      <c r="K79" s="168">
        <f t="shared" si="49"/>
        <v>0</v>
      </c>
      <c r="L79" s="168">
        <f t="shared" ref="L79:M79" si="50">L$20 * L34 * thousand / PowerFactor</f>
        <v>2142132.2133989539</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25">
      <c r="C80" s="105"/>
      <c r="D80"/>
      <c r="E80" s="86"/>
      <c r="F80" t="s">
        <v>334</v>
      </c>
      <c r="G80" t="s">
        <v>685</v>
      </c>
      <c r="J80" s="119"/>
      <c r="K80" s="119"/>
      <c r="L80" s="119"/>
      <c r="M80" s="119"/>
      <c r="N80" s="119"/>
      <c r="O80" s="119"/>
      <c r="P80" s="119"/>
      <c r="Q80" s="119"/>
      <c r="R80" s="119"/>
      <c r="S80" s="119"/>
      <c r="T80" s="119"/>
      <c r="U80" s="119"/>
      <c r="V80" s="119"/>
      <c r="W80" s="119"/>
      <c r="X80" s="119"/>
      <c r="Y80" s="119"/>
    </row>
    <row r="81" spans="3:25" x14ac:dyDescent="0.25">
      <c r="C81" s="105"/>
      <c r="D81"/>
      <c r="E81" s="86"/>
      <c r="F81" s="96" t="s">
        <v>335</v>
      </c>
      <c r="G81" s="96" t="s">
        <v>685</v>
      </c>
      <c r="H81" s="96"/>
      <c r="I81" s="96"/>
      <c r="J81" s="121"/>
      <c r="K81" s="121"/>
      <c r="L81" s="121"/>
      <c r="M81" s="121"/>
      <c r="N81" s="121"/>
      <c r="O81" s="121"/>
      <c r="P81" s="121"/>
      <c r="Q81" s="121"/>
      <c r="R81" s="121"/>
      <c r="S81" s="121"/>
      <c r="T81" s="121"/>
      <c r="U81" s="121"/>
      <c r="V81" s="121"/>
      <c r="W81" s="121"/>
      <c r="X81" s="121"/>
      <c r="Y81" s="121"/>
    </row>
    <row r="82" spans="3:25" x14ac:dyDescent="0.25">
      <c r="C82" s="105"/>
      <c r="D82"/>
      <c r="E82" s="86"/>
      <c r="J82" s="106"/>
      <c r="K82" s="106"/>
      <c r="L82" s="106"/>
      <c r="M82" s="106"/>
      <c r="N82" s="106"/>
      <c r="O82" s="106"/>
      <c r="P82" s="106"/>
      <c r="Q82" s="106"/>
      <c r="R82" s="106"/>
      <c r="S82" s="106"/>
      <c r="T82" s="106"/>
      <c r="U82" s="106"/>
      <c r="V82" s="106"/>
      <c r="W82" s="106"/>
      <c r="X82" s="106"/>
      <c r="Y82" s="106"/>
    </row>
    <row r="83" spans="3:25" x14ac:dyDescent="0.25">
      <c r="C83" s="105"/>
      <c r="D83"/>
      <c r="E83" s="75" t="s">
        <v>579</v>
      </c>
      <c r="J83" s="106"/>
      <c r="K83" s="106"/>
      <c r="L83" s="106"/>
      <c r="M83" s="106"/>
      <c r="N83" s="106"/>
      <c r="O83" s="106"/>
      <c r="P83" s="106"/>
      <c r="Q83" s="106"/>
      <c r="R83" s="106"/>
      <c r="S83" s="106"/>
      <c r="T83" s="106"/>
      <c r="U83" s="106"/>
      <c r="V83" s="106"/>
      <c r="W83" s="106"/>
      <c r="X83" s="106"/>
      <c r="Y83" s="106"/>
    </row>
    <row r="84" spans="3:25" x14ac:dyDescent="0.25">
      <c r="C84" s="105"/>
      <c r="D84"/>
      <c r="F84" s="95" t="s">
        <v>189</v>
      </c>
      <c r="G84" s="95" t="s">
        <v>685</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25">
      <c r="C85" s="105"/>
      <c r="D85"/>
      <c r="F85" t="s">
        <v>191</v>
      </c>
      <c r="G85" t="s">
        <v>685</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25">
      <c r="C86" s="105"/>
      <c r="D86"/>
      <c r="F86" t="s">
        <v>192</v>
      </c>
      <c r="G86" t="s">
        <v>685</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25">
      <c r="C87" s="105"/>
      <c r="D87"/>
      <c r="F87" t="s">
        <v>193</v>
      </c>
      <c r="G87" t="s">
        <v>685</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25">
      <c r="C88" s="105"/>
      <c r="D88"/>
      <c r="F88" t="s">
        <v>194</v>
      </c>
      <c r="G88" t="s">
        <v>685</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25">
      <c r="C89" s="105"/>
      <c r="D89"/>
      <c r="F89" t="s">
        <v>195</v>
      </c>
      <c r="G89" t="s">
        <v>685</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25">
      <c r="C90" s="105"/>
      <c r="D90"/>
      <c r="F90" t="s">
        <v>196</v>
      </c>
      <c r="G90" t="s">
        <v>685</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25">
      <c r="C91" s="105"/>
      <c r="D91"/>
      <c r="F91" t="s">
        <v>197</v>
      </c>
      <c r="G91" t="s">
        <v>685</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25">
      <c r="C92" s="105"/>
      <c r="D92"/>
      <c r="F92" t="s">
        <v>198</v>
      </c>
      <c r="G92" t="s">
        <v>685</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25">
      <c r="C93" s="105"/>
      <c r="D93"/>
      <c r="F93" t="s">
        <v>199</v>
      </c>
      <c r="G93" t="s">
        <v>685</v>
      </c>
      <c r="J93" s="168">
        <f t="shared" ref="J93:K93" si="119">J$20 * J48 * thousand / PowerFactor</f>
        <v>4660105.3521988988</v>
      </c>
      <c r="K93" s="168">
        <f t="shared" si="119"/>
        <v>0</v>
      </c>
      <c r="L93" s="168">
        <f t="shared" ref="L93:M93" si="120">L$20 * L48 * thousand / PowerFactor</f>
        <v>1537253.5972028752</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25">
      <c r="C94" s="105"/>
      <c r="D94"/>
      <c r="F94" t="s">
        <v>334</v>
      </c>
      <c r="G94" t="s">
        <v>685</v>
      </c>
      <c r="J94" s="119"/>
      <c r="K94" s="119"/>
      <c r="L94" s="119"/>
      <c r="M94" s="119"/>
      <c r="N94" s="119"/>
      <c r="O94" s="119"/>
      <c r="P94" s="119"/>
      <c r="Q94" s="119"/>
      <c r="R94" s="119"/>
      <c r="S94" s="119"/>
      <c r="T94" s="119"/>
      <c r="U94" s="119"/>
      <c r="V94" s="119"/>
      <c r="W94" s="119"/>
      <c r="X94" s="119"/>
      <c r="Y94" s="119"/>
    </row>
    <row r="95" spans="3:25" x14ac:dyDescent="0.25">
      <c r="C95" s="105"/>
      <c r="D95"/>
      <c r="F95" s="96" t="s">
        <v>335</v>
      </c>
      <c r="G95" s="96" t="s">
        <v>685</v>
      </c>
      <c r="H95" s="96"/>
      <c r="I95" s="96"/>
      <c r="J95" s="121"/>
      <c r="K95" s="121"/>
      <c r="L95" s="121"/>
      <c r="M95" s="121"/>
      <c r="N95" s="121"/>
      <c r="O95" s="121"/>
      <c r="P95" s="121"/>
      <c r="Q95" s="121"/>
      <c r="R95" s="121"/>
      <c r="S95" s="121"/>
      <c r="T95" s="121"/>
      <c r="U95" s="121"/>
      <c r="V95" s="121"/>
      <c r="W95" s="121"/>
      <c r="X95" s="121"/>
      <c r="Y95" s="121"/>
    </row>
    <row r="96" spans="3:25" x14ac:dyDescent="0.25">
      <c r="C96" s="105"/>
      <c r="J96" s="106"/>
      <c r="K96" s="106"/>
      <c r="L96" s="106"/>
      <c r="M96" s="106"/>
      <c r="N96" s="106"/>
      <c r="O96" s="106"/>
      <c r="P96" s="106"/>
      <c r="Q96" s="106"/>
      <c r="R96" s="106"/>
      <c r="S96" s="106"/>
      <c r="T96" s="106"/>
      <c r="U96" s="106"/>
      <c r="V96" s="106"/>
      <c r="W96" s="106"/>
      <c r="X96" s="106"/>
      <c r="Y96" s="106"/>
    </row>
    <row r="97" spans="3:27" x14ac:dyDescent="0.25">
      <c r="C97" s="93" t="str">
        <f ca="1">INDEX('Version control'!$H$41:$H$64,MATCH($A$1,'Version control'!$F$41:$F$64,0),1)&amp;"-F: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25">
      <c r="D98"/>
      <c r="E98" s="75"/>
      <c r="I98" t="s">
        <v>154</v>
      </c>
      <c r="J98" s="106"/>
      <c r="K98" s="106"/>
      <c r="L98" s="106"/>
      <c r="M98" s="106"/>
      <c r="N98" s="106"/>
      <c r="O98" s="106"/>
      <c r="P98" s="106"/>
      <c r="Q98" s="106"/>
      <c r="R98" s="106"/>
      <c r="S98" s="106"/>
      <c r="T98" s="106"/>
      <c r="U98" s="106"/>
      <c r="V98" s="106"/>
      <c r="W98" s="106"/>
      <c r="X98" s="106"/>
      <c r="Y98" s="106"/>
      <c r="AA98" t="s">
        <v>683</v>
      </c>
    </row>
    <row r="99" spans="3:27" x14ac:dyDescent="0.25">
      <c r="C99" s="105"/>
      <c r="D99"/>
      <c r="E99" s="75" t="s">
        <v>578</v>
      </c>
      <c r="J99" s="106"/>
      <c r="K99" s="106"/>
      <c r="L99" s="106"/>
      <c r="M99" s="106"/>
      <c r="N99" s="106"/>
      <c r="O99" s="106"/>
      <c r="P99" s="106"/>
      <c r="Q99" s="106"/>
      <c r="R99" s="106"/>
      <c r="S99" s="106"/>
      <c r="T99" s="106"/>
      <c r="U99" s="106"/>
      <c r="V99" s="106"/>
      <c r="W99" s="106"/>
      <c r="X99" s="106"/>
      <c r="Y99" s="106"/>
    </row>
    <row r="100" spans="3:27" x14ac:dyDescent="0.25">
      <c r="C100" s="105"/>
      <c r="D100"/>
      <c r="E100" s="86"/>
      <c r="F100" s="95" t="s">
        <v>189</v>
      </c>
      <c r="G100" s="95" t="s">
        <v>685</v>
      </c>
      <c r="H100" s="95"/>
      <c r="I100" s="95"/>
      <c r="J100" s="117"/>
      <c r="K100" s="117"/>
      <c r="L100" s="117"/>
      <c r="M100" s="117"/>
      <c r="N100" s="117"/>
      <c r="O100" s="117"/>
      <c r="P100" s="117"/>
      <c r="Q100" s="117"/>
      <c r="R100" s="117"/>
      <c r="S100" s="117"/>
      <c r="T100" s="117"/>
      <c r="U100" s="117"/>
      <c r="V100" s="117"/>
      <c r="W100" s="117"/>
      <c r="X100" s="117"/>
      <c r="Y100" s="117"/>
    </row>
    <row r="101" spans="3:27" x14ac:dyDescent="0.25">
      <c r="C101" s="105"/>
      <c r="D101"/>
      <c r="E101" s="86"/>
      <c r="F101" t="s">
        <v>191</v>
      </c>
      <c r="G101" t="s">
        <v>685</v>
      </c>
      <c r="J101" s="119"/>
      <c r="K101" s="119"/>
      <c r="L101" s="119"/>
      <c r="M101" s="119"/>
      <c r="N101" s="119"/>
      <c r="O101" s="119"/>
      <c r="P101" s="119"/>
      <c r="Q101" s="119"/>
      <c r="R101" s="119"/>
      <c r="S101" s="119"/>
      <c r="T101" s="119"/>
      <c r="U101" s="119"/>
      <c r="V101" s="119"/>
      <c r="W101" s="119"/>
      <c r="X101" s="119"/>
      <c r="Y101" s="119"/>
    </row>
    <row r="102" spans="3:27" x14ac:dyDescent="0.25">
      <c r="C102" s="105"/>
      <c r="D102"/>
      <c r="E102" s="86"/>
      <c r="F102" t="s">
        <v>192</v>
      </c>
      <c r="G102" t="s">
        <v>685</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25">
      <c r="C103" s="105"/>
      <c r="D103"/>
      <c r="E103" s="86"/>
      <c r="F103" t="s">
        <v>193</v>
      </c>
      <c r="G103" t="s">
        <v>685</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25">
      <c r="C104" s="105"/>
      <c r="D104"/>
      <c r="E104" s="86"/>
      <c r="F104" t="s">
        <v>194</v>
      </c>
      <c r="G104" t="s">
        <v>685</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25">
      <c r="C105" s="105"/>
      <c r="D105"/>
      <c r="E105" s="86"/>
      <c r="F105" t="s">
        <v>195</v>
      </c>
      <c r="G105" t="s">
        <v>685</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25">
      <c r="C106" s="105"/>
      <c r="D106"/>
      <c r="E106" s="86"/>
      <c r="F106" t="s">
        <v>196</v>
      </c>
      <c r="G106" t="s">
        <v>685</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25">
      <c r="C107" s="105"/>
      <c r="D107"/>
      <c r="E107" s="86"/>
      <c r="F107" t="s">
        <v>197</v>
      </c>
      <c r="G107" t="s">
        <v>685</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25">
      <c r="C108" s="105"/>
      <c r="D108"/>
      <c r="E108" s="86"/>
      <c r="F108" t="s">
        <v>198</v>
      </c>
      <c r="G108" t="s">
        <v>685</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25">
      <c r="C109" s="105"/>
      <c r="D109"/>
      <c r="E109" s="86"/>
      <c r="F109" t="s">
        <v>199</v>
      </c>
      <c r="G109" t="s">
        <v>685</v>
      </c>
      <c r="J109" s="168">
        <f t="shared" ref="J109:Y109" si="133">SUMIFS($J79:$Y79,$J$63:$Y$63,J$63)</f>
        <v>8635896.0341127291</v>
      </c>
      <c r="K109" s="168">
        <f t="shared" si="133"/>
        <v>0</v>
      </c>
      <c r="L109" s="168">
        <f t="shared" si="133"/>
        <v>8635896.0341127291</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25">
      <c r="C110" s="105"/>
      <c r="D110"/>
      <c r="E110" s="86"/>
      <c r="F110" t="s">
        <v>334</v>
      </c>
      <c r="G110" t="s">
        <v>685</v>
      </c>
      <c r="J110" s="119"/>
      <c r="K110" s="119"/>
      <c r="L110" s="119"/>
      <c r="M110" s="119"/>
      <c r="N110" s="119"/>
      <c r="O110" s="119"/>
      <c r="P110" s="119"/>
      <c r="Q110" s="119"/>
      <c r="R110" s="119"/>
      <c r="S110" s="119"/>
      <c r="T110" s="119"/>
      <c r="U110" s="119"/>
      <c r="V110" s="119"/>
      <c r="W110" s="119"/>
      <c r="X110" s="119"/>
      <c r="Y110" s="119"/>
    </row>
    <row r="111" spans="3:27" x14ac:dyDescent="0.25">
      <c r="C111" s="105"/>
      <c r="D111"/>
      <c r="E111" s="86"/>
      <c r="F111" s="96" t="s">
        <v>335</v>
      </c>
      <c r="G111" s="96" t="s">
        <v>685</v>
      </c>
      <c r="H111" s="96"/>
      <c r="I111" s="96"/>
      <c r="J111" s="121"/>
      <c r="K111" s="121"/>
      <c r="L111" s="121"/>
      <c r="M111" s="121"/>
      <c r="N111" s="121"/>
      <c r="O111" s="121"/>
      <c r="P111" s="121"/>
      <c r="Q111" s="121"/>
      <c r="R111" s="121"/>
      <c r="S111" s="121"/>
      <c r="T111" s="121"/>
      <c r="U111" s="121"/>
      <c r="V111" s="121"/>
      <c r="W111" s="121"/>
      <c r="X111" s="121"/>
      <c r="Y111" s="121"/>
    </row>
    <row r="112" spans="3:27" x14ac:dyDescent="0.2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25">
      <c r="C113" s="105"/>
      <c r="D113"/>
      <c r="E113" s="75" t="s">
        <v>579</v>
      </c>
      <c r="J113" s="106"/>
      <c r="K113" s="106"/>
      <c r="L113" s="106"/>
      <c r="M113" s="106"/>
      <c r="N113" s="106"/>
      <c r="O113" s="106"/>
      <c r="P113" s="106"/>
      <c r="Q113" s="106"/>
      <c r="R113" s="106"/>
      <c r="S113" s="106"/>
      <c r="T113" s="106"/>
      <c r="U113" s="106"/>
      <c r="V113" s="106"/>
      <c r="W113" s="106"/>
      <c r="X113" s="106"/>
      <c r="Y113" s="106"/>
    </row>
    <row r="114" spans="3:27" x14ac:dyDescent="0.25">
      <c r="C114" s="105"/>
      <c r="D114"/>
      <c r="F114" s="95" t="s">
        <v>189</v>
      </c>
      <c r="G114" s="95" t="s">
        <v>685</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25">
      <c r="C115" s="105"/>
      <c r="D115"/>
      <c r="F115" t="s">
        <v>191</v>
      </c>
      <c r="G115" t="s">
        <v>685</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25">
      <c r="C116" s="105"/>
      <c r="D116"/>
      <c r="F116" t="s">
        <v>192</v>
      </c>
      <c r="G116" t="s">
        <v>685</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25">
      <c r="C117" s="105"/>
      <c r="D117"/>
      <c r="F117" t="s">
        <v>193</v>
      </c>
      <c r="G117" t="s">
        <v>685</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25">
      <c r="C118" s="105"/>
      <c r="D118"/>
      <c r="F118" t="s">
        <v>194</v>
      </c>
      <c r="G118" t="s">
        <v>685</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25">
      <c r="C119" s="105"/>
      <c r="D119"/>
      <c r="F119" t="s">
        <v>195</v>
      </c>
      <c r="G119" t="s">
        <v>685</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25">
      <c r="C120" s="105"/>
      <c r="D120"/>
      <c r="F120" t="s">
        <v>196</v>
      </c>
      <c r="G120" t="s">
        <v>685</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25">
      <c r="C121" s="105"/>
      <c r="D121"/>
      <c r="F121" t="s">
        <v>197</v>
      </c>
      <c r="G121" t="s">
        <v>685</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25">
      <c r="C122" s="105"/>
      <c r="D122"/>
      <c r="F122" t="s">
        <v>198</v>
      </c>
      <c r="G122" t="s">
        <v>685</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25">
      <c r="C123" s="105"/>
      <c r="D123"/>
      <c r="F123" t="s">
        <v>199</v>
      </c>
      <c r="G123" t="s">
        <v>685</v>
      </c>
      <c r="J123" s="168">
        <f t="shared" ref="J123:Y123" si="143">SUMIFS($J93:$Y93,$J$63:$Y$63,J$63)</f>
        <v>6197358.9494017735</v>
      </c>
      <c r="K123" s="168">
        <f t="shared" si="143"/>
        <v>0</v>
      </c>
      <c r="L123" s="168">
        <f t="shared" si="143"/>
        <v>6197358.9494017735</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25">
      <c r="C124" s="105"/>
      <c r="D124"/>
      <c r="F124" t="s">
        <v>334</v>
      </c>
      <c r="G124" t="s">
        <v>685</v>
      </c>
      <c r="J124" s="119"/>
      <c r="K124" s="119"/>
      <c r="L124" s="119"/>
      <c r="M124" s="119"/>
      <c r="N124" s="119"/>
      <c r="O124" s="119"/>
      <c r="P124" s="119"/>
      <c r="Q124" s="119"/>
      <c r="R124" s="119"/>
      <c r="S124" s="119"/>
      <c r="T124" s="119"/>
      <c r="U124" s="119"/>
      <c r="V124" s="119"/>
      <c r="W124" s="119"/>
      <c r="X124" s="119"/>
      <c r="Y124" s="119"/>
    </row>
    <row r="125" spans="3:27" x14ac:dyDescent="0.25">
      <c r="C125" s="105"/>
      <c r="D125"/>
      <c r="F125" s="96" t="s">
        <v>335</v>
      </c>
      <c r="G125" s="96" t="s">
        <v>685</v>
      </c>
      <c r="H125" s="96"/>
      <c r="I125" s="96"/>
      <c r="J125" s="121"/>
      <c r="K125" s="121"/>
      <c r="L125" s="121"/>
      <c r="M125" s="121"/>
      <c r="N125" s="121"/>
      <c r="O125" s="121"/>
      <c r="P125" s="121"/>
      <c r="Q125" s="121"/>
      <c r="R125" s="121"/>
      <c r="S125" s="121"/>
      <c r="T125" s="121"/>
      <c r="U125" s="121"/>
      <c r="V125" s="121"/>
      <c r="W125" s="121"/>
      <c r="X125" s="121"/>
      <c r="Y125" s="121"/>
    </row>
    <row r="126" spans="3:27" x14ac:dyDescent="0.25">
      <c r="C126" s="105"/>
      <c r="J126" s="106"/>
      <c r="K126" s="106"/>
      <c r="L126" s="106"/>
      <c r="M126" s="106"/>
      <c r="N126" s="106"/>
      <c r="O126" s="106"/>
      <c r="P126" s="106"/>
      <c r="Q126" s="106"/>
      <c r="R126" s="106"/>
      <c r="S126" s="106"/>
      <c r="T126" s="106"/>
      <c r="U126" s="106"/>
      <c r="V126" s="106"/>
      <c r="W126" s="106"/>
      <c r="X126" s="106"/>
      <c r="Y126" s="106"/>
    </row>
    <row r="127" spans="3:27" x14ac:dyDescent="0.25">
      <c r="C127" s="93" t="str">
        <f ca="1">INDEX('Version control'!$H$41:$H$64,MATCH($A$1,'Version control'!$F$41:$F$64,0),1)&amp;"-G: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25">
      <c r="D128"/>
      <c r="E128" s="75"/>
    </row>
    <row r="129" spans="3:27" x14ac:dyDescent="0.25">
      <c r="D129"/>
      <c r="E129" t="s">
        <v>686</v>
      </c>
      <c r="G129" t="s">
        <v>212</v>
      </c>
      <c r="J129" s="106">
        <f t="shared" ref="J129:Y129" si="144">SUMIFS($J$18:$Y$18,$J$63:$Y$63,J63)</f>
        <v>1698857.8501615576</v>
      </c>
      <c r="K129" s="106">
        <f t="shared" si="144"/>
        <v>14151.098496968818</v>
      </c>
      <c r="L129" s="106">
        <f t="shared" si="144"/>
        <v>1698857.8501615576</v>
      </c>
      <c r="M129" s="106">
        <f t="shared" si="144"/>
        <v>14151.098496968818</v>
      </c>
      <c r="N129" s="106">
        <f t="shared" si="144"/>
        <v>14151.098496968818</v>
      </c>
      <c r="O129" s="106">
        <f t="shared" si="144"/>
        <v>14151.098496968818</v>
      </c>
      <c r="P129" s="106">
        <f t="shared" si="144"/>
        <v>14151.098496968818</v>
      </c>
      <c r="Q129" s="106">
        <f t="shared" si="144"/>
        <v>14151.098496968818</v>
      </c>
      <c r="R129" s="106">
        <f t="shared" si="144"/>
        <v>14151.098496968818</v>
      </c>
      <c r="S129" s="106">
        <f t="shared" si="144"/>
        <v>14151.098496968818</v>
      </c>
      <c r="T129" s="106">
        <f t="shared" si="144"/>
        <v>14151.098496968818</v>
      </c>
      <c r="U129" s="106">
        <f t="shared" si="144"/>
        <v>14151.098496968818</v>
      </c>
      <c r="V129" s="106">
        <f t="shared" si="144"/>
        <v>14151.098496968818</v>
      </c>
      <c r="W129" s="106">
        <f t="shared" si="144"/>
        <v>14151.098496968818</v>
      </c>
      <c r="X129" s="106">
        <f t="shared" si="144"/>
        <v>14151.098496968818</v>
      </c>
      <c r="Y129" s="106">
        <f t="shared" si="144"/>
        <v>14151.098496968818</v>
      </c>
    </row>
    <row r="130" spans="3:27" x14ac:dyDescent="0.25">
      <c r="D130"/>
      <c r="E130"/>
    </row>
    <row r="131" spans="3:27" x14ac:dyDescent="0.25">
      <c r="C131" s="105"/>
      <c r="E131" s="75" t="s">
        <v>578</v>
      </c>
      <c r="I131" t="s">
        <v>154</v>
      </c>
      <c r="J131" s="106"/>
      <c r="K131" s="106"/>
      <c r="L131" s="106"/>
      <c r="M131" s="106"/>
      <c r="N131" s="106"/>
      <c r="O131" s="106"/>
      <c r="P131" s="106"/>
      <c r="Q131" s="106"/>
      <c r="R131" s="106"/>
      <c r="S131" s="106"/>
      <c r="T131" s="106"/>
      <c r="U131" s="106"/>
      <c r="V131" s="106"/>
      <c r="W131" s="106"/>
      <c r="X131" s="106"/>
      <c r="Y131" s="106"/>
      <c r="AA131" t="s">
        <v>683</v>
      </c>
    </row>
    <row r="132" spans="3:27" x14ac:dyDescent="0.25">
      <c r="C132" s="105"/>
      <c r="E132" s="86"/>
      <c r="F132" s="95" t="s">
        <v>189</v>
      </c>
      <c r="G132" s="95" t="s">
        <v>270</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25">
      <c r="C133" s="105"/>
      <c r="E133" s="86"/>
      <c r="F133" t="s">
        <v>191</v>
      </c>
      <c r="G133" t="s">
        <v>270</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25">
      <c r="C134" s="105"/>
      <c r="E134" s="86"/>
      <c r="F134" t="s">
        <v>192</v>
      </c>
      <c r="G134" t="s">
        <v>270</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25">
      <c r="C135" s="105"/>
      <c r="E135" s="86"/>
      <c r="F135" t="s">
        <v>193</v>
      </c>
      <c r="G135" t="s">
        <v>270</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25">
      <c r="C136" s="105"/>
      <c r="E136" s="86"/>
      <c r="F136" t="s">
        <v>194</v>
      </c>
      <c r="G136" t="s">
        <v>270</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25">
      <c r="C137" s="105"/>
      <c r="E137" s="86"/>
      <c r="F137" t="s">
        <v>195</v>
      </c>
      <c r="G137" t="s">
        <v>270</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25">
      <c r="C138" s="105"/>
      <c r="E138" s="86"/>
      <c r="F138" t="s">
        <v>196</v>
      </c>
      <c r="G138" t="s">
        <v>270</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25">
      <c r="C139" s="105"/>
      <c r="E139" s="86"/>
      <c r="F139" t="s">
        <v>197</v>
      </c>
      <c r="G139" t="s">
        <v>270</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25">
      <c r="C140" s="105"/>
      <c r="E140" s="86"/>
      <c r="F140" t="s">
        <v>198</v>
      </c>
      <c r="G140" t="s">
        <v>270</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25">
      <c r="C141" s="105"/>
      <c r="E141" s="86"/>
      <c r="F141" t="s">
        <v>199</v>
      </c>
      <c r="G141" t="s">
        <v>270</v>
      </c>
      <c r="J141" s="168">
        <f t="shared" ref="J141:K141" si="208">IF(J$129 = 0, 0, J109 / J$129)</f>
        <v>5.0833541095221566</v>
      </c>
      <c r="K141" s="168">
        <f t="shared" si="208"/>
        <v>0</v>
      </c>
      <c r="L141" s="168">
        <f t="shared" ref="L141:M141" si="209">IF(L$129 = 0, 0, L109 / L$129)</f>
        <v>5.0833541095221566</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25">
      <c r="C142" s="105"/>
      <c r="E142" s="86"/>
      <c r="F142" s="95" t="s">
        <v>334</v>
      </c>
      <c r="G142" s="95" t="s">
        <v>270</v>
      </c>
      <c r="H142" s="95"/>
      <c r="I142" s="95"/>
      <c r="J142" s="117"/>
      <c r="K142" s="117"/>
      <c r="L142" s="117"/>
      <c r="M142" s="117"/>
      <c r="N142" s="117"/>
      <c r="O142" s="117"/>
      <c r="P142" s="117"/>
      <c r="Q142" s="117"/>
      <c r="R142" s="117"/>
      <c r="S142" s="117"/>
      <c r="T142" s="117"/>
      <c r="U142" s="117"/>
      <c r="V142" s="117"/>
      <c r="W142" s="117"/>
      <c r="X142" s="117"/>
      <c r="Y142" s="117"/>
    </row>
    <row r="143" spans="3:27" x14ac:dyDescent="0.25">
      <c r="C143" s="105"/>
      <c r="E143" s="86"/>
      <c r="F143" s="96" t="s">
        <v>335</v>
      </c>
      <c r="G143" s="96" t="s">
        <v>270</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25">
      <c r="C145" s="105"/>
      <c r="E145" s="75" t="s">
        <v>579</v>
      </c>
      <c r="J145" s="106"/>
      <c r="K145" s="106"/>
      <c r="L145" s="106"/>
      <c r="M145" s="106"/>
      <c r="N145" s="106"/>
      <c r="O145" s="106"/>
      <c r="P145" s="106"/>
      <c r="Q145" s="106"/>
      <c r="R145" s="106"/>
      <c r="S145" s="106"/>
      <c r="T145" s="106"/>
      <c r="U145" s="106"/>
      <c r="V145" s="106"/>
      <c r="W145" s="106"/>
      <c r="X145" s="106"/>
      <c r="Y145" s="106"/>
    </row>
    <row r="146" spans="3:27" x14ac:dyDescent="0.25">
      <c r="C146" s="105"/>
      <c r="F146" s="95" t="s">
        <v>189</v>
      </c>
      <c r="G146" s="95" t="s">
        <v>270</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25">
      <c r="C147" s="105"/>
      <c r="F147" t="s">
        <v>191</v>
      </c>
      <c r="G147" t="s">
        <v>270</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25">
      <c r="C148" s="105"/>
      <c r="F148" t="s">
        <v>192</v>
      </c>
      <c r="G148" t="s">
        <v>270</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25">
      <c r="C149" s="105"/>
      <c r="F149" t="s">
        <v>193</v>
      </c>
      <c r="G149" t="s">
        <v>270</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25">
      <c r="C150" s="105"/>
      <c r="F150" t="s">
        <v>194</v>
      </c>
      <c r="G150" t="s">
        <v>270</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25">
      <c r="C151" s="105"/>
      <c r="F151" t="s">
        <v>195</v>
      </c>
      <c r="G151" t="s">
        <v>270</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25">
      <c r="C152" s="105"/>
      <c r="F152" t="s">
        <v>196</v>
      </c>
      <c r="G152" t="s">
        <v>270</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25">
      <c r="C153" s="105"/>
      <c r="F153" t="s">
        <v>197</v>
      </c>
      <c r="G153" t="s">
        <v>270</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25">
      <c r="C154" s="105"/>
      <c r="F154" t="s">
        <v>198</v>
      </c>
      <c r="G154" t="s">
        <v>270</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25">
      <c r="C155" s="105"/>
      <c r="F155" t="s">
        <v>199</v>
      </c>
      <c r="G155" t="s">
        <v>270</v>
      </c>
      <c r="J155" s="168">
        <f t="shared" ref="J155:K155" si="278">IF(J$129 = 0, 0, J123 / J$129)</f>
        <v>3.6479561540787055</v>
      </c>
      <c r="K155" s="168">
        <f t="shared" si="278"/>
        <v>0</v>
      </c>
      <c r="L155" s="168">
        <f t="shared" ref="L155:M155" si="279">IF(L$129 = 0, 0, L123 / L$129)</f>
        <v>3.6479561540787055</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25">
      <c r="C156" s="105"/>
      <c r="D156"/>
      <c r="F156" s="95" t="s">
        <v>334</v>
      </c>
      <c r="G156" s="95" t="s">
        <v>270</v>
      </c>
      <c r="H156" s="95"/>
      <c r="I156" s="95"/>
      <c r="J156" s="147">
        <f t="shared" ref="J156:K156" si="285">J55</f>
        <v>2.9592353325390395</v>
      </c>
      <c r="K156" s="147">
        <f t="shared" si="285"/>
        <v>0</v>
      </c>
      <c r="L156" s="147">
        <f t="shared" ref="L156:M156" si="286">L55</f>
        <v>8.676881277513445</v>
      </c>
      <c r="M156" s="147">
        <f t="shared" si="286"/>
        <v>0</v>
      </c>
      <c r="N156" s="147">
        <f t="shared" ref="N156:P156" si="287">N55</f>
        <v>17.311572695706502</v>
      </c>
      <c r="O156" s="147">
        <f t="shared" si="287"/>
        <v>13.513542855749364</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25">
      <c r="C157" s="105"/>
      <c r="D157"/>
      <c r="F157" s="96" t="s">
        <v>335</v>
      </c>
      <c r="G157" s="96" t="s">
        <v>270</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124.75480667074974</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78.076882971343878</v>
      </c>
      <c r="Y157" s="173">
        <f t="shared" si="298"/>
        <v>78.076882971343878</v>
      </c>
    </row>
    <row r="158" spans="3:27" x14ac:dyDescent="0.25">
      <c r="C158" s="105"/>
      <c r="J158" s="106"/>
      <c r="K158" s="106"/>
      <c r="L158" s="106"/>
      <c r="M158" s="106"/>
      <c r="N158" s="106"/>
      <c r="O158" s="106"/>
      <c r="P158" s="106"/>
      <c r="Q158" s="106"/>
      <c r="R158" s="106"/>
      <c r="S158" s="106"/>
      <c r="T158" s="106"/>
      <c r="U158" s="106"/>
      <c r="V158" s="106"/>
      <c r="W158" s="106"/>
      <c r="X158" s="106"/>
      <c r="Y158" s="106"/>
    </row>
    <row r="159" spans="3:27" x14ac:dyDescent="0.25">
      <c r="C159" s="93" t="str">
        <f ca="1">INDEX('Version control'!$H$41:$H$64,MATCH($A$1,'Version control'!$F$41:$F$64,0),1)&amp;"-H: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C160" s="105"/>
      <c r="J160" s="106"/>
      <c r="K160" s="106"/>
      <c r="L160" s="106"/>
      <c r="M160" s="106"/>
      <c r="N160" s="106"/>
      <c r="O160" s="106"/>
      <c r="P160" s="106"/>
      <c r="Q160" s="106"/>
      <c r="R160" s="106"/>
      <c r="S160" s="106"/>
      <c r="T160" s="106"/>
      <c r="U160" s="106"/>
      <c r="V160" s="106"/>
      <c r="W160" s="106"/>
      <c r="X160" s="106"/>
      <c r="Y160" s="106"/>
    </row>
    <row r="161" spans="2:27" x14ac:dyDescent="0.25">
      <c r="E161" t="s">
        <v>159</v>
      </c>
      <c r="G161" t="s">
        <v>270</v>
      </c>
      <c r="J161" s="151">
        <f t="shared" ref="J161:K161" si="299">SUM(J132:J143,J146:J157)</f>
        <v>11.690545596139902</v>
      </c>
      <c r="K161" s="151">
        <f t="shared" si="299"/>
        <v>0</v>
      </c>
      <c r="L161" s="151">
        <f t="shared" ref="L161:M161" si="300">SUM(L132:L143,L146:L157)</f>
        <v>17.408191541114306</v>
      </c>
      <c r="M161" s="151">
        <f t="shared" si="300"/>
        <v>0</v>
      </c>
      <c r="N161" s="151">
        <f t="shared" ref="N161:P161" si="301">SUM(N132:N143,N146:N157)</f>
        <v>17.311572695706502</v>
      </c>
      <c r="O161" s="151">
        <f t="shared" si="301"/>
        <v>13.513542855749364</v>
      </c>
      <c r="P161" s="151">
        <f t="shared" si="301"/>
        <v>124.75480667074974</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78.076882971343878</v>
      </c>
      <c r="Y161" s="151">
        <f>SUM(Y132:Y143,Y146:Y157)</f>
        <v>78.076882971343878</v>
      </c>
    </row>
    <row r="163" spans="2:27" x14ac:dyDescent="0.25">
      <c r="B163" s="85" t="s">
        <v>231</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25">
      <c r="C165" s="105"/>
      <c r="E165" t="s">
        <v>232</v>
      </c>
      <c r="G165" s="6" t="s">
        <v>56</v>
      </c>
      <c r="H165" s="113">
        <f t="array" ref="H165">SUM(IF(ISERROR(H18:Y161), 1))</f>
        <v>0</v>
      </c>
    </row>
    <row r="167" spans="2:27" x14ac:dyDescent="0.25">
      <c r="B167" s="85" t="s">
        <v>107</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H66 &amp; IF(H66 = 1, " issue", " issues") &amp;" identified in checks on this sheet"</f>
        <v>0 issues identified in checks on this sheet</v>
      </c>
      <c r="B4" s="61"/>
      <c r="C4" s="61"/>
      <c r="D4" s="61"/>
      <c r="E4" s="61"/>
      <c r="F4" s="61"/>
      <c r="G4" s="61"/>
      <c r="H4" s="62"/>
      <c r="I4" s="62"/>
      <c r="J4" s="61"/>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820</v>
      </c>
      <c r="E9"/>
    </row>
    <row r="10" spans="1:27" x14ac:dyDescent="0.25">
      <c r="C10" s="86" t="s">
        <v>821</v>
      </c>
      <c r="E10"/>
    </row>
    <row r="12" spans="1:27" x14ac:dyDescent="0.25">
      <c r="B12" s="85" t="s">
        <v>822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25">
      <c r="C14" s="86" t="s">
        <v>823</v>
      </c>
    </row>
    <row r="16" spans="1:27" x14ac:dyDescent="0.25">
      <c r="C16" s="93" t="str">
        <f ca="1">INDEX('Version control'!$H$41:$H$65,MATCH($A$1,'Version control'!$F$41:$F$65,0),1)&amp;"-A: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25">
      <c r="E18" s="105" t="s">
        <v>212</v>
      </c>
      <c r="F18" s="75"/>
    </row>
    <row r="19" spans="1:27" x14ac:dyDescent="0.25">
      <c r="E19" s="86" t="s">
        <v>824</v>
      </c>
      <c r="F19" s="2"/>
    </row>
    <row r="20" spans="1:27" x14ac:dyDescent="0.25">
      <c r="C20" s="105"/>
      <c r="F20" s="95" t="s">
        <v>404</v>
      </c>
      <c r="G20" s="95" t="s">
        <v>212</v>
      </c>
      <c r="H20" s="278"/>
      <c r="I20" s="266"/>
      <c r="J20" s="278">
        <f>'Volume adjustments'!J202</f>
        <v>1518684.7490630394</v>
      </c>
      <c r="K20" s="278">
        <f>'Volume adjustments'!K202</f>
        <v>0</v>
      </c>
      <c r="L20" s="278">
        <f>'Volume adjustments'!L202</f>
        <v>142032.03403810595</v>
      </c>
      <c r="M20" s="278">
        <f>'Volume adjustments'!M202</f>
        <v>0</v>
      </c>
      <c r="N20" s="278">
        <f>'Volume adjustments'!N202</f>
        <v>8310.5109530058926</v>
      </c>
      <c r="O20" s="278">
        <f>'Volume adjustments'!O202</f>
        <v>1705.7023088860701</v>
      </c>
      <c r="P20" s="278">
        <f>'Volume adjustments'!P202</f>
        <v>1118.9950573685107</v>
      </c>
      <c r="Q20" s="278">
        <f>'Volume adjustments'!Q202</f>
        <v>2437</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304.24933518428963</v>
      </c>
      <c r="Y20" s="278">
        <f>'Volume adjustments'!Y202</f>
        <v>0</v>
      </c>
      <c r="Z20" s="268"/>
      <c r="AA20" s="268"/>
    </row>
    <row r="21" spans="1:27" x14ac:dyDescent="0.25">
      <c r="C21" s="105"/>
      <c r="F21" t="s">
        <v>405</v>
      </c>
      <c r="G21" t="s">
        <v>212</v>
      </c>
      <c r="H21" s="279"/>
      <c r="I21" s="268"/>
      <c r="J21" s="279">
        <f>'Volume adjustments'!J211</f>
        <v>19353.401655970189</v>
      </c>
      <c r="K21" s="279">
        <f>'Volume adjustments'!K211</f>
        <v>0</v>
      </c>
      <c r="L21" s="279">
        <f>'Volume adjustments'!L211</f>
        <v>400.90114037571152</v>
      </c>
      <c r="M21" s="279">
        <f>'Volume adjustments'!M211</f>
        <v>0</v>
      </c>
      <c r="N21" s="279">
        <f>'Volume adjustments'!N211</f>
        <v>129.57683609661797</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25">
      <c r="C22" s="105"/>
      <c r="F22" t="s">
        <v>406</v>
      </c>
      <c r="G22" t="s">
        <v>212</v>
      </c>
      <c r="H22" s="279"/>
      <c r="I22" s="268"/>
      <c r="J22" s="279">
        <f>'Volume adjustments'!J220</f>
        <v>61570.95336142907</v>
      </c>
      <c r="K22" s="279">
        <f>'Volume adjustments'!K220</f>
        <v>0</v>
      </c>
      <c r="L22" s="279">
        <f>'Volume adjustments'!L220</f>
        <v>1477.8772991387864</v>
      </c>
      <c r="M22" s="279">
        <f>'Volume adjustments'!M220</f>
        <v>0</v>
      </c>
      <c r="N22" s="279">
        <f>'Volume adjustments'!N220</f>
        <v>396.51865098155298</v>
      </c>
      <c r="O22" s="279">
        <f>'Volume adjustments'!O220</f>
        <v>32.116665739303059</v>
      </c>
      <c r="P22" s="279">
        <f>'Volume adjustments'!P220</f>
        <v>11.399160697643209</v>
      </c>
      <c r="Q22" s="279">
        <f>'Volume adjustments'!Q220</f>
        <v>0</v>
      </c>
      <c r="R22" s="279">
        <f>'Volume adjustments'!R220</f>
        <v>0</v>
      </c>
      <c r="S22" s="279">
        <f>'Volume adjustments'!S220</f>
        <v>0</v>
      </c>
      <c r="T22" s="279">
        <f>'Volume adjustments'!T220</f>
        <v>2.5672748764303495</v>
      </c>
      <c r="U22" s="279">
        <f>'Volume adjustments'!U220</f>
        <v>0</v>
      </c>
      <c r="V22" s="279">
        <f>'Volume adjustments'!V220</f>
        <v>0</v>
      </c>
      <c r="W22" s="279">
        <f>'Volume adjustments'!W220</f>
        <v>0</v>
      </c>
      <c r="X22" s="279">
        <f>'Volume adjustments'!X220</f>
        <v>0</v>
      </c>
      <c r="Y22" s="279">
        <f>'Volume adjustments'!Y220</f>
        <v>0</v>
      </c>
      <c r="Z22" s="268"/>
      <c r="AA22" s="268"/>
    </row>
    <row r="23" spans="1:27" x14ac:dyDescent="0.25">
      <c r="C23" s="105"/>
      <c r="F23" s="96" t="s">
        <v>825</v>
      </c>
      <c r="G23" s="96" t="s">
        <v>212</v>
      </c>
      <c r="H23" s="298"/>
      <c r="I23" s="96"/>
      <c r="J23" s="172">
        <f>'Inputs by customer type'!J161</f>
        <v>6935.4930786765872</v>
      </c>
      <c r="K23" s="172">
        <f>'Inputs by customer type'!K161</f>
        <v>0</v>
      </c>
      <c r="L23" s="172">
        <f>'Inputs by customer type'!L161</f>
        <v>57.91277240503733</v>
      </c>
      <c r="M23" s="172">
        <f>'Inputs by customer type'!M161</f>
        <v>0</v>
      </c>
      <c r="N23" s="172">
        <f>'Inputs by customer type'!N161</f>
        <v>7.1345497528606998</v>
      </c>
      <c r="O23" s="172">
        <f>'Inputs by customer type'!O161</f>
        <v>0</v>
      </c>
      <c r="P23" s="172">
        <f>'Inputs by customer type'!P161</f>
        <v>7.1345497528606989</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25">
      <c r="C24" s="105"/>
      <c r="E24"/>
      <c r="J24" s="106"/>
      <c r="K24" s="106"/>
      <c r="L24" s="106"/>
      <c r="M24" s="106"/>
      <c r="N24" s="106"/>
      <c r="O24" s="106"/>
      <c r="P24" s="106"/>
      <c r="Q24" s="106"/>
      <c r="R24" s="106"/>
      <c r="S24" s="106"/>
      <c r="T24" s="106"/>
      <c r="U24" s="106"/>
      <c r="V24" s="106"/>
      <c r="W24" s="106"/>
      <c r="X24" s="106"/>
      <c r="Y24" s="106"/>
    </row>
    <row r="25" spans="1:27" x14ac:dyDescent="0.25">
      <c r="C25" s="105"/>
      <c r="E25" s="75" t="s">
        <v>826</v>
      </c>
      <c r="J25" s="106"/>
      <c r="K25" s="106"/>
      <c r="L25" s="106"/>
      <c r="M25" s="106"/>
      <c r="N25" s="106"/>
      <c r="O25" s="106"/>
      <c r="P25" s="106"/>
      <c r="Q25" s="106"/>
      <c r="R25" s="106"/>
      <c r="S25" s="106"/>
      <c r="T25" s="106"/>
      <c r="U25" s="106"/>
      <c r="V25" s="106"/>
      <c r="W25" s="106"/>
      <c r="X25" s="106"/>
      <c r="Y25" s="106"/>
    </row>
    <row r="26" spans="1:27" x14ac:dyDescent="0.25">
      <c r="C26" s="105"/>
      <c r="E26"/>
      <c r="F26" s="95" t="s">
        <v>1150</v>
      </c>
      <c r="G26" s="95" t="s">
        <v>176</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25">
      <c r="C27" s="105"/>
      <c r="E27"/>
      <c r="F27" s="96" t="s">
        <v>1151</v>
      </c>
      <c r="G27" s="96" t="s">
        <v>176</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25">
      <c r="C28" s="105"/>
      <c r="E28"/>
      <c r="J28" s="106"/>
      <c r="K28" s="106"/>
      <c r="L28" s="106"/>
      <c r="M28" s="106"/>
      <c r="N28" s="106"/>
      <c r="O28" s="106"/>
      <c r="P28" s="106"/>
      <c r="Q28" s="106"/>
      <c r="R28" s="106"/>
      <c r="S28" s="106"/>
      <c r="T28" s="106"/>
      <c r="U28" s="106"/>
      <c r="V28" s="106"/>
      <c r="W28" s="106"/>
      <c r="X28" s="106"/>
      <c r="Y28" s="106"/>
    </row>
    <row r="29" spans="1:27" x14ac:dyDescent="0.25">
      <c r="C29" s="105"/>
      <c r="E29" s="75" t="s">
        <v>827</v>
      </c>
      <c r="J29" s="106"/>
      <c r="K29" s="106"/>
      <c r="L29" s="106"/>
      <c r="M29" s="106"/>
      <c r="N29" s="106"/>
      <c r="O29" s="106"/>
      <c r="P29" s="106"/>
      <c r="Q29" s="106"/>
      <c r="R29" s="106"/>
      <c r="S29" s="106"/>
      <c r="T29" s="106"/>
      <c r="U29" s="106"/>
      <c r="V29" s="106"/>
      <c r="W29" s="106"/>
      <c r="X29" s="106"/>
      <c r="Y29" s="106"/>
    </row>
    <row r="30" spans="1:27" x14ac:dyDescent="0.25">
      <c r="C30" s="105"/>
      <c r="E30"/>
      <c r="F30" s="95" t="s">
        <v>1150</v>
      </c>
      <c r="G30" s="95" t="s">
        <v>277</v>
      </c>
      <c r="H30" s="171">
        <f>'General inputs'!H89</f>
        <v>0</v>
      </c>
      <c r="J30" s="167"/>
      <c r="K30" s="167"/>
      <c r="L30" s="167"/>
      <c r="M30" s="167"/>
      <c r="N30" s="167"/>
      <c r="O30" s="167"/>
      <c r="P30" s="167"/>
      <c r="Q30" s="167"/>
      <c r="R30" s="167"/>
      <c r="S30" s="167"/>
      <c r="T30" s="167"/>
      <c r="U30" s="167"/>
      <c r="V30" s="167"/>
      <c r="W30" s="167"/>
      <c r="X30" s="167"/>
      <c r="Y30" s="167"/>
    </row>
    <row r="31" spans="1:27" x14ac:dyDescent="0.25">
      <c r="C31" s="105"/>
      <c r="E31"/>
      <c r="F31" s="96" t="s">
        <v>1151</v>
      </c>
      <c r="G31" s="96" t="s">
        <v>277</v>
      </c>
      <c r="H31" s="172">
        <f>'General inputs'!H90</f>
        <v>0</v>
      </c>
      <c r="J31" s="167"/>
      <c r="K31" s="167"/>
      <c r="L31" s="167"/>
      <c r="M31" s="167"/>
      <c r="N31" s="167"/>
      <c r="O31" s="167"/>
      <c r="P31" s="167"/>
      <c r="Q31" s="167"/>
      <c r="R31" s="167"/>
      <c r="S31" s="167"/>
      <c r="T31" s="167"/>
      <c r="U31" s="167"/>
      <c r="V31" s="167"/>
      <c r="W31" s="167"/>
      <c r="X31" s="167"/>
      <c r="Y31" s="167"/>
    </row>
    <row r="32" spans="1:27" x14ac:dyDescent="0.25">
      <c r="A32" s="15"/>
    </row>
    <row r="33" spans="1:27" x14ac:dyDescent="0.25">
      <c r="A33" s="15"/>
      <c r="C33" s="93" t="str">
        <f ca="1">INDEX('Version control'!$H$41:$H$65,MATCH($A$1,'Version control'!$F$41:$F$65,0),1)&amp;"-B: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25">
      <c r="A34" s="15"/>
      <c r="C34" s="105"/>
      <c r="E34"/>
      <c r="J34" s="106"/>
      <c r="K34" s="106"/>
      <c r="L34" s="106"/>
      <c r="M34" s="106"/>
      <c r="N34" s="106"/>
      <c r="O34" s="106"/>
      <c r="P34" s="106"/>
      <c r="Q34" s="106"/>
      <c r="R34" s="106"/>
      <c r="S34" s="106"/>
      <c r="T34" s="106"/>
      <c r="U34" s="106"/>
      <c r="V34" s="106"/>
      <c r="W34" s="106"/>
      <c r="X34" s="106"/>
      <c r="Y34" s="106"/>
    </row>
    <row r="35" spans="1:27" x14ac:dyDescent="0.25">
      <c r="A35" s="15"/>
      <c r="C35" s="105"/>
      <c r="E35" s="75" t="s">
        <v>828</v>
      </c>
      <c r="J35" s="106"/>
      <c r="K35" s="106"/>
      <c r="L35" s="106"/>
      <c r="M35" s="106"/>
      <c r="N35" s="106"/>
      <c r="O35" s="106"/>
      <c r="P35" s="106"/>
      <c r="Q35" s="106"/>
      <c r="R35" s="106"/>
      <c r="S35" s="106"/>
      <c r="T35" s="106"/>
      <c r="U35" s="106"/>
      <c r="V35" s="106"/>
      <c r="W35" s="106"/>
      <c r="X35" s="106"/>
      <c r="Y35" s="106"/>
    </row>
    <row r="36" spans="1:27" x14ac:dyDescent="0.25">
      <c r="A36" s="15"/>
      <c r="F36" s="95" t="s">
        <v>1150</v>
      </c>
      <c r="G36" s="95" t="s">
        <v>212</v>
      </c>
      <c r="H36" s="95"/>
      <c r="I36" s="95"/>
      <c r="J36" s="223">
        <f t="shared" ref="J36:Y36" si="0">SUM( J$20:J$23 ) * J26</f>
        <v>1606544.5971591151</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25">
      <c r="A37" s="15"/>
      <c r="F37" s="96" t="s">
        <v>1151</v>
      </c>
      <c r="G37" s="96" t="s">
        <v>212</v>
      </c>
      <c r="H37" s="96"/>
      <c r="I37" s="96"/>
      <c r="J37" s="196">
        <f t="shared" ref="J37:Y37" si="1">SUM( J$20:J$23 ) * J27</f>
        <v>1606544.5971591151</v>
      </c>
      <c r="K37" s="196">
        <f t="shared" si="1"/>
        <v>0</v>
      </c>
      <c r="L37" s="196">
        <f t="shared" si="1"/>
        <v>143968.72525002548</v>
      </c>
      <c r="M37" s="196">
        <f t="shared" si="1"/>
        <v>0</v>
      </c>
      <c r="N37" s="196">
        <f t="shared" si="1"/>
        <v>8843.7409898369224</v>
      </c>
      <c r="O37" s="196">
        <f t="shared" si="1"/>
        <v>1737.8189746253731</v>
      </c>
      <c r="P37" s="196">
        <f t="shared" si="1"/>
        <v>1137.5287678190148</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25">
      <c r="A38" s="15"/>
      <c r="C38" s="105"/>
      <c r="E38"/>
      <c r="J38" s="106"/>
      <c r="K38" s="106"/>
      <c r="L38" s="106"/>
      <c r="M38" s="106"/>
      <c r="N38" s="106"/>
      <c r="O38" s="106"/>
      <c r="P38" s="106"/>
      <c r="Q38" s="106"/>
      <c r="R38" s="106"/>
      <c r="S38" s="106"/>
      <c r="T38" s="106"/>
      <c r="U38" s="106"/>
      <c r="V38" s="106"/>
      <c r="W38" s="106"/>
      <c r="X38" s="106"/>
      <c r="Y38" s="106"/>
    </row>
    <row r="39" spans="1:27" x14ac:dyDescent="0.25">
      <c r="A39" s="15"/>
      <c r="C39" s="105"/>
      <c r="E39" s="75" t="s">
        <v>829</v>
      </c>
      <c r="I39" t="s">
        <v>154</v>
      </c>
      <c r="J39" s="106"/>
      <c r="K39" s="106"/>
      <c r="L39" s="106"/>
      <c r="M39" s="106"/>
      <c r="N39" s="106"/>
      <c r="O39" s="106"/>
      <c r="P39" s="106"/>
      <c r="Q39" s="106"/>
      <c r="R39" s="106"/>
      <c r="S39" s="106"/>
      <c r="T39" s="106"/>
      <c r="U39" s="106"/>
      <c r="V39" s="106"/>
      <c r="W39" s="106"/>
      <c r="X39" s="106"/>
      <c r="Y39" s="106"/>
      <c r="AA39" t="s">
        <v>1105</v>
      </c>
    </row>
    <row r="40" spans="1:27" x14ac:dyDescent="0.25">
      <c r="A40" s="15"/>
      <c r="C40" s="105"/>
      <c r="E40"/>
      <c r="F40" s="95" t="s">
        <v>1150</v>
      </c>
      <c r="G40" s="95" t="s">
        <v>270</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25">
      <c r="A41" s="15"/>
      <c r="C41" s="105"/>
      <c r="E41"/>
      <c r="F41" s="96" t="s">
        <v>1151</v>
      </c>
      <c r="G41" s="96" t="s">
        <v>270</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2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25">
      <c r="A43" s="15"/>
      <c r="C43" s="105"/>
      <c r="E43" s="75" t="s">
        <v>830</v>
      </c>
      <c r="H43" s="62"/>
      <c r="I43" s="62"/>
      <c r="J43" s="261"/>
      <c r="K43" s="261"/>
      <c r="L43" s="261"/>
      <c r="M43" s="261"/>
      <c r="N43" s="261"/>
      <c r="O43" s="261"/>
      <c r="P43" s="261"/>
      <c r="Q43" s="261"/>
      <c r="R43" s="261"/>
      <c r="S43" s="261"/>
      <c r="T43" s="261"/>
      <c r="U43" s="261"/>
      <c r="V43" s="261"/>
      <c r="W43" s="261"/>
      <c r="X43" s="261"/>
      <c r="Y43" s="261"/>
    </row>
    <row r="44" spans="1:27" x14ac:dyDescent="0.25">
      <c r="A44" s="15"/>
      <c r="C44" s="105"/>
      <c r="E44"/>
      <c r="F44" s="95" t="s">
        <v>1150</v>
      </c>
      <c r="G44" s="95" t="s">
        <v>270</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25">
      <c r="A45" s="15"/>
      <c r="C45" s="105"/>
      <c r="E45"/>
      <c r="F45" s="96" t="s">
        <v>1151</v>
      </c>
      <c r="G45" s="96" t="s">
        <v>270</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25">
      <c r="C46" s="301"/>
      <c r="D46" s="302"/>
      <c r="F46" s="145" t="s">
        <v>502</v>
      </c>
      <c r="G46" s="303" t="s">
        <v>270</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25">
      <c r="A47" s="15"/>
      <c r="C47" s="105"/>
      <c r="H47" s="62"/>
      <c r="I47" s="62"/>
      <c r="J47" s="62"/>
      <c r="K47" s="62"/>
      <c r="L47" s="62"/>
      <c r="M47" s="62"/>
      <c r="N47" s="62"/>
      <c r="O47" s="62"/>
      <c r="P47" s="62"/>
      <c r="Q47" s="62"/>
      <c r="R47" s="62"/>
      <c r="S47" s="62"/>
      <c r="T47" s="62"/>
      <c r="U47" s="62"/>
      <c r="V47" s="62"/>
      <c r="W47" s="62"/>
      <c r="X47" s="62"/>
      <c r="Y47" s="62"/>
    </row>
    <row r="48" spans="1:27" x14ac:dyDescent="0.25">
      <c r="A48" s="15"/>
      <c r="C48" s="93" t="str">
        <f ca="1">INDEX('Version control'!$H$41:$H$65,MATCH($A$1,'Version control'!$F$41:$F$65,0),1)&amp;"-C: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25">
      <c r="A49" s="15"/>
      <c r="C49" s="105"/>
      <c r="E49"/>
      <c r="J49" s="106"/>
      <c r="K49" s="106"/>
      <c r="L49" s="106"/>
      <c r="M49" s="106"/>
      <c r="N49" s="106"/>
      <c r="O49" s="106"/>
      <c r="P49" s="106"/>
      <c r="Q49" s="106"/>
      <c r="R49" s="106"/>
      <c r="S49" s="106"/>
      <c r="T49" s="106"/>
      <c r="U49" s="106"/>
      <c r="V49" s="106"/>
      <c r="W49" s="106"/>
      <c r="X49" s="106"/>
      <c r="Y49" s="106"/>
    </row>
    <row r="50" spans="1:27" x14ac:dyDescent="0.25">
      <c r="A50" s="15"/>
      <c r="E50" t="s">
        <v>831</v>
      </c>
      <c r="G50" s="6" t="s">
        <v>277</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25">
      <c r="A51" s="15"/>
      <c r="H51" s="62"/>
      <c r="I51" s="62"/>
      <c r="J51" s="62"/>
      <c r="K51" s="62"/>
      <c r="L51" s="62"/>
      <c r="M51" s="62"/>
      <c r="N51" s="62"/>
      <c r="O51" s="62"/>
      <c r="P51" s="62"/>
      <c r="Q51" s="62"/>
      <c r="R51" s="62"/>
      <c r="S51" s="62"/>
      <c r="T51" s="62"/>
      <c r="U51" s="62"/>
      <c r="V51" s="62"/>
      <c r="W51" s="62"/>
      <c r="X51" s="62"/>
      <c r="Y51" s="62"/>
    </row>
    <row r="52" spans="1:27" x14ac:dyDescent="0.25">
      <c r="A52" s="15"/>
      <c r="E52" t="s">
        <v>832</v>
      </c>
      <c r="G52" s="6" t="s">
        <v>277</v>
      </c>
      <c r="H52" s="307">
        <f>SUM( J50:Y50 )</f>
        <v>0</v>
      </c>
      <c r="I52" s="62"/>
      <c r="J52" s="62"/>
      <c r="K52" s="62"/>
      <c r="L52" s="62"/>
      <c r="M52" s="62"/>
      <c r="N52" s="62"/>
      <c r="O52" s="62"/>
      <c r="P52" s="62"/>
      <c r="Q52" s="62"/>
      <c r="R52" s="62"/>
      <c r="S52" s="62"/>
      <c r="T52" s="62"/>
      <c r="U52" s="62"/>
      <c r="V52" s="62"/>
      <c r="W52" s="62"/>
      <c r="X52" s="62"/>
      <c r="Y52" s="62"/>
    </row>
    <row r="53" spans="1:27" x14ac:dyDescent="0.25">
      <c r="A53" s="15"/>
      <c r="H53" s="62"/>
      <c r="I53" s="62"/>
      <c r="J53" s="62"/>
      <c r="K53" s="62"/>
      <c r="L53" s="62"/>
      <c r="M53" s="62"/>
      <c r="N53" s="62"/>
      <c r="O53" s="62"/>
      <c r="P53" s="62"/>
      <c r="Q53" s="62"/>
      <c r="R53" s="62"/>
      <c r="S53" s="62"/>
      <c r="T53" s="62"/>
      <c r="U53" s="62"/>
      <c r="V53" s="62"/>
      <c r="W53" s="62"/>
      <c r="X53" s="62"/>
      <c r="Y53" s="62"/>
    </row>
    <row r="54" spans="1:27" x14ac:dyDescent="0.25">
      <c r="A54" s="15"/>
      <c r="E54" t="s">
        <v>833</v>
      </c>
      <c r="G54" s="6" t="s">
        <v>277</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25">
      <c r="A55" s="15"/>
      <c r="H55" s="62"/>
      <c r="I55" s="62"/>
      <c r="J55" s="62"/>
      <c r="K55" s="62"/>
      <c r="L55" s="62"/>
      <c r="M55" s="62"/>
      <c r="N55" s="62"/>
      <c r="O55" s="62"/>
      <c r="P55" s="62"/>
      <c r="Q55" s="62"/>
      <c r="R55" s="62"/>
      <c r="S55" s="62"/>
      <c r="T55" s="62"/>
      <c r="U55" s="62"/>
      <c r="V55" s="62"/>
      <c r="W55" s="62"/>
      <c r="X55" s="62"/>
      <c r="Y55" s="62"/>
    </row>
    <row r="56" spans="1:27" x14ac:dyDescent="0.25">
      <c r="A56" s="15"/>
      <c r="E56" t="s">
        <v>834</v>
      </c>
      <c r="G56" s="6" t="s">
        <v>277</v>
      </c>
      <c r="H56" s="307">
        <f>SUM( J54:Y54 )</f>
        <v>0</v>
      </c>
      <c r="I56" s="62"/>
      <c r="J56" s="62"/>
      <c r="K56" s="62"/>
      <c r="L56" s="62"/>
      <c r="M56" s="62"/>
      <c r="N56" s="62"/>
      <c r="O56" s="62"/>
      <c r="P56" s="62"/>
      <c r="Q56" s="62"/>
      <c r="R56" s="62"/>
      <c r="S56" s="62"/>
      <c r="T56" s="62"/>
      <c r="U56" s="62"/>
      <c r="V56" s="62"/>
      <c r="W56" s="62"/>
      <c r="X56" s="62"/>
      <c r="Y56" s="62"/>
    </row>
    <row r="57" spans="1:27" x14ac:dyDescent="0.25">
      <c r="A57" s="15"/>
      <c r="H57" s="62"/>
      <c r="I57" s="62"/>
      <c r="J57" s="62"/>
      <c r="K57" s="62"/>
      <c r="L57" s="62"/>
      <c r="M57" s="62"/>
      <c r="N57" s="62"/>
      <c r="O57" s="62"/>
      <c r="P57" s="62"/>
      <c r="Q57" s="62"/>
      <c r="R57" s="62"/>
      <c r="S57" s="62"/>
      <c r="T57" s="62"/>
      <c r="U57" s="62"/>
      <c r="V57" s="62"/>
      <c r="W57" s="62"/>
      <c r="X57" s="62"/>
      <c r="Y57" s="62"/>
    </row>
    <row r="58" spans="1:27" x14ac:dyDescent="0.25">
      <c r="A58" s="15"/>
      <c r="B58" s="85" t="s">
        <v>231</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25">
      <c r="A59" s="15"/>
      <c r="H59" s="62"/>
      <c r="I59" s="62"/>
      <c r="J59" s="62"/>
      <c r="K59" s="62"/>
      <c r="L59" s="62"/>
      <c r="M59" s="62"/>
      <c r="N59" s="62"/>
      <c r="O59" s="62"/>
      <c r="P59" s="62"/>
      <c r="Q59" s="62"/>
      <c r="R59" s="62"/>
      <c r="S59" s="62"/>
      <c r="T59" s="62"/>
      <c r="U59" s="62"/>
      <c r="V59" s="62"/>
      <c r="W59" s="62"/>
      <c r="X59" s="62"/>
      <c r="Y59" s="62"/>
    </row>
    <row r="60" spans="1:27" x14ac:dyDescent="0.25">
      <c r="A60" s="15"/>
      <c r="E60" t="s">
        <v>835</v>
      </c>
      <c r="G60" s="6" t="s">
        <v>277</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25">
      <c r="A61" s="15"/>
      <c r="H61" s="62"/>
      <c r="I61" s="62"/>
      <c r="J61" s="62"/>
      <c r="K61" s="62"/>
      <c r="L61" s="62"/>
      <c r="M61" s="62"/>
      <c r="N61" s="62"/>
      <c r="O61" s="62"/>
      <c r="P61" s="62"/>
      <c r="Q61" s="62"/>
      <c r="R61" s="62"/>
      <c r="S61" s="62"/>
      <c r="T61" s="62"/>
      <c r="U61" s="62"/>
      <c r="V61" s="62"/>
      <c r="W61" s="62"/>
      <c r="X61" s="62"/>
      <c r="Y61" s="62"/>
    </row>
    <row r="62" spans="1:27" x14ac:dyDescent="0.25">
      <c r="A62" s="15"/>
      <c r="E62" t="s">
        <v>836</v>
      </c>
      <c r="G62" s="6" t="s">
        <v>277</v>
      </c>
      <c r="H62" s="261">
        <f>SUM( J60:Y60 )</f>
        <v>0</v>
      </c>
      <c r="I62" s="62"/>
      <c r="J62" s="62"/>
      <c r="K62" s="62"/>
      <c r="L62" s="62"/>
      <c r="M62" s="62"/>
      <c r="N62" s="62"/>
      <c r="O62" s="62"/>
      <c r="P62" s="62"/>
      <c r="Q62" s="62"/>
      <c r="R62" s="62"/>
      <c r="S62" s="62"/>
      <c r="T62" s="62"/>
      <c r="U62" s="62"/>
      <c r="V62" s="62"/>
      <c r="W62" s="62"/>
      <c r="X62" s="62"/>
      <c r="Y62" s="62"/>
    </row>
    <row r="63" spans="1:27" x14ac:dyDescent="0.25">
      <c r="A63" s="15"/>
      <c r="H63" s="62"/>
      <c r="I63" s="62"/>
      <c r="J63" s="62"/>
      <c r="K63" s="62"/>
      <c r="L63" s="62"/>
      <c r="M63" s="62"/>
      <c r="N63" s="62"/>
      <c r="O63" s="62"/>
      <c r="P63" s="62"/>
      <c r="Q63" s="62"/>
      <c r="R63" s="62"/>
      <c r="S63" s="62"/>
      <c r="T63" s="62"/>
      <c r="U63" s="62"/>
      <c r="V63" s="62"/>
      <c r="W63" s="62"/>
      <c r="X63" s="62"/>
      <c r="Y63" s="62"/>
    </row>
    <row r="64" spans="1:27" x14ac:dyDescent="0.25">
      <c r="A64" s="15"/>
      <c r="E64" s="15" t="s">
        <v>837</v>
      </c>
      <c r="G64" s="6" t="s">
        <v>56</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25">
      <c r="A65" s="15"/>
      <c r="H65" s="62"/>
      <c r="I65" s="62"/>
      <c r="J65" s="62"/>
      <c r="K65" s="62"/>
      <c r="L65" s="62"/>
      <c r="M65" s="62"/>
      <c r="N65" s="62"/>
      <c r="O65" s="62"/>
      <c r="P65" s="62"/>
      <c r="Q65" s="62"/>
      <c r="R65" s="62"/>
      <c r="S65" s="62"/>
      <c r="T65" s="62"/>
      <c r="U65" s="62"/>
      <c r="V65" s="62"/>
      <c r="W65" s="62"/>
      <c r="X65" s="62"/>
      <c r="Y65" s="62"/>
    </row>
    <row r="66" spans="1:27" x14ac:dyDescent="0.25">
      <c r="A66" s="15"/>
      <c r="E66" t="s">
        <v>232</v>
      </c>
      <c r="G66" s="6" t="s">
        <v>56</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25">
      <c r="H67" s="62"/>
      <c r="I67" s="62"/>
      <c r="J67" s="62"/>
      <c r="K67" s="62"/>
      <c r="L67" s="62"/>
      <c r="M67" s="62"/>
      <c r="N67" s="62"/>
      <c r="O67" s="62"/>
      <c r="P67" s="62"/>
      <c r="Q67" s="62"/>
      <c r="R67" s="62"/>
      <c r="S67" s="62"/>
      <c r="T67" s="62"/>
      <c r="U67" s="62"/>
      <c r="V67" s="62"/>
      <c r="W67" s="62"/>
      <c r="X67" s="62"/>
      <c r="Y67" s="62"/>
    </row>
    <row r="68" spans="1:27" x14ac:dyDescent="0.25">
      <c r="B68" s="85" t="s">
        <v>107</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0" activePane="bottomRight" state="frozen"/>
      <selection pane="topRight"/>
      <selection pane="bottomLeft"/>
      <selection pane="bottomRight" activeCell="H84" sqref="H84"/>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H432 &amp; IF(H432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0" t="s">
        <v>143</v>
      </c>
      <c r="H5" s="107"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6" spans="1:43" x14ac:dyDescent="0.25">
      <c r="C6" s="105"/>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25">
      <c r="D9" s="86" t="s">
        <v>687</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25">
      <c r="D10" s="86" t="s">
        <v>688</v>
      </c>
      <c r="E10"/>
    </row>
    <row r="11" spans="1:43" x14ac:dyDescent="0.25">
      <c r="D11" s="86" t="s">
        <v>689</v>
      </c>
    </row>
    <row r="13" spans="1:43" x14ac:dyDescent="0.25">
      <c r="B13" s="85" t="s">
        <v>690</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25">
      <c r="C14" s="105"/>
    </row>
    <row r="15" spans="1:43" x14ac:dyDescent="0.25">
      <c r="C15" s="93" t="str">
        <f ca="1">INDEX('Version control'!$H$41:$H$64,MATCH($A$1,'Version control'!$F$41:$F$64,0),1)&amp;"-A: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2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25">
      <c r="D17" s="86" t="s">
        <v>976</v>
      </c>
      <c r="F17" s="2"/>
    </row>
    <row r="18" spans="3:43" x14ac:dyDescent="0.25">
      <c r="D18" s="105"/>
      <c r="F18" s="2"/>
    </row>
    <row r="19" spans="3:43" ht="60" x14ac:dyDescent="0.25">
      <c r="D19"/>
      <c r="E19" s="75" t="s">
        <v>691</v>
      </c>
      <c r="F19" s="75"/>
      <c r="J19" s="309" t="s">
        <v>1114</v>
      </c>
      <c r="K19" s="309" t="s">
        <v>785</v>
      </c>
      <c r="L19" s="309" t="s">
        <v>1115</v>
      </c>
      <c r="M19" s="309" t="s">
        <v>786</v>
      </c>
      <c r="N19" s="309" t="s">
        <v>792</v>
      </c>
      <c r="O19" s="309" t="s">
        <v>793</v>
      </c>
      <c r="P19" s="309" t="s">
        <v>794</v>
      </c>
      <c r="Q19" s="309" t="s">
        <v>795</v>
      </c>
      <c r="R19" s="309" t="s">
        <v>787</v>
      </c>
      <c r="S19" s="309" t="s">
        <v>788</v>
      </c>
      <c r="T19" s="309" t="s">
        <v>789</v>
      </c>
      <c r="U19" s="309" t="s">
        <v>798</v>
      </c>
      <c r="V19" s="309" t="s">
        <v>790</v>
      </c>
      <c r="W19" s="309" t="s">
        <v>797</v>
      </c>
      <c r="X19" s="309" t="s">
        <v>791</v>
      </c>
      <c r="Y19" s="309" t="s">
        <v>796</v>
      </c>
      <c r="Z19" s="261"/>
      <c r="AA19" s="261"/>
      <c r="AB19" s="261"/>
      <c r="AC19" s="261"/>
      <c r="AD19" s="261"/>
      <c r="AE19" s="261"/>
      <c r="AF19" s="261"/>
      <c r="AG19" s="261"/>
      <c r="AH19" s="261"/>
      <c r="AI19" s="261"/>
      <c r="AJ19" s="261"/>
      <c r="AK19" s="261"/>
      <c r="AL19" s="261"/>
      <c r="AM19" s="261"/>
      <c r="AN19" s="261"/>
      <c r="AO19" s="261"/>
    </row>
    <row r="20" spans="3:43" x14ac:dyDescent="0.25">
      <c r="D20"/>
      <c r="E20" s="105"/>
      <c r="F20" s="95" t="s">
        <v>156</v>
      </c>
      <c r="G20" s="95" t="s">
        <v>269</v>
      </c>
      <c r="H20" s="266"/>
      <c r="I20" s="266"/>
      <c r="J20" s="278">
        <f>'Unit rate charges'!J217</f>
        <v>22.754367788879499</v>
      </c>
      <c r="K20" s="278">
        <f>'Unit rate charges'!K217</f>
        <v>22.754367788879499</v>
      </c>
      <c r="L20" s="278">
        <f>'Unit rate charges'!L217</f>
        <v>24.204345157669163</v>
      </c>
      <c r="M20" s="278">
        <f>'Unit rate charges'!M217</f>
        <v>24.204345157669163</v>
      </c>
      <c r="N20" s="278">
        <f>'Unit rate charges'!N217</f>
        <v>14.833378766097514</v>
      </c>
      <c r="O20" s="278">
        <f>'Unit rate charges'!O217</f>
        <v>9.3736478380256543</v>
      </c>
      <c r="P20" s="278">
        <f>'Unit rate charges'!P217</f>
        <v>7.2418921898197315</v>
      </c>
      <c r="Q20" s="278">
        <f>'Unit rate charges'!Q217</f>
        <v>68.156894154197772</v>
      </c>
      <c r="R20" s="278">
        <f>'Unit rate charges'!R217</f>
        <v>-14.503014192473726</v>
      </c>
      <c r="S20" s="278">
        <f>'Unit rate charges'!S217</f>
        <v>-12.444090350355333</v>
      </c>
      <c r="T20" s="278">
        <f>'Unit rate charges'!T217</f>
        <v>-14.503014192473726</v>
      </c>
      <c r="U20" s="278">
        <f>'Unit rate charges'!U217</f>
        <v>-14.503014192473726</v>
      </c>
      <c r="V20" s="278">
        <f>'Unit rate charges'!V217</f>
        <v>-12.444090350355333</v>
      </c>
      <c r="W20" s="278">
        <f>'Unit rate charges'!W217</f>
        <v>-12.444090350355333</v>
      </c>
      <c r="X20" s="278">
        <f>'Unit rate charges'!X217</f>
        <v>-7.7863780978561934</v>
      </c>
      <c r="Y20" s="278">
        <f>'Unit rate charges'!Y217</f>
        <v>-7.7863780978561934</v>
      </c>
      <c r="Z20" s="261"/>
      <c r="AA20" s="261"/>
      <c r="AB20" s="261"/>
      <c r="AC20" s="261"/>
      <c r="AD20" s="261"/>
      <c r="AE20" s="261"/>
      <c r="AF20" s="261"/>
      <c r="AG20" s="261"/>
      <c r="AH20" s="261"/>
      <c r="AI20" s="261"/>
      <c r="AJ20" s="261"/>
      <c r="AK20" s="261"/>
      <c r="AL20" s="261"/>
      <c r="AM20" s="261"/>
      <c r="AN20" s="261"/>
      <c r="AO20" s="261"/>
      <c r="AP20" s="268"/>
      <c r="AQ20" s="268"/>
    </row>
    <row r="21" spans="3:43" x14ac:dyDescent="0.25">
      <c r="D21"/>
      <c r="E21" s="105"/>
      <c r="F21" t="s">
        <v>157</v>
      </c>
      <c r="G21" t="s">
        <v>269</v>
      </c>
      <c r="H21" s="268"/>
      <c r="I21" s="268"/>
      <c r="J21" s="310">
        <f>'Unit rate charges'!J218</f>
        <v>1.8142545868877058</v>
      </c>
      <c r="K21" s="310">
        <f>'Unit rate charges'!K218</f>
        <v>1.8142545868877058</v>
      </c>
      <c r="L21" s="310">
        <f>'Unit rate charges'!L218</f>
        <v>1.9298643949306107</v>
      </c>
      <c r="M21" s="310">
        <f>'Unit rate charges'!M218</f>
        <v>1.9298643949306107</v>
      </c>
      <c r="N21" s="310">
        <f>'Unit rate charges'!N218</f>
        <v>1.0647017530048353</v>
      </c>
      <c r="O21" s="310">
        <f>'Unit rate charges'!O218</f>
        <v>0.49555677768372769</v>
      </c>
      <c r="P21" s="310">
        <f>'Unit rate charges'!P218</f>
        <v>0.30212181510475317</v>
      </c>
      <c r="Q21" s="310">
        <f>'Unit rate charges'!Q218</f>
        <v>3.4434024913493984</v>
      </c>
      <c r="R21" s="310">
        <f>'Unit rate charges'!R218</f>
        <v>-1.15635645281484</v>
      </c>
      <c r="S21" s="310">
        <f>'Unit rate charges'!S218</f>
        <v>-0.93051409035444521</v>
      </c>
      <c r="T21" s="310">
        <f>'Unit rate charges'!T218</f>
        <v>-1.15635645281484</v>
      </c>
      <c r="U21" s="310">
        <f>'Unit rate charges'!U218</f>
        <v>-1.15635645281484</v>
      </c>
      <c r="V21" s="310">
        <f>'Unit rate charges'!V218</f>
        <v>-0.93051409035444521</v>
      </c>
      <c r="W21" s="310">
        <f>'Unit rate charges'!W218</f>
        <v>-0.93051409035444521</v>
      </c>
      <c r="X21" s="310">
        <f>'Unit rate charges'!X218</f>
        <v>-0.41164256505858809</v>
      </c>
      <c r="Y21" s="310">
        <f>'Unit rate charges'!Y218</f>
        <v>-0.41164256505858809</v>
      </c>
      <c r="Z21" s="261"/>
      <c r="AA21" s="261"/>
      <c r="AB21" s="261"/>
      <c r="AC21" s="261"/>
      <c r="AD21" s="261"/>
      <c r="AE21" s="261"/>
      <c r="AF21" s="261"/>
      <c r="AG21" s="261"/>
      <c r="AH21" s="261"/>
      <c r="AI21" s="261"/>
      <c r="AJ21" s="261"/>
      <c r="AK21" s="261"/>
      <c r="AL21" s="261"/>
      <c r="AM21" s="261"/>
      <c r="AN21" s="261"/>
      <c r="AO21" s="261"/>
      <c r="AP21" s="268"/>
      <c r="AQ21" s="268"/>
    </row>
    <row r="22" spans="3:43" x14ac:dyDescent="0.25">
      <c r="D22"/>
      <c r="E22" s="105"/>
      <c r="F22" t="s">
        <v>158</v>
      </c>
      <c r="G22" t="s">
        <v>269</v>
      </c>
      <c r="H22" s="268"/>
      <c r="I22" s="268"/>
      <c r="J22" s="310">
        <f>'Unit rate charges'!J219</f>
        <v>0.1984681748021638</v>
      </c>
      <c r="K22" s="310">
        <f>'Unit rate charges'!K219</f>
        <v>0.1984681748021638</v>
      </c>
      <c r="L22" s="310">
        <f>'Unit rate charges'!L219</f>
        <v>0.21111516919718137</v>
      </c>
      <c r="M22" s="310">
        <f>'Unit rate charges'!M219</f>
        <v>0.21111516919718137</v>
      </c>
      <c r="N22" s="310">
        <f>'Unit rate charges'!N219</f>
        <v>0.11409479114169718</v>
      </c>
      <c r="O22" s="310">
        <f>'Unit rate charges'!O219</f>
        <v>4.9137946589288356E-2</v>
      </c>
      <c r="P22" s="310">
        <f>'Unit rate charges'!P219</f>
        <v>2.7504662128690939E-2</v>
      </c>
      <c r="Q22" s="310">
        <f>'Unit rate charges'!Q219</f>
        <v>1.4403993664356005</v>
      </c>
      <c r="R22" s="310">
        <f>'Unit rate charges'!R219</f>
        <v>-0.12649820828319655</v>
      </c>
      <c r="S22" s="310">
        <f>'Unit rate charges'!S219</f>
        <v>-0.10054994344094254</v>
      </c>
      <c r="T22" s="310">
        <f>'Unit rate charges'!T219</f>
        <v>-0.12649820828319655</v>
      </c>
      <c r="U22" s="310">
        <f>'Unit rate charges'!U219</f>
        <v>-0.12649820828319655</v>
      </c>
      <c r="V22" s="310">
        <f>'Unit rate charges'!V219</f>
        <v>-0.10054994344094254</v>
      </c>
      <c r="W22" s="310">
        <f>'Unit rate charges'!W219</f>
        <v>-0.10054994344094254</v>
      </c>
      <c r="X22" s="310">
        <f>'Unit rate charges'!X219</f>
        <v>-4.0817261082111422E-2</v>
      </c>
      <c r="Y22" s="310">
        <f>'Unit rate charges'!Y219</f>
        <v>-4.0817261082111422E-2</v>
      </c>
      <c r="Z22" s="261"/>
      <c r="AA22" s="261"/>
      <c r="AB22" s="261"/>
      <c r="AC22" s="261"/>
      <c r="AD22" s="261"/>
      <c r="AE22" s="261"/>
      <c r="AF22" s="261"/>
      <c r="AG22" s="261"/>
      <c r="AH22" s="261"/>
      <c r="AI22" s="261"/>
      <c r="AJ22" s="261"/>
      <c r="AK22" s="261"/>
      <c r="AL22" s="261"/>
      <c r="AM22" s="261"/>
      <c r="AN22" s="261"/>
      <c r="AO22" s="261"/>
      <c r="AP22" s="268"/>
      <c r="AQ22" s="268"/>
    </row>
    <row r="23" spans="3:43" x14ac:dyDescent="0.25">
      <c r="D23"/>
      <c r="E23" s="105"/>
      <c r="F23" t="s">
        <v>159</v>
      </c>
      <c r="G23" t="s">
        <v>270</v>
      </c>
      <c r="J23" s="171">
        <f>'Fixed charges'!J161</f>
        <v>11.690545596139902</v>
      </c>
      <c r="K23" s="171">
        <f>'Fixed charges'!K161</f>
        <v>0</v>
      </c>
      <c r="L23" s="171">
        <f>'Fixed charges'!L161</f>
        <v>17.408191541114306</v>
      </c>
      <c r="M23" s="171">
        <f>'Fixed charges'!M161</f>
        <v>0</v>
      </c>
      <c r="N23" s="171">
        <f>'Fixed charges'!N161</f>
        <v>17.311572695706502</v>
      </c>
      <c r="O23" s="171">
        <f>'Fixed charges'!O161</f>
        <v>13.513542855749364</v>
      </c>
      <c r="P23" s="171">
        <f>'Fixed charges'!P161</f>
        <v>124.75480667074974</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78.076882971343878</v>
      </c>
      <c r="Y23" s="171">
        <f>'Fixed charges'!Y161</f>
        <v>78.076882971343878</v>
      </c>
      <c r="Z23" s="261"/>
      <c r="AA23" s="261"/>
      <c r="AB23" s="261"/>
      <c r="AC23" s="261"/>
      <c r="AD23" s="261"/>
      <c r="AE23" s="261"/>
      <c r="AF23" s="261"/>
      <c r="AG23" s="261"/>
      <c r="AH23" s="261"/>
      <c r="AI23" s="261"/>
      <c r="AJ23" s="261"/>
      <c r="AK23" s="261"/>
      <c r="AL23" s="261"/>
      <c r="AM23" s="261"/>
      <c r="AN23" s="261"/>
      <c r="AO23" s="261"/>
    </row>
    <row r="24" spans="3:43" x14ac:dyDescent="0.25">
      <c r="D24"/>
      <c r="E24" s="105"/>
      <c r="F24" t="s">
        <v>160</v>
      </c>
      <c r="G24" t="s">
        <v>271</v>
      </c>
      <c r="J24" s="171">
        <f>'Capacity charges'!J256</f>
        <v>0</v>
      </c>
      <c r="K24" s="171">
        <f>'Capacity charges'!K256</f>
        <v>0</v>
      </c>
      <c r="L24" s="171">
        <f>'Capacity charges'!L256</f>
        <v>0</v>
      </c>
      <c r="M24" s="171">
        <f>'Capacity charges'!M256</f>
        <v>0</v>
      </c>
      <c r="N24" s="171">
        <f>'Capacity charges'!N256</f>
        <v>12.178555674468734</v>
      </c>
      <c r="O24" s="171">
        <f>'Capacity charges'!O256</f>
        <v>10.473387803076831</v>
      </c>
      <c r="P24" s="171">
        <f>'Capacity charges'!P256</f>
        <v>10.058286050368954</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25">
      <c r="D25"/>
      <c r="E25" s="105"/>
      <c r="F25" t="s">
        <v>161</v>
      </c>
      <c r="G25" t="s">
        <v>271</v>
      </c>
      <c r="J25" s="172">
        <f>'Capacity charges'!J257</f>
        <v>0</v>
      </c>
      <c r="K25" s="172">
        <f>'Capacity charges'!K257</f>
        <v>0</v>
      </c>
      <c r="L25" s="172">
        <f>'Capacity charges'!L257</f>
        <v>0</v>
      </c>
      <c r="M25" s="172">
        <f>'Capacity charges'!M257</f>
        <v>0</v>
      </c>
      <c r="N25" s="172">
        <f>'Capacity charges'!N257</f>
        <v>12.178555674468734</v>
      </c>
      <c r="O25" s="172">
        <f>'Capacity charges'!O257</f>
        <v>10.473387803076831</v>
      </c>
      <c r="P25" s="172">
        <f>'Capacity charges'!P257</f>
        <v>10.058286050368954</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25">
      <c r="D26"/>
      <c r="E26" s="105"/>
      <c r="F26" s="96" t="s">
        <v>162</v>
      </c>
      <c r="G26" s="96" t="s">
        <v>272</v>
      </c>
      <c r="H26" s="270"/>
      <c r="I26" s="270"/>
      <c r="J26" s="311">
        <f>'Reactive power charges'!J250</f>
        <v>0</v>
      </c>
      <c r="K26" s="311">
        <f>'Reactive power charges'!K250</f>
        <v>0</v>
      </c>
      <c r="L26" s="311">
        <f>'Reactive power charges'!L250</f>
        <v>0</v>
      </c>
      <c r="M26" s="311">
        <f>'Reactive power charges'!M250</f>
        <v>0</v>
      </c>
      <c r="N26" s="311">
        <f>'Reactive power charges'!N250</f>
        <v>0.2164864146325251</v>
      </c>
      <c r="O26" s="311">
        <f>'Reactive power charges'!O250</f>
        <v>0.11781123493667237</v>
      </c>
      <c r="P26" s="311">
        <f>'Reactive power charges'!P250</f>
        <v>8.1663719751251224E-2</v>
      </c>
      <c r="Q26" s="311">
        <f>'Reactive power charges'!Q250</f>
        <v>0</v>
      </c>
      <c r="R26" s="311">
        <f>'Reactive power charges'!R250</f>
        <v>0</v>
      </c>
      <c r="S26" s="311">
        <f>'Reactive power charges'!S250</f>
        <v>0</v>
      </c>
      <c r="T26" s="311">
        <f>'Reactive power charges'!T250</f>
        <v>0.26363615332089374</v>
      </c>
      <c r="U26" s="311">
        <f>'Reactive power charges'!U250</f>
        <v>0</v>
      </c>
      <c r="V26" s="311">
        <f>'Reactive power charges'!V250</f>
        <v>0.18939763111613869</v>
      </c>
      <c r="W26" s="311">
        <f>'Reactive power charges'!W250</f>
        <v>0</v>
      </c>
      <c r="X26" s="311">
        <f>'Reactive power charges'!X250</f>
        <v>0.15857605975235456</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2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60" x14ac:dyDescent="0.25">
      <c r="D28"/>
      <c r="E28" s="105"/>
      <c r="J28" s="309" t="s">
        <v>1114</v>
      </c>
      <c r="K28" s="309" t="s">
        <v>785</v>
      </c>
      <c r="L28" s="309" t="s">
        <v>1115</v>
      </c>
      <c r="M28" s="309" t="s">
        <v>786</v>
      </c>
      <c r="N28" s="309" t="s">
        <v>792</v>
      </c>
      <c r="O28" s="309" t="s">
        <v>793</v>
      </c>
      <c r="P28" s="309" t="s">
        <v>794</v>
      </c>
      <c r="Q28" s="309" t="s">
        <v>795</v>
      </c>
      <c r="R28" s="309" t="s">
        <v>787</v>
      </c>
      <c r="S28" s="309" t="s">
        <v>788</v>
      </c>
      <c r="T28" s="309" t="s">
        <v>789</v>
      </c>
      <c r="U28" s="309" t="s">
        <v>798</v>
      </c>
      <c r="V28" s="309" t="s">
        <v>790</v>
      </c>
      <c r="W28" s="309" t="s">
        <v>797</v>
      </c>
      <c r="X28" s="309" t="s">
        <v>791</v>
      </c>
      <c r="Y28" s="309" t="s">
        <v>796</v>
      </c>
      <c r="Z28" s="261"/>
      <c r="AA28" s="261"/>
      <c r="AB28" s="261"/>
      <c r="AC28" s="261"/>
      <c r="AD28" s="261"/>
      <c r="AE28" s="261"/>
      <c r="AF28" s="261"/>
      <c r="AG28" s="261"/>
      <c r="AH28" s="261"/>
      <c r="AI28" s="261"/>
      <c r="AJ28" s="261"/>
      <c r="AK28" s="261"/>
      <c r="AL28" s="261"/>
      <c r="AM28" s="261"/>
      <c r="AN28" s="261"/>
      <c r="AO28" s="261"/>
    </row>
    <row r="29" spans="3:43" x14ac:dyDescent="0.25">
      <c r="D29"/>
      <c r="E29" s="94" t="s">
        <v>829</v>
      </c>
      <c r="F29" s="193"/>
      <c r="G29" t="s">
        <v>270</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2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25">
      <c r="D31"/>
      <c r="E31" s="313" t="str">
        <f>'Fixed inputs'!E164</f>
        <v>Flags for calculation of revenue matching</v>
      </c>
    </row>
    <row r="32" spans="3:43" x14ac:dyDescent="0.25">
      <c r="C32" s="86"/>
      <c r="F32" s="95" t="s">
        <v>878</v>
      </c>
      <c r="G32" s="95" t="s">
        <v>861</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25">
      <c r="C33" s="86"/>
      <c r="D33"/>
      <c r="F33" t="s">
        <v>890</v>
      </c>
      <c r="G33" t="s">
        <v>861</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25">
      <c r="C34" s="86"/>
      <c r="D34"/>
      <c r="F34" t="s">
        <v>891</v>
      </c>
      <c r="G34" t="s">
        <v>861</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25">
      <c r="F35" t="s">
        <v>888</v>
      </c>
      <c r="G35" t="s">
        <v>149</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25">
      <c r="C36" s="86"/>
      <c r="F36" t="s">
        <v>887</v>
      </c>
      <c r="G36" t="s">
        <v>149</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25">
      <c r="D37" s="105"/>
      <c r="F37" s="101" t="s">
        <v>889</v>
      </c>
      <c r="G37" s="96" t="s">
        <v>149</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2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25">
      <c r="D39"/>
      <c r="E39" s="75" t="s">
        <v>691</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25">
      <c r="D40"/>
      <c r="E40" s="105"/>
      <c r="F40" s="95" t="s">
        <v>156</v>
      </c>
      <c r="G40" s="95" t="s">
        <v>269</v>
      </c>
      <c r="H40" s="266"/>
      <c r="I40" s="266"/>
      <c r="J40" s="267">
        <f t="shared" ref="J40:AO40" si="0">INDEX($J20:$Y20,J$37)</f>
        <v>22.754367788879499</v>
      </c>
      <c r="K40" s="267">
        <f t="shared" si="0"/>
        <v>22.754367788879499</v>
      </c>
      <c r="L40" s="267">
        <f t="shared" si="0"/>
        <v>24.204345157669163</v>
      </c>
      <c r="M40" s="267">
        <f t="shared" si="0"/>
        <v>24.204345157669163</v>
      </c>
      <c r="N40" s="267">
        <f t="shared" si="0"/>
        <v>24.204345157669163</v>
      </c>
      <c r="O40" s="267">
        <f t="shared" si="0"/>
        <v>24.204345157669163</v>
      </c>
      <c r="P40" s="267">
        <f t="shared" si="0"/>
        <v>24.204345157669163</v>
      </c>
      <c r="Q40" s="267">
        <f t="shared" si="0"/>
        <v>24.204345157669163</v>
      </c>
      <c r="R40" s="267">
        <f t="shared" si="0"/>
        <v>14.833378766097514</v>
      </c>
      <c r="S40" s="267">
        <f t="shared" si="0"/>
        <v>14.833378766097514</v>
      </c>
      <c r="T40" s="267">
        <f t="shared" si="0"/>
        <v>14.833378766097514</v>
      </c>
      <c r="U40" s="267">
        <f t="shared" si="0"/>
        <v>14.833378766097514</v>
      </c>
      <c r="V40" s="267">
        <f t="shared" si="0"/>
        <v>14.833378766097514</v>
      </c>
      <c r="W40" s="267">
        <f t="shared" si="0"/>
        <v>9.3736478380256543</v>
      </c>
      <c r="X40" s="267">
        <f t="shared" si="0"/>
        <v>9.3736478380256543</v>
      </c>
      <c r="Y40" s="267">
        <f t="shared" si="0"/>
        <v>9.3736478380256543</v>
      </c>
      <c r="Z40" s="267">
        <f t="shared" si="0"/>
        <v>9.3736478380256543</v>
      </c>
      <c r="AA40" s="267">
        <f t="shared" si="0"/>
        <v>9.3736478380256543</v>
      </c>
      <c r="AB40" s="267">
        <f t="shared" si="0"/>
        <v>7.2418921898197315</v>
      </c>
      <c r="AC40" s="267">
        <f t="shared" si="0"/>
        <v>7.2418921898197315</v>
      </c>
      <c r="AD40" s="267">
        <f t="shared" si="0"/>
        <v>7.2418921898197315</v>
      </c>
      <c r="AE40" s="267">
        <f t="shared" si="0"/>
        <v>7.2418921898197315</v>
      </c>
      <c r="AF40" s="267">
        <f t="shared" si="0"/>
        <v>7.2418921898197315</v>
      </c>
      <c r="AG40" s="267">
        <f t="shared" si="0"/>
        <v>68.156894154197772</v>
      </c>
      <c r="AH40" s="267">
        <f t="shared" si="0"/>
        <v>-14.503014192473726</v>
      </c>
      <c r="AI40" s="267">
        <f t="shared" si="0"/>
        <v>-12.444090350355333</v>
      </c>
      <c r="AJ40" s="267">
        <f t="shared" si="0"/>
        <v>-14.503014192473726</v>
      </c>
      <c r="AK40" s="267">
        <f t="shared" si="0"/>
        <v>-14.503014192473726</v>
      </c>
      <c r="AL40" s="267">
        <f t="shared" si="0"/>
        <v>-12.444090350355333</v>
      </c>
      <c r="AM40" s="267">
        <f t="shared" si="0"/>
        <v>-12.444090350355333</v>
      </c>
      <c r="AN40" s="267">
        <f t="shared" si="0"/>
        <v>-7.7863780978561934</v>
      </c>
      <c r="AO40" s="267">
        <f t="shared" si="0"/>
        <v>-7.7863780978561934</v>
      </c>
      <c r="AP40" s="268"/>
      <c r="AQ40" s="268"/>
    </row>
    <row r="41" spans="3:43" x14ac:dyDescent="0.25">
      <c r="D41"/>
      <c r="E41" s="105"/>
      <c r="F41" t="s">
        <v>157</v>
      </c>
      <c r="G41" t="s">
        <v>269</v>
      </c>
      <c r="H41" s="268"/>
      <c r="I41" s="268"/>
      <c r="J41" s="269">
        <f t="shared" ref="J41:AO41" si="1">INDEX($J21:$Y21,J$37)</f>
        <v>1.8142545868877058</v>
      </c>
      <c r="K41" s="269">
        <f t="shared" si="1"/>
        <v>1.8142545868877058</v>
      </c>
      <c r="L41" s="269">
        <f t="shared" si="1"/>
        <v>1.9298643949306107</v>
      </c>
      <c r="M41" s="269">
        <f t="shared" si="1"/>
        <v>1.9298643949306107</v>
      </c>
      <c r="N41" s="269">
        <f t="shared" si="1"/>
        <v>1.9298643949306107</v>
      </c>
      <c r="O41" s="269">
        <f t="shared" si="1"/>
        <v>1.9298643949306107</v>
      </c>
      <c r="P41" s="269">
        <f t="shared" si="1"/>
        <v>1.9298643949306107</v>
      </c>
      <c r="Q41" s="269">
        <f t="shared" si="1"/>
        <v>1.9298643949306107</v>
      </c>
      <c r="R41" s="269">
        <f t="shared" si="1"/>
        <v>1.0647017530048353</v>
      </c>
      <c r="S41" s="269">
        <f t="shared" si="1"/>
        <v>1.0647017530048353</v>
      </c>
      <c r="T41" s="269">
        <f t="shared" si="1"/>
        <v>1.0647017530048353</v>
      </c>
      <c r="U41" s="269">
        <f t="shared" si="1"/>
        <v>1.0647017530048353</v>
      </c>
      <c r="V41" s="269">
        <f t="shared" si="1"/>
        <v>1.0647017530048353</v>
      </c>
      <c r="W41" s="269">
        <f t="shared" si="1"/>
        <v>0.49555677768372769</v>
      </c>
      <c r="X41" s="269">
        <f t="shared" si="1"/>
        <v>0.49555677768372769</v>
      </c>
      <c r="Y41" s="269">
        <f t="shared" si="1"/>
        <v>0.49555677768372769</v>
      </c>
      <c r="Z41" s="269">
        <f t="shared" si="1"/>
        <v>0.49555677768372769</v>
      </c>
      <c r="AA41" s="269">
        <f t="shared" si="1"/>
        <v>0.49555677768372769</v>
      </c>
      <c r="AB41" s="269">
        <f t="shared" si="1"/>
        <v>0.30212181510475317</v>
      </c>
      <c r="AC41" s="269">
        <f t="shared" si="1"/>
        <v>0.30212181510475317</v>
      </c>
      <c r="AD41" s="269">
        <f t="shared" si="1"/>
        <v>0.30212181510475317</v>
      </c>
      <c r="AE41" s="269">
        <f t="shared" si="1"/>
        <v>0.30212181510475317</v>
      </c>
      <c r="AF41" s="269">
        <f t="shared" si="1"/>
        <v>0.30212181510475317</v>
      </c>
      <c r="AG41" s="269">
        <f t="shared" si="1"/>
        <v>3.4434024913493984</v>
      </c>
      <c r="AH41" s="269">
        <f t="shared" si="1"/>
        <v>-1.15635645281484</v>
      </c>
      <c r="AI41" s="269">
        <f t="shared" si="1"/>
        <v>-0.93051409035444521</v>
      </c>
      <c r="AJ41" s="269">
        <f t="shared" si="1"/>
        <v>-1.15635645281484</v>
      </c>
      <c r="AK41" s="269">
        <f t="shared" si="1"/>
        <v>-1.15635645281484</v>
      </c>
      <c r="AL41" s="269">
        <f t="shared" si="1"/>
        <v>-0.93051409035444521</v>
      </c>
      <c r="AM41" s="269">
        <f t="shared" si="1"/>
        <v>-0.93051409035444521</v>
      </c>
      <c r="AN41" s="269">
        <f t="shared" si="1"/>
        <v>-0.41164256505858809</v>
      </c>
      <c r="AO41" s="269">
        <f t="shared" si="1"/>
        <v>-0.41164256505858809</v>
      </c>
      <c r="AP41" s="268"/>
      <c r="AQ41" s="268"/>
    </row>
    <row r="42" spans="3:43" x14ac:dyDescent="0.25">
      <c r="D42"/>
      <c r="E42" s="105"/>
      <c r="F42" t="s">
        <v>158</v>
      </c>
      <c r="G42" t="s">
        <v>269</v>
      </c>
      <c r="H42" s="268"/>
      <c r="I42" s="268"/>
      <c r="J42" s="269">
        <f t="shared" ref="J42:AO42" si="2">INDEX($J22:$Y22,J$37)</f>
        <v>0.1984681748021638</v>
      </c>
      <c r="K42" s="269">
        <f t="shared" si="2"/>
        <v>0.1984681748021638</v>
      </c>
      <c r="L42" s="269">
        <f t="shared" si="2"/>
        <v>0.21111516919718137</v>
      </c>
      <c r="M42" s="269">
        <f t="shared" si="2"/>
        <v>0.21111516919718137</v>
      </c>
      <c r="N42" s="269">
        <f t="shared" si="2"/>
        <v>0.21111516919718137</v>
      </c>
      <c r="O42" s="269">
        <f t="shared" si="2"/>
        <v>0.21111516919718137</v>
      </c>
      <c r="P42" s="269">
        <f t="shared" si="2"/>
        <v>0.21111516919718137</v>
      </c>
      <c r="Q42" s="269">
        <f t="shared" si="2"/>
        <v>0.21111516919718137</v>
      </c>
      <c r="R42" s="269">
        <f t="shared" si="2"/>
        <v>0.11409479114169718</v>
      </c>
      <c r="S42" s="269">
        <f t="shared" si="2"/>
        <v>0.11409479114169718</v>
      </c>
      <c r="T42" s="269">
        <f t="shared" si="2"/>
        <v>0.11409479114169718</v>
      </c>
      <c r="U42" s="269">
        <f t="shared" si="2"/>
        <v>0.11409479114169718</v>
      </c>
      <c r="V42" s="269">
        <f t="shared" si="2"/>
        <v>0.11409479114169718</v>
      </c>
      <c r="W42" s="269">
        <f t="shared" si="2"/>
        <v>4.9137946589288356E-2</v>
      </c>
      <c r="X42" s="269">
        <f t="shared" si="2"/>
        <v>4.9137946589288356E-2</v>
      </c>
      <c r="Y42" s="269">
        <f t="shared" si="2"/>
        <v>4.9137946589288356E-2</v>
      </c>
      <c r="Z42" s="269">
        <f t="shared" si="2"/>
        <v>4.9137946589288356E-2</v>
      </c>
      <c r="AA42" s="269">
        <f t="shared" si="2"/>
        <v>4.9137946589288356E-2</v>
      </c>
      <c r="AB42" s="269">
        <f t="shared" si="2"/>
        <v>2.7504662128690939E-2</v>
      </c>
      <c r="AC42" s="269">
        <f t="shared" si="2"/>
        <v>2.7504662128690939E-2</v>
      </c>
      <c r="AD42" s="269">
        <f t="shared" si="2"/>
        <v>2.7504662128690939E-2</v>
      </c>
      <c r="AE42" s="269">
        <f t="shared" si="2"/>
        <v>2.7504662128690939E-2</v>
      </c>
      <c r="AF42" s="269">
        <f t="shared" si="2"/>
        <v>2.7504662128690939E-2</v>
      </c>
      <c r="AG42" s="269">
        <f t="shared" si="2"/>
        <v>1.4403993664356005</v>
      </c>
      <c r="AH42" s="269">
        <f t="shared" si="2"/>
        <v>-0.12649820828319655</v>
      </c>
      <c r="AI42" s="269">
        <f t="shared" si="2"/>
        <v>-0.10054994344094254</v>
      </c>
      <c r="AJ42" s="269">
        <f t="shared" si="2"/>
        <v>-0.12649820828319655</v>
      </c>
      <c r="AK42" s="269">
        <f t="shared" si="2"/>
        <v>-0.12649820828319655</v>
      </c>
      <c r="AL42" s="269">
        <f t="shared" si="2"/>
        <v>-0.10054994344094254</v>
      </c>
      <c r="AM42" s="269">
        <f t="shared" si="2"/>
        <v>-0.10054994344094254</v>
      </c>
      <c r="AN42" s="269">
        <f t="shared" si="2"/>
        <v>-4.0817261082111422E-2</v>
      </c>
      <c r="AO42" s="269">
        <f t="shared" si="2"/>
        <v>-4.0817261082111422E-2</v>
      </c>
      <c r="AP42" s="268"/>
      <c r="AQ42" s="268"/>
    </row>
    <row r="43" spans="3:43" x14ac:dyDescent="0.25">
      <c r="D43"/>
      <c r="E43" s="105"/>
      <c r="F43" t="s">
        <v>159</v>
      </c>
      <c r="G43" t="s">
        <v>270</v>
      </c>
      <c r="J43" s="307">
        <f t="shared" ref="J43:AO43" si="3">INDEX($J23:$Y23,J$37)</f>
        <v>11.690545596139902</v>
      </c>
      <c r="K43" s="307">
        <f t="shared" si="3"/>
        <v>0</v>
      </c>
      <c r="L43" s="307">
        <f t="shared" si="3"/>
        <v>17.408191541114306</v>
      </c>
      <c r="M43" s="307">
        <f t="shared" si="3"/>
        <v>17.408191541114306</v>
      </c>
      <c r="N43" s="307">
        <f t="shared" si="3"/>
        <v>17.408191541114306</v>
      </c>
      <c r="O43" s="307">
        <f t="shared" si="3"/>
        <v>17.408191541114306</v>
      </c>
      <c r="P43" s="307">
        <f t="shared" si="3"/>
        <v>17.408191541114306</v>
      </c>
      <c r="Q43" s="307">
        <f t="shared" si="3"/>
        <v>0</v>
      </c>
      <c r="R43" s="307">
        <f t="shared" si="3"/>
        <v>17.311572695706502</v>
      </c>
      <c r="S43" s="307">
        <f t="shared" si="3"/>
        <v>17.311572695706502</v>
      </c>
      <c r="T43" s="307">
        <f t="shared" si="3"/>
        <v>17.311572695706502</v>
      </c>
      <c r="U43" s="307">
        <f t="shared" si="3"/>
        <v>17.311572695706502</v>
      </c>
      <c r="V43" s="307">
        <f t="shared" si="3"/>
        <v>17.311572695706502</v>
      </c>
      <c r="W43" s="307">
        <f t="shared" si="3"/>
        <v>13.513542855749364</v>
      </c>
      <c r="X43" s="307">
        <f t="shared" si="3"/>
        <v>13.513542855749364</v>
      </c>
      <c r="Y43" s="307">
        <f t="shared" si="3"/>
        <v>13.513542855749364</v>
      </c>
      <c r="Z43" s="307">
        <f t="shared" si="3"/>
        <v>13.513542855749364</v>
      </c>
      <c r="AA43" s="307">
        <f t="shared" si="3"/>
        <v>13.513542855749364</v>
      </c>
      <c r="AB43" s="307">
        <f t="shared" si="3"/>
        <v>124.75480667074974</v>
      </c>
      <c r="AC43" s="307">
        <f t="shared" si="3"/>
        <v>124.75480667074974</v>
      </c>
      <c r="AD43" s="307">
        <f t="shared" si="3"/>
        <v>124.75480667074974</v>
      </c>
      <c r="AE43" s="307">
        <f t="shared" si="3"/>
        <v>124.75480667074974</v>
      </c>
      <c r="AF43" s="307">
        <f t="shared" si="3"/>
        <v>124.75480667074974</v>
      </c>
      <c r="AG43" s="307">
        <f t="shared" si="3"/>
        <v>0</v>
      </c>
      <c r="AH43" s="307">
        <f t="shared" si="3"/>
        <v>0</v>
      </c>
      <c r="AI43" s="307">
        <f t="shared" si="3"/>
        <v>0</v>
      </c>
      <c r="AJ43" s="307">
        <f t="shared" si="3"/>
        <v>0</v>
      </c>
      <c r="AK43" s="307">
        <f t="shared" si="3"/>
        <v>0</v>
      </c>
      <c r="AL43" s="307">
        <f t="shared" si="3"/>
        <v>0</v>
      </c>
      <c r="AM43" s="307">
        <f t="shared" si="3"/>
        <v>0</v>
      </c>
      <c r="AN43" s="307">
        <f t="shared" si="3"/>
        <v>78.076882971343878</v>
      </c>
      <c r="AO43" s="307">
        <f t="shared" si="3"/>
        <v>78.076882971343878</v>
      </c>
    </row>
    <row r="44" spans="3:43" x14ac:dyDescent="0.25">
      <c r="D44"/>
      <c r="E44" s="105"/>
      <c r="F44" t="s">
        <v>160</v>
      </c>
      <c r="G44" t="s">
        <v>271</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12.178555674468734</v>
      </c>
      <c r="S44" s="307">
        <f t="shared" si="4"/>
        <v>12.178555674468734</v>
      </c>
      <c r="T44" s="307">
        <f t="shared" si="4"/>
        <v>12.178555674468734</v>
      </c>
      <c r="U44" s="307">
        <f t="shared" si="4"/>
        <v>12.178555674468734</v>
      </c>
      <c r="V44" s="307">
        <f t="shared" si="4"/>
        <v>12.178555674468734</v>
      </c>
      <c r="W44" s="307">
        <f t="shared" si="4"/>
        <v>10.473387803076831</v>
      </c>
      <c r="X44" s="307">
        <f t="shared" si="4"/>
        <v>10.473387803076831</v>
      </c>
      <c r="Y44" s="307">
        <f t="shared" si="4"/>
        <v>10.473387803076831</v>
      </c>
      <c r="Z44" s="307">
        <f t="shared" si="4"/>
        <v>10.473387803076831</v>
      </c>
      <c r="AA44" s="307">
        <f t="shared" si="4"/>
        <v>10.473387803076831</v>
      </c>
      <c r="AB44" s="307">
        <f t="shared" si="4"/>
        <v>10.058286050368954</v>
      </c>
      <c r="AC44" s="307">
        <f t="shared" si="4"/>
        <v>10.058286050368954</v>
      </c>
      <c r="AD44" s="307">
        <f t="shared" si="4"/>
        <v>10.058286050368954</v>
      </c>
      <c r="AE44" s="307">
        <f t="shared" si="4"/>
        <v>10.058286050368954</v>
      </c>
      <c r="AF44" s="307">
        <f t="shared" si="4"/>
        <v>10.058286050368954</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25">
      <c r="D45"/>
      <c r="E45" s="105"/>
      <c r="F45" t="s">
        <v>161</v>
      </c>
      <c r="G45" t="s">
        <v>271</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12.178555674468734</v>
      </c>
      <c r="S45" s="307">
        <f t="shared" si="5"/>
        <v>12.178555674468734</v>
      </c>
      <c r="T45" s="307">
        <f t="shared" si="5"/>
        <v>12.178555674468734</v>
      </c>
      <c r="U45" s="307">
        <f t="shared" si="5"/>
        <v>12.178555674468734</v>
      </c>
      <c r="V45" s="307">
        <f t="shared" si="5"/>
        <v>12.178555674468734</v>
      </c>
      <c r="W45" s="307">
        <f t="shared" si="5"/>
        <v>10.473387803076831</v>
      </c>
      <c r="X45" s="307">
        <f t="shared" si="5"/>
        <v>10.473387803076831</v>
      </c>
      <c r="Y45" s="307">
        <f t="shared" si="5"/>
        <v>10.473387803076831</v>
      </c>
      <c r="Z45" s="307">
        <f t="shared" si="5"/>
        <v>10.473387803076831</v>
      </c>
      <c r="AA45" s="307">
        <f t="shared" si="5"/>
        <v>10.473387803076831</v>
      </c>
      <c r="AB45" s="307">
        <f t="shared" si="5"/>
        <v>10.058286050368954</v>
      </c>
      <c r="AC45" s="307">
        <f t="shared" si="5"/>
        <v>10.058286050368954</v>
      </c>
      <c r="AD45" s="307">
        <f t="shared" si="5"/>
        <v>10.058286050368954</v>
      </c>
      <c r="AE45" s="307">
        <f t="shared" si="5"/>
        <v>10.058286050368954</v>
      </c>
      <c r="AF45" s="307">
        <f t="shared" si="5"/>
        <v>10.058286050368954</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25">
      <c r="D46"/>
      <c r="E46" s="105"/>
      <c r="F46" s="96" t="s">
        <v>162</v>
      </c>
      <c r="G46" s="96" t="s">
        <v>272</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0.2164864146325251</v>
      </c>
      <c r="S46" s="271">
        <f t="shared" si="6"/>
        <v>0.2164864146325251</v>
      </c>
      <c r="T46" s="271">
        <f t="shared" si="6"/>
        <v>0.2164864146325251</v>
      </c>
      <c r="U46" s="271">
        <f t="shared" si="6"/>
        <v>0.2164864146325251</v>
      </c>
      <c r="V46" s="271">
        <f t="shared" si="6"/>
        <v>0.2164864146325251</v>
      </c>
      <c r="W46" s="271">
        <f t="shared" si="6"/>
        <v>0.11781123493667237</v>
      </c>
      <c r="X46" s="271">
        <f t="shared" si="6"/>
        <v>0.11781123493667237</v>
      </c>
      <c r="Y46" s="271">
        <f t="shared" si="6"/>
        <v>0.11781123493667237</v>
      </c>
      <c r="Z46" s="271">
        <f t="shared" si="6"/>
        <v>0.11781123493667237</v>
      </c>
      <c r="AA46" s="271">
        <f t="shared" si="6"/>
        <v>0.11781123493667237</v>
      </c>
      <c r="AB46" s="271">
        <f t="shared" si="6"/>
        <v>8.1663719751251224E-2</v>
      </c>
      <c r="AC46" s="271">
        <f t="shared" si="6"/>
        <v>8.1663719751251224E-2</v>
      </c>
      <c r="AD46" s="271">
        <f t="shared" si="6"/>
        <v>8.1663719751251224E-2</v>
      </c>
      <c r="AE46" s="271">
        <f t="shared" si="6"/>
        <v>8.1663719751251224E-2</v>
      </c>
      <c r="AF46" s="271">
        <f t="shared" si="6"/>
        <v>8.1663719751251224E-2</v>
      </c>
      <c r="AG46" s="271">
        <f t="shared" si="6"/>
        <v>0</v>
      </c>
      <c r="AH46" s="271">
        <f t="shared" si="6"/>
        <v>0</v>
      </c>
      <c r="AI46" s="271">
        <f t="shared" si="6"/>
        <v>0</v>
      </c>
      <c r="AJ46" s="271">
        <f t="shared" si="6"/>
        <v>0.26363615332089374</v>
      </c>
      <c r="AK46" s="271">
        <f t="shared" si="6"/>
        <v>0</v>
      </c>
      <c r="AL46" s="271">
        <f t="shared" si="6"/>
        <v>0.18939763111613869</v>
      </c>
      <c r="AM46" s="271">
        <f t="shared" si="6"/>
        <v>0</v>
      </c>
      <c r="AN46" s="271">
        <f t="shared" si="6"/>
        <v>0.15857605975235456</v>
      </c>
      <c r="AO46" s="271">
        <f t="shared" si="6"/>
        <v>0</v>
      </c>
      <c r="AP46" s="268"/>
      <c r="AQ46" s="268"/>
    </row>
    <row r="47" spans="3:43" x14ac:dyDescent="0.2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25">
      <c r="D48"/>
      <c r="E48" s="94" t="s">
        <v>829</v>
      </c>
      <c r="F48" s="193"/>
      <c r="G48" t="s">
        <v>270</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2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25">
      <c r="D50"/>
      <c r="E50" s="75" t="s">
        <v>692</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25">
      <c r="D51"/>
      <c r="E51" s="75"/>
      <c r="F51" s="86" t="s">
        <v>982</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25">
      <c r="D52"/>
      <c r="E52" s="75"/>
      <c r="F52" s="86" t="s">
        <v>978</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25">
      <c r="D53" s="105"/>
      <c r="F53" s="95" t="s">
        <v>156</v>
      </c>
      <c r="G53" s="95" t="s">
        <v>207</v>
      </c>
      <c r="H53" s="8">
        <v>0</v>
      </c>
      <c r="I53" s="95"/>
      <c r="J53" s="260">
        <f>INDEX('Volume adjustments'!$J$481:$Y$521, J$36 + 1 + $H53*$H$59, J$37)</f>
        <v>422507.98433825071</v>
      </c>
      <c r="K53" s="260">
        <f>INDEX('Volume adjustments'!$J$481:$Y$521, K$36 + 1 + $H53*$H$59, K$37)</f>
        <v>42.949716657044405</v>
      </c>
      <c r="L53" s="260">
        <f>INDEX('Volume adjustments'!$J$481:$Y$521, L$36 + 1 + $H53*$H$59, L$37)</f>
        <v>112.4982177210259</v>
      </c>
      <c r="M53" s="260">
        <f>INDEX('Volume adjustments'!$J$481:$Y$521, M$36 + 1 + $H53*$H$59, M$37)</f>
        <v>8941.6044838200287</v>
      </c>
      <c r="N53" s="260">
        <f>INDEX('Volume adjustments'!$J$481:$Y$521, N$36 + 1 + $H53*$H$59, N$37)</f>
        <v>26161.399091069157</v>
      </c>
      <c r="O53" s="260">
        <f>INDEX('Volume adjustments'!$J$481:$Y$521, O$36 + 1 + $H53*$H$59, O$37)</f>
        <v>21408.510715010591</v>
      </c>
      <c r="P53" s="260">
        <f>INDEX('Volume adjustments'!$J$481:$Y$521, P$36 + 1 + $H53*$H$59, P$37)</f>
        <v>54014.630147491407</v>
      </c>
      <c r="Q53" s="260">
        <f>INDEX('Volume adjustments'!$J$481:$Y$521, Q$36 + 1 + $H53*$H$59, Q$37)</f>
        <v>25.765928672816155</v>
      </c>
      <c r="R53" s="260">
        <f>INDEX('Volume adjustments'!$J$481:$Y$521, R$36 + 1 + $H53*$H$59, R$37)</f>
        <v>128.99204830251969</v>
      </c>
      <c r="S53" s="260">
        <f>INDEX('Volume adjustments'!$J$481:$Y$521, S$36 + 1 + $H53*$H$59, S$37)</f>
        <v>28627.047770951878</v>
      </c>
      <c r="T53" s="260">
        <f>INDEX('Volume adjustments'!$J$481:$Y$521, T$36 + 1 + $H53*$H$59, T$37)</f>
        <v>25174.083648177559</v>
      </c>
      <c r="U53" s="260">
        <f>INDEX('Volume adjustments'!$J$481:$Y$521, U$36 + 1 + $H53*$H$59, U$37)</f>
        <v>18213.251081811981</v>
      </c>
      <c r="V53" s="260">
        <f>INDEX('Volume adjustments'!$J$481:$Y$521, V$36 + 1 + $H53*$H$59, V$37)</f>
        <v>16115.246771745062</v>
      </c>
      <c r="W53" s="260">
        <f>INDEX('Volume adjustments'!$J$481:$Y$521, W$36 + 1 + $H53*$H$59, W$37)</f>
        <v>32.524509406872198</v>
      </c>
      <c r="X53" s="260">
        <f>INDEX('Volume adjustments'!$J$481:$Y$521, X$36 + 1 + $H53*$H$59, X$37)</f>
        <v>3068.499121163622</v>
      </c>
      <c r="Y53" s="260">
        <f>INDEX('Volume adjustments'!$J$481:$Y$521, Y$36 + 1 + $H53*$H$59, Y$37)</f>
        <v>5627.0965711183899</v>
      </c>
      <c r="Z53" s="260">
        <f>INDEX('Volume adjustments'!$J$481:$Y$521, Z$36 + 1 + $H53*$H$59, Z$37)</f>
        <v>8589.8405051865466</v>
      </c>
      <c r="AA53" s="260">
        <f>INDEX('Volume adjustments'!$J$481:$Y$521, AA$36 + 1 + $H53*$H$59, AA$37)</f>
        <v>25364.166114933356</v>
      </c>
      <c r="AB53" s="260">
        <f>INDEX('Volume adjustments'!$J$481:$Y$521, AB$36 + 1 + $H53*$H$59, AB$37)</f>
        <v>442.05271467460517</v>
      </c>
      <c r="AC53" s="260">
        <f>INDEX('Volume adjustments'!$J$481:$Y$521, AC$36 + 1 + $H53*$H$59, AC$37)</f>
        <v>16832.080446901444</v>
      </c>
      <c r="AD53" s="260">
        <f>INDEX('Volume adjustments'!$J$481:$Y$521, AD$36 + 1 + $H53*$H$59, AD$37)</f>
        <v>31227.558350844178</v>
      </c>
      <c r="AE53" s="260">
        <f>INDEX('Volume adjustments'!$J$481:$Y$521, AE$36 + 1 + $H53*$H$59, AE$37)</f>
        <v>29004.005111588471</v>
      </c>
      <c r="AF53" s="260">
        <f>INDEX('Volume adjustments'!$J$481:$Y$521, AF$36 + 1 + $H53*$H$59, AF$37)</f>
        <v>50373.572646570108</v>
      </c>
      <c r="AG53" s="260">
        <f>INDEX('Volume adjustments'!$J$481:$Y$521, AG$36 + 1 + $H53*$H$59, AG$37)</f>
        <v>3122.9507279534723</v>
      </c>
      <c r="AH53" s="260">
        <f>INDEX('Volume adjustments'!$J$481:$Y$521, AH$36 + 1 + $H53*$H$59, AH$37)</f>
        <v>8806.6823305226171</v>
      </c>
      <c r="AI53" s="260">
        <f>INDEX('Volume adjustments'!$J$481:$Y$521, AI$36 + 1 + $H53*$H$59, AI$37)</f>
        <v>1036.7343209799037</v>
      </c>
      <c r="AJ53" s="260">
        <f>INDEX('Volume adjustments'!$J$481:$Y$521, AJ$36 + 1 + $H53*$H$59, AJ$37)</f>
        <v>4624.7476230209113</v>
      </c>
      <c r="AK53" s="260">
        <f>INDEX('Volume adjustments'!$J$481:$Y$521, AK$36 + 1 + $H53*$H$59, AK$37)</f>
        <v>0</v>
      </c>
      <c r="AL53" s="260">
        <f>INDEX('Volume adjustments'!$J$481:$Y$521, AL$36 + 1 + $H53*$H$59, AL$37)</f>
        <v>0</v>
      </c>
      <c r="AM53" s="260">
        <f>INDEX('Volume adjustments'!$J$481:$Y$521, AM$36 + 1 + $H53*$H$59, AM$37)</f>
        <v>0</v>
      </c>
      <c r="AN53" s="260">
        <f>INDEX('Volume adjustments'!$J$481:$Y$521, AN$36 + 1 + $H53*$H$59, AN$37)</f>
        <v>53814.546731455142</v>
      </c>
      <c r="AO53" s="260">
        <f>INDEX('Volume adjustments'!$J$481:$Y$521, AO$36 + 1 + $H53*$H$59, AO$37)</f>
        <v>0</v>
      </c>
    </row>
    <row r="54" spans="1:41" x14ac:dyDescent="0.25">
      <c r="D54" s="105"/>
      <c r="F54" t="s">
        <v>157</v>
      </c>
      <c r="G54" t="s">
        <v>207</v>
      </c>
      <c r="H54" s="7">
        <v>1</v>
      </c>
      <c r="J54" s="312">
        <f>INDEX('Volume adjustments'!$J$481:$Y$521, J$36 + 1 + $H54*$H$59, J$37)</f>
        <v>2266046.5649797935</v>
      </c>
      <c r="K54" s="312">
        <f>INDEX('Volume adjustments'!$J$481:$Y$521, K$36 + 1 + $H54*$H$59, K$37)</f>
        <v>3119.337000290659</v>
      </c>
      <c r="L54" s="312">
        <f>INDEX('Volume adjustments'!$J$481:$Y$521, L$36 + 1 + $H54*$H$59, L$37)</f>
        <v>946.30373975016607</v>
      </c>
      <c r="M54" s="312">
        <f>INDEX('Volume adjustments'!$J$481:$Y$521, M$36 + 1 + $H54*$H$59, M$37)</f>
        <v>75144.766792114504</v>
      </c>
      <c r="N54" s="312">
        <f>INDEX('Volume adjustments'!$J$481:$Y$521, N$36 + 1 + $H54*$H$59, N$37)</f>
        <v>219911.58363692198</v>
      </c>
      <c r="O54" s="312">
        <f>INDEX('Volume adjustments'!$J$481:$Y$521, O$36 + 1 + $H54*$H$59, O$37)</f>
        <v>179937.62704472381</v>
      </c>
      <c r="P54" s="312">
        <f>INDEX('Volume adjustments'!$J$481:$Y$521, P$36 + 1 + $H54*$H$59, P$37)</f>
        <v>453974.79844795167</v>
      </c>
      <c r="Q54" s="312">
        <f>INDEX('Volume adjustments'!$J$481:$Y$521, Q$36 + 1 + $H54*$H$59, Q$37)</f>
        <v>1609.0521821484306</v>
      </c>
      <c r="R54" s="312">
        <f>INDEX('Volume adjustments'!$J$481:$Y$521, R$36 + 1 + $H54*$H$59, R$37)</f>
        <v>892.54695104115808</v>
      </c>
      <c r="S54" s="312">
        <f>INDEX('Volume adjustments'!$J$481:$Y$521, S$36 + 1 + $H54*$H$59, S$37)</f>
        <v>206625.02477396483</v>
      </c>
      <c r="T54" s="312">
        <f>INDEX('Volume adjustments'!$J$481:$Y$521, T$36 + 1 + $H54*$H$59, T$37)</f>
        <v>181733.37449717341</v>
      </c>
      <c r="U54" s="312">
        <f>INDEX('Volume adjustments'!$J$481:$Y$521, U$36 + 1 + $H54*$H$59, U$37)</f>
        <v>131268.26018549144</v>
      </c>
      <c r="V54" s="312">
        <f>INDEX('Volume adjustments'!$J$481:$Y$521, V$36 + 1 + $H54*$H$59, V$37)</f>
        <v>115502.13112178219</v>
      </c>
      <c r="W54" s="312">
        <f>INDEX('Volume adjustments'!$J$481:$Y$521, W$36 + 1 + $H54*$H$59, W$37)</f>
        <v>340.94829159017985</v>
      </c>
      <c r="X54" s="312">
        <f>INDEX('Volume adjustments'!$J$481:$Y$521, X$36 + 1 + $H54*$H$59, X$37)</f>
        <v>22166.959347146436</v>
      </c>
      <c r="Y54" s="312">
        <f>INDEX('Volume adjustments'!$J$481:$Y$521, Y$36 + 1 + $H54*$H$59, Y$37)</f>
        <v>40650.151205127426</v>
      </c>
      <c r="Z54" s="312">
        <f>INDEX('Volume adjustments'!$J$481:$Y$521, Z$36 + 1 + $H54*$H$59, Z$37)</f>
        <v>61988.189326261308</v>
      </c>
      <c r="AA54" s="312">
        <f>INDEX('Volume adjustments'!$J$481:$Y$521, AA$36 + 1 + $H54*$H$59, AA$37)</f>
        <v>182539.12914853741</v>
      </c>
      <c r="AB54" s="312">
        <f>INDEX('Volume adjustments'!$J$481:$Y$521, AB$36 + 1 + $H54*$H$59, AB$37)</f>
        <v>5891.1463199191348</v>
      </c>
      <c r="AC54" s="312">
        <f>INDEX('Volume adjustments'!$J$481:$Y$521, AC$36 + 1 + $H54*$H$59, AC$37)</f>
        <v>118085.4722621204</v>
      </c>
      <c r="AD54" s="312">
        <f>INDEX('Volume adjustments'!$J$481:$Y$521, AD$36 + 1 + $H54*$H$59, AD$37)</f>
        <v>219244.30617388422</v>
      </c>
      <c r="AE54" s="312">
        <f>INDEX('Volume adjustments'!$J$481:$Y$521, AE$36 + 1 + $H54*$H$59, AE$37)</f>
        <v>203221.98124806175</v>
      </c>
      <c r="AF54" s="312">
        <f>INDEX('Volume adjustments'!$J$481:$Y$521, AF$36 + 1 + $H54*$H$59, AF$37)</f>
        <v>353333.96220762207</v>
      </c>
      <c r="AG54" s="312">
        <f>INDEX('Volume adjustments'!$J$481:$Y$521, AG$36 + 1 + $H54*$H$59, AG$37)</f>
        <v>32473.298761415626</v>
      </c>
      <c r="AH54" s="312">
        <f>INDEX('Volume adjustments'!$J$481:$Y$521, AH$36 + 1 + $H54*$H$59, AH$37)</f>
        <v>80667.23392856303</v>
      </c>
      <c r="AI54" s="312">
        <f>INDEX('Volume adjustments'!$J$481:$Y$521, AI$36 + 1 + $H54*$H$59, AI$37)</f>
        <v>8528.2795750860623</v>
      </c>
      <c r="AJ54" s="312">
        <f>INDEX('Volume adjustments'!$J$481:$Y$521, AJ$36 + 1 + $H54*$H$59, AJ$37)</f>
        <v>38124.074375305863</v>
      </c>
      <c r="AK54" s="312">
        <f>INDEX('Volume adjustments'!$J$481:$Y$521, AK$36 + 1 + $H54*$H$59, AK$37)</f>
        <v>0</v>
      </c>
      <c r="AL54" s="312">
        <f>INDEX('Volume adjustments'!$J$481:$Y$521, AL$36 + 1 + $H54*$H$59, AL$37)</f>
        <v>0</v>
      </c>
      <c r="AM54" s="312">
        <f>INDEX('Volume adjustments'!$J$481:$Y$521, AM$36 + 1 + $H54*$H$59, AM$37)</f>
        <v>0</v>
      </c>
      <c r="AN54" s="312">
        <f>INDEX('Volume adjustments'!$J$481:$Y$521, AN$36 + 1 + $H54*$H$59, AN$37)</f>
        <v>302507.33246507391</v>
      </c>
      <c r="AO54" s="312">
        <f>INDEX('Volume adjustments'!$J$481:$Y$521, AO$36 + 1 + $H54*$H$59, AO$37)</f>
        <v>0</v>
      </c>
    </row>
    <row r="55" spans="1:41" x14ac:dyDescent="0.25">
      <c r="D55" s="105"/>
      <c r="F55" t="s">
        <v>158</v>
      </c>
      <c r="G55" t="s">
        <v>207</v>
      </c>
      <c r="H55" s="7">
        <v>2</v>
      </c>
      <c r="J55" s="312">
        <f>INDEX('Volume adjustments'!$J$481:$Y$521, J$36 + 1 + $H55*$H$59, J$37)</f>
        <v>2587588.3037086395</v>
      </c>
      <c r="K55" s="312">
        <f>INDEX('Volume adjustments'!$J$481:$Y$521, K$36 + 1 + $H55*$H$59, K$37)</f>
        <v>24081.62170271924</v>
      </c>
      <c r="L55" s="312">
        <f>INDEX('Volume adjustments'!$J$481:$Y$521, L$36 + 1 + $H55*$H$59, L$37)</f>
        <v>842.34409292353155</v>
      </c>
      <c r="M55" s="312">
        <f>INDEX('Volume adjustments'!$J$481:$Y$521, M$36 + 1 + $H55*$H$59, M$37)</f>
        <v>62116.447729261352</v>
      </c>
      <c r="N55" s="312">
        <f>INDEX('Volume adjustments'!$J$481:$Y$521, N$36 + 1 + $H55*$H$59, N$37)</f>
        <v>181865.07607300076</v>
      </c>
      <c r="O55" s="312">
        <f>INDEX('Volume adjustments'!$J$481:$Y$521, O$36 + 1 + $H55*$H$59, O$37)</f>
        <v>148796.29062152427</v>
      </c>
      <c r="P55" s="312">
        <f>INDEX('Volume adjustments'!$J$481:$Y$521, P$36 + 1 + $H55*$H$59, P$37)</f>
        <v>375463.63248016487</v>
      </c>
      <c r="Q55" s="312">
        <f>INDEX('Volume adjustments'!$J$481:$Y$521, Q$36 + 1 + $H55*$H$59, Q$37)</f>
        <v>11325.873677164167</v>
      </c>
      <c r="R55" s="312">
        <f>INDEX('Volume adjustments'!$J$481:$Y$521, R$36 + 1 + $H55*$H$59, R$37)</f>
        <v>960.42671217400857</v>
      </c>
      <c r="S55" s="312">
        <f>INDEX('Volume adjustments'!$J$481:$Y$521, S$36 + 1 + $H55*$H$59, S$37)</f>
        <v>184189.06103280824</v>
      </c>
      <c r="T55" s="312">
        <f>INDEX('Volume adjustments'!$J$481:$Y$521, T$36 + 1 + $H55*$H$59, T$37)</f>
        <v>161803.19365598555</v>
      </c>
      <c r="U55" s="312">
        <f>INDEX('Volume adjustments'!$J$481:$Y$521, U$36 + 1 + $H55*$H$59, U$37)</f>
        <v>116492.07225811925</v>
      </c>
      <c r="V55" s="312">
        <f>INDEX('Volume adjustments'!$J$481:$Y$521, V$36 + 1 + $H55*$H$59, V$37)</f>
        <v>103489.181199937</v>
      </c>
      <c r="W55" s="312">
        <f>INDEX('Volume adjustments'!$J$481:$Y$521, W$36 + 1 + $H55*$H$59, W$37)</f>
        <v>235.83839931765723</v>
      </c>
      <c r="X55" s="312">
        <f>INDEX('Volume adjustments'!$J$481:$Y$521, X$36 + 1 + $H55*$H$59, X$37)</f>
        <v>22105.819031526087</v>
      </c>
      <c r="Y55" s="312">
        <f>INDEX('Volume adjustments'!$J$481:$Y$521, Y$36 + 1 + $H55*$H$59, Y$37)</f>
        <v>40538.706813857127</v>
      </c>
      <c r="Z55" s="312">
        <f>INDEX('Volume adjustments'!$J$481:$Y$521, Z$36 + 1 + $H55*$H$59, Z$37)</f>
        <v>61867.701052421784</v>
      </c>
      <c r="AA55" s="312">
        <f>INDEX('Volume adjustments'!$J$481:$Y$521, AA$36 + 1 + $H55*$H$59, AA$37)</f>
        <v>180838.22997924636</v>
      </c>
      <c r="AB55" s="312">
        <f>INDEX('Volume adjustments'!$J$481:$Y$521, AB$36 + 1 + $H55*$H$59, AB$37)</f>
        <v>7972.5156271940859</v>
      </c>
      <c r="AC55" s="312">
        <f>INDEX('Volume adjustments'!$J$481:$Y$521, AC$36 + 1 + $H55*$H$59, AC$37)</f>
        <v>134606.7008119339</v>
      </c>
      <c r="AD55" s="312">
        <f>INDEX('Volume adjustments'!$J$481:$Y$521, AD$36 + 1 + $H55*$H$59, AD$37)</f>
        <v>249455.51226324734</v>
      </c>
      <c r="AE55" s="312">
        <f>INDEX('Volume adjustments'!$J$481:$Y$521, AE$36 + 1 + $H55*$H$59, AE$37)</f>
        <v>231839.99620271404</v>
      </c>
      <c r="AF55" s="312">
        <f>INDEX('Volume adjustments'!$J$481:$Y$521, AF$36 + 1 + $H55*$H$59, AF$37)</f>
        <v>402764.35326147842</v>
      </c>
      <c r="AG55" s="312">
        <f>INDEX('Volume adjustments'!$J$481:$Y$521, AG$36 + 1 + $H55*$H$59, AG$37)</f>
        <v>72099.552886005127</v>
      </c>
      <c r="AH55" s="312">
        <f>INDEX('Volume adjustments'!$J$481:$Y$521, AH$36 + 1 + $H55*$H$59, AH$37)</f>
        <v>35020.601850964522</v>
      </c>
      <c r="AI55" s="312">
        <f>INDEX('Volume adjustments'!$J$481:$Y$521, AI$36 + 1 + $H55*$H$59, AI$37)</f>
        <v>8832.4293538785987</v>
      </c>
      <c r="AJ55" s="312">
        <f>INDEX('Volume adjustments'!$J$481:$Y$521, AJ$36 + 1 + $H55*$H$59, AJ$37)</f>
        <v>44888.264832121997</v>
      </c>
      <c r="AK55" s="312">
        <f>INDEX('Volume adjustments'!$J$481:$Y$521, AK$36 + 1 + $H55*$H$59, AK$37)</f>
        <v>0</v>
      </c>
      <c r="AL55" s="312">
        <f>INDEX('Volume adjustments'!$J$481:$Y$521, AL$36 + 1 + $H55*$H$59, AL$37)</f>
        <v>0</v>
      </c>
      <c r="AM55" s="312">
        <f>INDEX('Volume adjustments'!$J$481:$Y$521, AM$36 + 1 + $H55*$H$59, AM$37)</f>
        <v>0</v>
      </c>
      <c r="AN55" s="312">
        <f>INDEX('Volume adjustments'!$J$481:$Y$521, AN$36 + 1 + $H55*$H$59, AN$37)</f>
        <v>259913.71528039253</v>
      </c>
      <c r="AO55" s="312">
        <f>INDEX('Volume adjustments'!$J$481:$Y$521, AO$36 + 1 + $H55*$H$59, AO$37)</f>
        <v>0</v>
      </c>
    </row>
    <row r="56" spans="1:41" x14ac:dyDescent="0.25">
      <c r="D56" s="105"/>
      <c r="F56" t="s">
        <v>212</v>
      </c>
      <c r="G56" t="s">
        <v>212</v>
      </c>
      <c r="H56" s="7">
        <v>3</v>
      </c>
      <c r="J56" s="312">
        <f>INDEX('Volume adjustments'!$J$481:$Y$521, J$36 + 1 + $H56*$H$59, J$37)</f>
        <v>1555970.1026352285</v>
      </c>
      <c r="K56" s="312">
        <f>INDEX('Volume adjustments'!$J$481:$Y$521, K$36 + 1 + $H56*$H$59, K$37)</f>
        <v>0</v>
      </c>
      <c r="L56" s="312">
        <f>INDEX('Volume adjustments'!$J$481:$Y$521, L$36 + 1 + $H56*$H$59, L$37)</f>
        <v>188.90290713974133</v>
      </c>
      <c r="M56" s="312">
        <f>INDEX('Volume adjustments'!$J$481:$Y$521, M$36 + 1 + $H56*$H$59, M$37)</f>
        <v>61663.482416823586</v>
      </c>
      <c r="N56" s="312">
        <f>INDEX('Volume adjustments'!$J$481:$Y$521, N$36 + 1 + $H56*$H$59, N$37)</f>
        <v>44333.169214726993</v>
      </c>
      <c r="O56" s="312">
        <f>INDEX('Volume adjustments'!$J$481:$Y$521, O$36 + 1 + $H56*$H$59, O$37)</f>
        <v>18008.595456472343</v>
      </c>
      <c r="P56" s="312">
        <f>INDEX('Volume adjustments'!$J$481:$Y$521, P$36 + 1 + $H56*$H$59, P$37)</f>
        <v>18693.597531166422</v>
      </c>
      <c r="Q56" s="312">
        <f>INDEX('Volume adjustments'!$J$481:$Y$521, Q$36 + 1 + $H56*$H$59, Q$37)</f>
        <v>0</v>
      </c>
      <c r="R56" s="312">
        <f>INDEX('Volume adjustments'!$J$481:$Y$521, R$36 + 1 + $H56*$H$59, R$37)</f>
        <v>66.62123355481144</v>
      </c>
      <c r="S56" s="312">
        <f>INDEX('Volume adjustments'!$J$481:$Y$521, S$36 + 1 + $H56*$H$59, S$37)</f>
        <v>4593.1832479625091</v>
      </c>
      <c r="T56" s="312">
        <f>INDEX('Volume adjustments'!$J$481:$Y$521, T$36 + 1 + $H56*$H$59, T$37)</f>
        <v>2290.342888478433</v>
      </c>
      <c r="U56" s="312">
        <f>INDEX('Volume adjustments'!$J$481:$Y$521, U$36 + 1 + $H56*$H$59, U$37)</f>
        <v>1092.1777703302037</v>
      </c>
      <c r="V56" s="312">
        <f>INDEX('Volume adjustments'!$J$481:$Y$521, V$36 + 1 + $H56*$H$59, V$37)</f>
        <v>511.35101046031366</v>
      </c>
      <c r="W56" s="312">
        <f>INDEX('Volume adjustments'!$J$481:$Y$521, W$36 + 1 + $H56*$H$59, W$37)</f>
        <v>9.0043923865300144</v>
      </c>
      <c r="X56" s="312">
        <f>INDEX('Volume adjustments'!$J$481:$Y$521, X$36 + 1 + $H56*$H$59, X$37)</f>
        <v>384.75674552999504</v>
      </c>
      <c r="Y56" s="312">
        <f>INDEX('Volume adjustments'!$J$481:$Y$521, Y$36 + 1 + $H56*$H$59, Y$37)</f>
        <v>413.29990171299471</v>
      </c>
      <c r="Z56" s="312">
        <f>INDEX('Volume adjustments'!$J$481:$Y$521, Z$36 + 1 + $H56*$H$59, Z$37)</f>
        <v>386.63280991240993</v>
      </c>
      <c r="AA56" s="312">
        <f>INDEX('Volume adjustments'!$J$481:$Y$521, AA$36 + 1 + $H56*$H$59, AA$37)</f>
        <v>534.13676924915308</v>
      </c>
      <c r="AB56" s="312">
        <f>INDEX('Volume adjustments'!$J$481:$Y$521, AB$36 + 1 + $H56*$H$59, AB$37)</f>
        <v>154.99570053535271</v>
      </c>
      <c r="AC56" s="312">
        <f>INDEX('Volume adjustments'!$J$481:$Y$521, AC$36 + 1 + $H56*$H$59, AC$37)</f>
        <v>400.05973308576057</v>
      </c>
      <c r="AD56" s="312">
        <f>INDEX('Volume adjustments'!$J$481:$Y$521, AD$36 + 1 + $H56*$H$59, AD$37)</f>
        <v>322.24154300223938</v>
      </c>
      <c r="AE56" s="312">
        <f>INDEX('Volume adjustments'!$J$481:$Y$521, AE$36 + 1 + $H56*$H$59, AE$37)</f>
        <v>134.35025435976169</v>
      </c>
      <c r="AF56" s="312">
        <f>INDEX('Volume adjustments'!$J$481:$Y$521, AF$36 + 1 + $H56*$H$59, AF$37)</f>
        <v>116.69516122406107</v>
      </c>
      <c r="AG56" s="312">
        <f>INDEX('Volume adjustments'!$J$481:$Y$521, AG$36 + 1 + $H56*$H$59, AG$37)</f>
        <v>2437</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304.24933518428963</v>
      </c>
      <c r="AO56" s="312">
        <f>INDEX('Volume adjustments'!$J$481:$Y$521, AO$36 + 1 + $H56*$H$59, AO$37)</f>
        <v>0</v>
      </c>
    </row>
    <row r="57" spans="1:41" x14ac:dyDescent="0.25">
      <c r="D57" s="105"/>
      <c r="F57" t="s">
        <v>693</v>
      </c>
      <c r="G57" t="s">
        <v>251</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2446.1096322988942</v>
      </c>
      <c r="S57" s="312">
        <f>INDEX('Volume adjustments'!$J$481:$Y$521, S$36 + 1 + $H57*$H$59, S$37)</f>
        <v>211324.83710352829</v>
      </c>
      <c r="T57" s="312">
        <f>INDEX('Volume adjustments'!$J$481:$Y$521, T$36 + 1 + $H57*$H$59, T$37)</f>
        <v>275633.98501430528</v>
      </c>
      <c r="U57" s="312">
        <f>INDEX('Volume adjustments'!$J$481:$Y$521, U$36 + 1 + $H57*$H$59, U$37)</f>
        <v>211718.62642587922</v>
      </c>
      <c r="V57" s="312">
        <f>INDEX('Volume adjustments'!$J$481:$Y$521, V$36 + 1 + $H57*$H$59, V$37)</f>
        <v>200334.84596409879</v>
      </c>
      <c r="W57" s="312">
        <f>INDEX('Volume adjustments'!$J$481:$Y$521, W$36 + 1 + $H57*$H$59, W$37)</f>
        <v>704.99999999999989</v>
      </c>
      <c r="X57" s="312">
        <f>INDEX('Volume adjustments'!$J$481:$Y$521, X$36 + 1 + $H57*$H$59, X$37)</f>
        <v>20989.350003962496</v>
      </c>
      <c r="Y57" s="312">
        <f>INDEX('Volume adjustments'!$J$481:$Y$521, Y$36 + 1 + $H57*$H$59, Y$37)</f>
        <v>51629.064771221412</v>
      </c>
      <c r="Z57" s="312">
        <f>INDEX('Volume adjustments'!$J$481:$Y$521, Z$36 + 1 + $H57*$H$59, Z$37)</f>
        <v>79376.275049902193</v>
      </c>
      <c r="AA57" s="312">
        <f>INDEX('Volume adjustments'!$J$481:$Y$521, AA$36 + 1 + $H57*$H$59, AA$37)</f>
        <v>239604.6323146444</v>
      </c>
      <c r="AB57" s="312">
        <f>INDEX('Volume adjustments'!$J$481:$Y$521, AB$36 + 1 + $H57*$H$59, AB$37)</f>
        <v>25636.18581907091</v>
      </c>
      <c r="AC57" s="312">
        <f>INDEX('Volume adjustments'!$J$481:$Y$521, AC$36 + 1 + $H57*$H$59, AC$37)</f>
        <v>109776.54037156513</v>
      </c>
      <c r="AD57" s="312">
        <f>INDEX('Volume adjustments'!$J$481:$Y$521, AD$36 + 1 + $H57*$H$59, AD$37)</f>
        <v>231913.25927576111</v>
      </c>
      <c r="AE57" s="312">
        <f>INDEX('Volume adjustments'!$J$481:$Y$521, AE$36 + 1 + $H57*$H$59, AE$37)</f>
        <v>191391.82857502261</v>
      </c>
      <c r="AF57" s="312">
        <f>INDEX('Volume adjustments'!$J$481:$Y$521, AF$36 + 1 + $H57*$H$59, AF$37)</f>
        <v>420089.03229065659</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25">
      <c r="D58" s="105"/>
      <c r="F58" t="s">
        <v>252</v>
      </c>
      <c r="G58" t="s">
        <v>251</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190.2821917808219</v>
      </c>
      <c r="S58" s="312">
        <f>INDEX('Volume adjustments'!$J$481:$Y$521, S$36 + 1 + $H58*$H$59, S$37)</f>
        <v>6092.9677973935813</v>
      </c>
      <c r="T58" s="312">
        <f>INDEX('Volume adjustments'!$J$481:$Y$521, T$36 + 1 + $H58*$H$59, T$37)</f>
        <v>7598.833470932399</v>
      </c>
      <c r="U58" s="312">
        <f>INDEX('Volume adjustments'!$J$481:$Y$521, U$36 + 1 + $H58*$H$59, U$37)</f>
        <v>5831.5929263985154</v>
      </c>
      <c r="V58" s="312">
        <f>INDEX('Volume adjustments'!$J$481:$Y$521, V$36 + 1 + $H58*$H$59, V$37)</f>
        <v>5021.4716450940259</v>
      </c>
      <c r="W58" s="312">
        <f>INDEX('Volume adjustments'!$J$481:$Y$521, W$36 + 1 + $H58*$H$59, W$37)</f>
        <v>22.958904109589042</v>
      </c>
      <c r="X58" s="312">
        <f>INDEX('Volume adjustments'!$J$481:$Y$521, X$36 + 1 + $H58*$H$59, X$37)</f>
        <v>255.34567876429412</v>
      </c>
      <c r="Y58" s="312">
        <f>INDEX('Volume adjustments'!$J$481:$Y$521, Y$36 + 1 + $H58*$H$59, Y$37)</f>
        <v>625.11238606784434</v>
      </c>
      <c r="Z58" s="312">
        <f>INDEX('Volume adjustments'!$J$481:$Y$521, Z$36 + 1 + $H58*$H$59, Z$37)</f>
        <v>963.44541043053403</v>
      </c>
      <c r="AA58" s="312">
        <f>INDEX('Volume adjustments'!$J$481:$Y$521, AA$36 + 1 + $H58*$H$59, AA$37)</f>
        <v>2739.6362507647245</v>
      </c>
      <c r="AB58" s="312">
        <f>INDEX('Volume adjustments'!$J$481:$Y$521, AB$36 + 1 + $H58*$H$59, AB$37)</f>
        <v>5912.7863013698634</v>
      </c>
      <c r="AC58" s="312">
        <f>INDEX('Volume adjustments'!$J$481:$Y$521, AC$36 + 1 + $H58*$H$59, AC$37)</f>
        <v>715.30805909984042</v>
      </c>
      <c r="AD58" s="312">
        <f>INDEX('Volume adjustments'!$J$481:$Y$521, AD$36 + 1 + $H58*$H$59, AD$37)</f>
        <v>1494.6946608719054</v>
      </c>
      <c r="AE58" s="312">
        <f>INDEX('Volume adjustments'!$J$481:$Y$521, AE$36 + 1 + $H58*$H$59, AE$37)</f>
        <v>1211.4511779817706</v>
      </c>
      <c r="AF58" s="312">
        <f>INDEX('Volume adjustments'!$J$481:$Y$521, AF$36 + 1 + $H58*$H$59, AF$37)</f>
        <v>2688.2063760190863</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25">
      <c r="D59" s="105"/>
      <c r="F59" s="96" t="s">
        <v>215</v>
      </c>
      <c r="G59" s="101" t="s">
        <v>254</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382.64744951292494</v>
      </c>
      <c r="S59" s="259">
        <f>INDEX('Volume adjustments'!$J$481:$Y$521, S$36 + 1 + $H59*$H$59, S$37)</f>
        <v>33481.783027951446</v>
      </c>
      <c r="T59" s="259">
        <f>INDEX('Volume adjustments'!$J$481:$Y$521, T$36 + 1 + $H59*$H$59, T$37)</f>
        <v>29498.713744070697</v>
      </c>
      <c r="U59" s="259">
        <f>INDEX('Volume adjustments'!$J$481:$Y$521, U$36 + 1 + $H59*$H$59, U$37)</f>
        <v>21149.276061276309</v>
      </c>
      <c r="V59" s="259">
        <f>INDEX('Volume adjustments'!$J$481:$Y$521, V$36 + 1 + $H59*$H$59, V$37)</f>
        <v>19181.828557620902</v>
      </c>
      <c r="W59" s="259">
        <f>INDEX('Volume adjustments'!$J$481:$Y$521, W$36 + 1 + $H59*$H$59, W$37)</f>
        <v>146.43099999999998</v>
      </c>
      <c r="X59" s="259">
        <f>INDEX('Volume adjustments'!$J$481:$Y$521, X$36 + 1 + $H59*$H$59, X$37)</f>
        <v>4331.7769063989854</v>
      </c>
      <c r="Y59" s="259">
        <f>INDEX('Volume adjustments'!$J$481:$Y$521, Y$36 + 1 + $H59*$H$59, Y$37)</f>
        <v>7943.3523557159006</v>
      </c>
      <c r="Z59" s="259">
        <f>INDEX('Volume adjustments'!$J$481:$Y$521, Z$36 + 1 + $H59*$H$59, Z$37)</f>
        <v>12073.390465192988</v>
      </c>
      <c r="AA59" s="259">
        <f>INDEX('Volume adjustments'!$J$481:$Y$521, AA$36 + 1 + $H59*$H$59, AA$37)</f>
        <v>35037.56638266088</v>
      </c>
      <c r="AB59" s="259">
        <f>INDEX('Volume adjustments'!$J$481:$Y$521, AB$36 + 1 + $H59*$H$59, AB$37)</f>
        <v>4654.5249999999996</v>
      </c>
      <c r="AC59" s="259">
        <f>INDEX('Volume adjustments'!$J$481:$Y$521, AC$36 + 1 + $H59*$H$59, AC$37)</f>
        <v>19591.499015199184</v>
      </c>
      <c r="AD59" s="259">
        <f>INDEX('Volume adjustments'!$J$481:$Y$521, AD$36 + 1 + $H59*$H$59, AD$37)</f>
        <v>36134.547968143444</v>
      </c>
      <c r="AE59" s="259">
        <f>INDEX('Volume adjustments'!$J$481:$Y$521, AE$36 + 1 + $H59*$H$59, AE$37)</f>
        <v>33548.399766935392</v>
      </c>
      <c r="AF59" s="259">
        <f>INDEX('Volume adjustments'!$J$481:$Y$521, AF$36 + 1 + $H59*$H$59, AF$37)</f>
        <v>58449.505167970448</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6048.5181330320966</v>
      </c>
      <c r="AK59" s="259">
        <f>INDEX('Volume adjustments'!$J$481:$Y$521, AK$36 + 1 + $H59*$H$59, AK$37)</f>
        <v>0</v>
      </c>
      <c r="AL59" s="259">
        <f>INDEX('Volume adjustments'!$J$481:$Y$521, AL$36 + 1 + $H59*$H$59, AL$37)</f>
        <v>0</v>
      </c>
      <c r="AM59" s="259">
        <f>INDEX('Volume adjustments'!$J$481:$Y$521, AM$36 + 1 + $H59*$H$59, AM$37)</f>
        <v>0</v>
      </c>
      <c r="AN59" s="259">
        <f>INDEX('Volume adjustments'!$J$481:$Y$521, AN$36 + 1 + $H59*$H$59, AN$37)</f>
        <v>8398.768</v>
      </c>
      <c r="AO59" s="259">
        <f>INDEX('Volume adjustments'!$J$481:$Y$521, AO$36 + 1 + $H59*$H$59, AO$37)</f>
        <v>0</v>
      </c>
    </row>
    <row r="60" spans="1:41" x14ac:dyDescent="0.2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25">
      <c r="D61" s="105"/>
      <c r="E61" t="s">
        <v>694</v>
      </c>
      <c r="G61" t="s">
        <v>277</v>
      </c>
      <c r="H61" s="167">
        <f>'General inputs'!H86</f>
        <v>402894731.24181867</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2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25">
      <c r="D63" s="105"/>
      <c r="E63" s="75" t="s">
        <v>827</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25">
      <c r="A64" s="2"/>
      <c r="D64" s="105"/>
      <c r="F64" s="95" t="s">
        <v>1150</v>
      </c>
      <c r="G64" s="95" t="s">
        <v>277</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25">
      <c r="A65" s="2"/>
      <c r="C65" s="105"/>
      <c r="F65" s="96" t="s">
        <v>1151</v>
      </c>
      <c r="G65" s="96" t="s">
        <v>277</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2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25">
      <c r="C67" s="301"/>
      <c r="D67" s="302"/>
      <c r="E67" s="15" t="s">
        <v>840</v>
      </c>
      <c r="F67"/>
      <c r="G67" s="15" t="s">
        <v>277</v>
      </c>
      <c r="H67" s="314">
        <f>H61 - H64 - H65</f>
        <v>402894731.24181867</v>
      </c>
      <c r="I67" s="15" t="s">
        <v>154</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1104</v>
      </c>
    </row>
    <row r="68" spans="1:43" x14ac:dyDescent="0.2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25">
      <c r="C69" s="93" t="str">
        <f ca="1">INDEX('Version control'!$H$41:$H$64,MATCH($A$1,'Version control'!$F$41:$F$64,0),1)&amp;"-B: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2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25">
      <c r="B71" s="86"/>
      <c r="D71" s="86" t="s">
        <v>695</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25">
      <c r="D72" s="86" t="s">
        <v>696</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2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25">
      <c r="D74"/>
      <c r="E74" s="75" t="s">
        <v>697</v>
      </c>
      <c r="F74" s="75"/>
      <c r="H74" s="175" t="s">
        <v>502</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25">
      <c r="D75" s="105"/>
      <c r="F75" s="95" t="s">
        <v>156</v>
      </c>
      <c r="G75" s="95" t="s">
        <v>277</v>
      </c>
      <c r="H75" s="223">
        <f t="shared" ref="H75:H82" si="8">SUM(J75:AO75)</f>
        <v>145149203.51052031</v>
      </c>
      <c r="I75" s="176"/>
      <c r="J75" s="299">
        <f t="shared" ref="J75:AO75" si="9">J53 * thousand * J40 / hundred</f>
        <v>96139020.693706945</v>
      </c>
      <c r="K75" s="299">
        <f t="shared" si="9"/>
        <v>9772.9364924255242</v>
      </c>
      <c r="L75" s="299">
        <f t="shared" si="9"/>
        <v>27229.456913423244</v>
      </c>
      <c r="M75" s="299">
        <f t="shared" si="9"/>
        <v>2164256.8118974217</v>
      </c>
      <c r="N75" s="299">
        <f t="shared" si="9"/>
        <v>6332195.3340777028</v>
      </c>
      <c r="O75" s="299">
        <f t="shared" si="9"/>
        <v>5181789.82657775</v>
      </c>
      <c r="P75" s="299">
        <f t="shared" si="9"/>
        <v>13073887.516537244</v>
      </c>
      <c r="Q75" s="299">
        <f t="shared" si="9"/>
        <v>6236.4743090472684</v>
      </c>
      <c r="R75" s="299">
        <f t="shared" si="9"/>
        <v>19133.879102860206</v>
      </c>
      <c r="S75" s="299">
        <f t="shared" si="9"/>
        <v>4246358.4254169678</v>
      </c>
      <c r="T75" s="299">
        <f t="shared" si="9"/>
        <v>3734167.1784283966</v>
      </c>
      <c r="U75" s="299">
        <f t="shared" si="9"/>
        <v>2701640.5185855241</v>
      </c>
      <c r="V75" s="299">
        <f t="shared" si="9"/>
        <v>2390435.5927442471</v>
      </c>
      <c r="W75" s="299">
        <f t="shared" si="9"/>
        <v>3048.7329728457262</v>
      </c>
      <c r="X75" s="299">
        <f t="shared" si="9"/>
        <v>287630.30153079005</v>
      </c>
      <c r="Y75" s="299">
        <f t="shared" si="9"/>
        <v>527464.21608225477</v>
      </c>
      <c r="Z75" s="299">
        <f t="shared" si="9"/>
        <v>805181.39880427066</v>
      </c>
      <c r="AA75" s="299">
        <f t="shared" si="9"/>
        <v>2377547.6086656861</v>
      </c>
      <c r="AB75" s="299">
        <f t="shared" si="9"/>
        <v>32012.981018906332</v>
      </c>
      <c r="AC75" s="299">
        <f t="shared" si="9"/>
        <v>1218961.1192683298</v>
      </c>
      <c r="AD75" s="299">
        <f t="shared" si="9"/>
        <v>2261466.1092811837</v>
      </c>
      <c r="AE75" s="299">
        <f t="shared" si="9"/>
        <v>2100438.7809110414</v>
      </c>
      <c r="AF75" s="299">
        <f t="shared" si="9"/>
        <v>3647999.8232251294</v>
      </c>
      <c r="AG75" s="299">
        <f t="shared" si="9"/>
        <v>2128506.2221389967</v>
      </c>
      <c r="AH75" s="299">
        <f t="shared" si="9"/>
        <v>-1277234.388281771</v>
      </c>
      <c r="AI75" s="299">
        <f t="shared" si="9"/>
        <v>-129012.15559588208</v>
      </c>
      <c r="AJ75" s="299">
        <f t="shared" si="9"/>
        <v>-670727.80413281405</v>
      </c>
      <c r="AK75" s="299">
        <f t="shared" si="9"/>
        <v>0</v>
      </c>
      <c r="AL75" s="299">
        <f t="shared" si="9"/>
        <v>0</v>
      </c>
      <c r="AM75" s="299">
        <f t="shared" si="9"/>
        <v>0</v>
      </c>
      <c r="AN75" s="299">
        <f t="shared" si="9"/>
        <v>-4190204.080158609</v>
      </c>
      <c r="AO75" s="299">
        <f t="shared" si="9"/>
        <v>0</v>
      </c>
    </row>
    <row r="76" spans="1:43" x14ac:dyDescent="0.25">
      <c r="D76" s="105"/>
      <c r="F76" t="s">
        <v>157</v>
      </c>
      <c r="G76" t="s">
        <v>277</v>
      </c>
      <c r="H76" s="106">
        <f t="shared" si="8"/>
        <v>68580436.922599062</v>
      </c>
      <c r="I76" s="97"/>
      <c r="J76" s="306">
        <f t="shared" ref="J76:AO76" si="10">J54 * thousand * J41 / hundred</f>
        <v>41111853.746157199</v>
      </c>
      <c r="K76" s="306">
        <f t="shared" si="10"/>
        <v>56592.714608258655</v>
      </c>
      <c r="L76" s="306">
        <f t="shared" si="10"/>
        <v>18262.378941335282</v>
      </c>
      <c r="M76" s="306">
        <f t="shared" si="10"/>
        <v>1450192.0989746591</v>
      </c>
      <c r="N76" s="306">
        <f t="shared" si="10"/>
        <v>4243995.3529370083</v>
      </c>
      <c r="O76" s="306">
        <f t="shared" si="10"/>
        <v>3472552.1974191582</v>
      </c>
      <c r="P76" s="306">
        <f t="shared" si="10"/>
        <v>8761097.9972050209</v>
      </c>
      <c r="Q76" s="306">
        <f t="shared" si="10"/>
        <v>31052.525159136596</v>
      </c>
      <c r="R76" s="306">
        <f t="shared" si="10"/>
        <v>9502.9630341264183</v>
      </c>
      <c r="S76" s="306">
        <f t="shared" si="10"/>
        <v>2199940.2609150787</v>
      </c>
      <c r="T76" s="306">
        <f t="shared" si="10"/>
        <v>1934918.4240662474</v>
      </c>
      <c r="U76" s="306">
        <f t="shared" si="10"/>
        <v>1397615.4673338756</v>
      </c>
      <c r="V76" s="306">
        <f t="shared" si="10"/>
        <v>1229753.2148115584</v>
      </c>
      <c r="W76" s="306">
        <f t="shared" si="10"/>
        <v>1689.5923673720151</v>
      </c>
      <c r="X76" s="306">
        <f t="shared" si="10"/>
        <v>109849.86945118076</v>
      </c>
      <c r="Y76" s="306">
        <f t="shared" si="10"/>
        <v>201444.57943569246</v>
      </c>
      <c r="Z76" s="306">
        <f t="shared" si="10"/>
        <v>307186.673569709</v>
      </c>
      <c r="AA76" s="306">
        <f t="shared" si="10"/>
        <v>904585.02642043005</v>
      </c>
      <c r="AB76" s="306">
        <f t="shared" si="10"/>
        <v>17798.438192216559</v>
      </c>
      <c r="AC76" s="306">
        <f t="shared" si="10"/>
        <v>356761.97217333794</v>
      </c>
      <c r="AD76" s="306">
        <f t="shared" si="10"/>
        <v>662384.87732636137</v>
      </c>
      <c r="AE76" s="306">
        <f t="shared" si="10"/>
        <v>613977.93843848526</v>
      </c>
      <c r="AF76" s="306">
        <f t="shared" si="10"/>
        <v>1067498.9800032103</v>
      </c>
      <c r="AG76" s="306">
        <f t="shared" si="10"/>
        <v>1118186.3785739189</v>
      </c>
      <c r="AH76" s="306">
        <f t="shared" si="10"/>
        <v>-932800.76484018052</v>
      </c>
      <c r="AI76" s="306">
        <f t="shared" si="10"/>
        <v>-79356.843110996022</v>
      </c>
      <c r="AJ76" s="306">
        <f t="shared" si="10"/>
        <v>-440850.19411477825</v>
      </c>
      <c r="AK76" s="306">
        <f t="shared" si="10"/>
        <v>0</v>
      </c>
      <c r="AL76" s="306">
        <f t="shared" si="10"/>
        <v>0</v>
      </c>
      <c r="AM76" s="306">
        <f t="shared" si="10"/>
        <v>0</v>
      </c>
      <c r="AN76" s="306">
        <f t="shared" si="10"/>
        <v>-1245248.9428495411</v>
      </c>
      <c r="AO76" s="306">
        <f t="shared" si="10"/>
        <v>0</v>
      </c>
    </row>
    <row r="77" spans="1:43" x14ac:dyDescent="0.25">
      <c r="D77" s="105"/>
      <c r="F77" t="s">
        <v>158</v>
      </c>
      <c r="G77" t="s">
        <v>277</v>
      </c>
      <c r="H77" s="106">
        <f t="shared" si="8"/>
        <v>8732738.9018908348</v>
      </c>
      <c r="I77" s="97"/>
      <c r="J77" s="306">
        <f t="shared" ref="J77:AO77" si="11">J55 * thousand * J42 / hundred</f>
        <v>5135539.2777648084</v>
      </c>
      <c r="K77" s="306">
        <f t="shared" si="11"/>
        <v>47794.355056148634</v>
      </c>
      <c r="L77" s="306">
        <f t="shared" si="11"/>
        <v>1778.3161569979763</v>
      </c>
      <c r="M77" s="306">
        <f t="shared" si="11"/>
        <v>131137.24372290884</v>
      </c>
      <c r="N77" s="306">
        <f t="shared" si="11"/>
        <v>383944.76306209818</v>
      </c>
      <c r="O77" s="306">
        <f t="shared" si="11"/>
        <v>314131.5407047607</v>
      </c>
      <c r="P77" s="306">
        <f t="shared" si="11"/>
        <v>792660.68298438343</v>
      </c>
      <c r="Q77" s="306">
        <f t="shared" si="11"/>
        <v>23910.637376604158</v>
      </c>
      <c r="R77" s="306">
        <f t="shared" si="11"/>
        <v>1095.7968513240041</v>
      </c>
      <c r="S77" s="306">
        <f t="shared" si="11"/>
        <v>210150.12449123574</v>
      </c>
      <c r="T77" s="306">
        <f t="shared" si="11"/>
        <v>184609.01586239255</v>
      </c>
      <c r="U77" s="306">
        <f t="shared" si="11"/>
        <v>132911.38653953615</v>
      </c>
      <c r="V77" s="306">
        <f t="shared" si="11"/>
        <v>118075.76514432067</v>
      </c>
      <c r="W77" s="306">
        <f t="shared" si="11"/>
        <v>115.886146693743</v>
      </c>
      <c r="X77" s="306">
        <f t="shared" si="11"/>
        <v>10862.345548836031</v>
      </c>
      <c r="Y77" s="306">
        <f t="shared" si="11"/>
        <v>19919.88810218131</v>
      </c>
      <c r="Z77" s="306">
        <f t="shared" si="11"/>
        <v>30400.517899159608</v>
      </c>
      <c r="AA77" s="306">
        <f t="shared" si="11"/>
        <v>88860.192860216514</v>
      </c>
      <c r="AB77" s="306">
        <f t="shared" si="11"/>
        <v>2192.8134864168187</v>
      </c>
      <c r="AC77" s="306">
        <f t="shared" si="11"/>
        <v>37023.118260900301</v>
      </c>
      <c r="AD77" s="306">
        <f t="shared" si="11"/>
        <v>68611.89580940138</v>
      </c>
      <c r="AE77" s="306">
        <f t="shared" si="11"/>
        <v>63766.8076347264</v>
      </c>
      <c r="AF77" s="306">
        <f t="shared" si="11"/>
        <v>110778.97453937685</v>
      </c>
      <c r="AG77" s="306">
        <f t="shared" si="11"/>
        <v>1038521.5029729186</v>
      </c>
      <c r="AH77" s="306">
        <f t="shared" si="11"/>
        <v>-44300.433871462097</v>
      </c>
      <c r="AI77" s="306">
        <f t="shared" si="11"/>
        <v>-8881.0027197861364</v>
      </c>
      <c r="AJ77" s="306">
        <f t="shared" si="11"/>
        <v>-56782.850742050548</v>
      </c>
      <c r="AK77" s="306">
        <f t="shared" si="11"/>
        <v>0</v>
      </c>
      <c r="AL77" s="306">
        <f t="shared" si="11"/>
        <v>0</v>
      </c>
      <c r="AM77" s="306">
        <f t="shared" si="11"/>
        <v>0</v>
      </c>
      <c r="AN77" s="306">
        <f t="shared" si="11"/>
        <v>-106089.65975421354</v>
      </c>
      <c r="AO77" s="306">
        <f t="shared" si="11"/>
        <v>0</v>
      </c>
    </row>
    <row r="78" spans="1:43" x14ac:dyDescent="0.25">
      <c r="D78" s="105"/>
      <c r="F78" t="s">
        <v>159</v>
      </c>
      <c r="G78" t="s">
        <v>277</v>
      </c>
      <c r="H78" s="106">
        <f t="shared" si="8"/>
        <v>76699291.006177947</v>
      </c>
      <c r="I78" s="97"/>
      <c r="J78" s="299">
        <f t="shared" ref="J78:AO78" si="12">J56 * J43 * days_in_year / hundred</f>
        <v>66394008.923469827</v>
      </c>
      <c r="K78" s="299">
        <f t="shared" si="12"/>
        <v>0</v>
      </c>
      <c r="L78" s="299">
        <f t="shared" si="12"/>
        <v>12002.871664091104</v>
      </c>
      <c r="M78" s="299">
        <f t="shared" si="12"/>
        <v>3918091.452465327</v>
      </c>
      <c r="N78" s="299">
        <f t="shared" si="12"/>
        <v>2816925.0997982882</v>
      </c>
      <c r="O78" s="299">
        <f t="shared" si="12"/>
        <v>1144264.3386883966</v>
      </c>
      <c r="P78" s="299">
        <f t="shared" si="12"/>
        <v>1187789.30141492</v>
      </c>
      <c r="Q78" s="299">
        <f t="shared" si="12"/>
        <v>0</v>
      </c>
      <c r="R78" s="299">
        <f t="shared" si="12"/>
        <v>4209.6118963304216</v>
      </c>
      <c r="S78" s="299">
        <f t="shared" si="12"/>
        <v>290230.57381158567</v>
      </c>
      <c r="T78" s="299">
        <f t="shared" si="12"/>
        <v>144720.44655375913</v>
      </c>
      <c r="U78" s="299">
        <f t="shared" si="12"/>
        <v>69011.699267126765</v>
      </c>
      <c r="V78" s="299">
        <f t="shared" si="12"/>
        <v>32310.859195714445</v>
      </c>
      <c r="W78" s="299">
        <f t="shared" si="12"/>
        <v>444.13653477955171</v>
      </c>
      <c r="X78" s="299">
        <f t="shared" si="12"/>
        <v>18977.907709617579</v>
      </c>
      <c r="Y78" s="299">
        <f t="shared" si="12"/>
        <v>20385.782659375771</v>
      </c>
      <c r="Z78" s="299">
        <f t="shared" si="12"/>
        <v>19070.443518594042</v>
      </c>
      <c r="AA78" s="299">
        <f t="shared" si="12"/>
        <v>26345.992445591775</v>
      </c>
      <c r="AB78" s="299">
        <f t="shared" si="12"/>
        <v>70578.074091061528</v>
      </c>
      <c r="AC78" s="299">
        <f t="shared" si="12"/>
        <v>182169.21750121019</v>
      </c>
      <c r="AD78" s="299">
        <f t="shared" si="12"/>
        <v>146734.31210462889</v>
      </c>
      <c r="AE78" s="299">
        <f t="shared" si="12"/>
        <v>61177.066032186151</v>
      </c>
      <c r="AF78" s="299">
        <f t="shared" si="12"/>
        <v>53137.730314406937</v>
      </c>
      <c r="AG78" s="299">
        <f t="shared" si="12"/>
        <v>0</v>
      </c>
      <c r="AH78" s="299">
        <f t="shared" si="12"/>
        <v>0</v>
      </c>
      <c r="AI78" s="299">
        <f t="shared" si="12"/>
        <v>0</v>
      </c>
      <c r="AJ78" s="299">
        <f t="shared" si="12"/>
        <v>0</v>
      </c>
      <c r="AK78" s="299">
        <f t="shared" si="12"/>
        <v>0</v>
      </c>
      <c r="AL78" s="299">
        <f t="shared" si="12"/>
        <v>0</v>
      </c>
      <c r="AM78" s="299">
        <f t="shared" si="12"/>
        <v>0</v>
      </c>
      <c r="AN78" s="299">
        <f t="shared" si="12"/>
        <v>86705.165041119282</v>
      </c>
      <c r="AO78" s="299">
        <f t="shared" si="12"/>
        <v>0</v>
      </c>
    </row>
    <row r="79" spans="1:43" x14ac:dyDescent="0.25">
      <c r="D79" s="105"/>
      <c r="F79" t="s">
        <v>693</v>
      </c>
      <c r="G79" t="s">
        <v>277</v>
      </c>
      <c r="H79" s="106">
        <f t="shared" si="8"/>
        <v>91003026.086458445</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108733.80055124308</v>
      </c>
      <c r="S79" s="316">
        <f t="shared" si="13"/>
        <v>9393754.2233312465</v>
      </c>
      <c r="T79" s="316">
        <f t="shared" si="13"/>
        <v>12252406.987794252</v>
      </c>
      <c r="U79" s="316">
        <f t="shared" si="13"/>
        <v>9411258.8392611034</v>
      </c>
      <c r="V79" s="316">
        <f t="shared" si="13"/>
        <v>8905230.1241511181</v>
      </c>
      <c r="W79" s="316">
        <f t="shared" si="13"/>
        <v>26950.645164267455</v>
      </c>
      <c r="X79" s="316">
        <f t="shared" si="13"/>
        <v>802378.04848994163</v>
      </c>
      <c r="Y79" s="316">
        <f t="shared" si="13"/>
        <v>1973668.942995985</v>
      </c>
      <c r="Z79" s="316">
        <f t="shared" si="13"/>
        <v>3034385.5650088084</v>
      </c>
      <c r="AA79" s="316">
        <f t="shared" si="13"/>
        <v>9159573.6528039053</v>
      </c>
      <c r="AB79" s="316">
        <f t="shared" si="13"/>
        <v>941174.72926148982</v>
      </c>
      <c r="AC79" s="316">
        <f t="shared" si="13"/>
        <v>4030198.0330713345</v>
      </c>
      <c r="AD79" s="316">
        <f t="shared" si="13"/>
        <v>8514172.1374418009</v>
      </c>
      <c r="AE79" s="316">
        <f t="shared" si="13"/>
        <v>7026519.2222142592</v>
      </c>
      <c r="AF79" s="316">
        <f t="shared" si="13"/>
        <v>15422621.134917678</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25">
      <c r="D80" s="105"/>
      <c r="F80" t="s">
        <v>252</v>
      </c>
      <c r="G80" t="s">
        <v>277</v>
      </c>
      <c r="H80" s="106">
        <f t="shared" si="8"/>
        <v>1716993.6919341793</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8458.3722725887692</v>
      </c>
      <c r="S80" s="300">
        <f t="shared" si="14"/>
        <v>270842.94853305543</v>
      </c>
      <c r="T80" s="300">
        <f t="shared" si="14"/>
        <v>337781.28017669858</v>
      </c>
      <c r="U80" s="300">
        <f t="shared" si="14"/>
        <v>259224.38380618565</v>
      </c>
      <c r="V80" s="300">
        <f t="shared" si="14"/>
        <v>223213.09279103449</v>
      </c>
      <c r="W80" s="300">
        <f t="shared" si="14"/>
        <v>877.6698978978385</v>
      </c>
      <c r="X80" s="300">
        <f t="shared" si="14"/>
        <v>9761.320259014914</v>
      </c>
      <c r="Y80" s="300">
        <f t="shared" si="14"/>
        <v>23896.712205252541</v>
      </c>
      <c r="Z80" s="300">
        <f t="shared" si="14"/>
        <v>36830.461548447303</v>
      </c>
      <c r="AA80" s="300">
        <f t="shared" si="14"/>
        <v>104730.44606173637</v>
      </c>
      <c r="AB80" s="300">
        <f t="shared" si="14"/>
        <v>217074.61030466616</v>
      </c>
      <c r="AC80" s="300">
        <f t="shared" si="14"/>
        <v>26260.921714845517</v>
      </c>
      <c r="AD80" s="300">
        <f t="shared" si="14"/>
        <v>54874.342568082269</v>
      </c>
      <c r="AE80" s="300">
        <f t="shared" si="14"/>
        <v>44475.697067319343</v>
      </c>
      <c r="AF80" s="300">
        <f t="shared" si="14"/>
        <v>98691.432727353647</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25">
      <c r="D81" s="105"/>
      <c r="F81" s="96" t="s">
        <v>215</v>
      </c>
      <c r="G81" s="101" t="s">
        <v>277</v>
      </c>
      <c r="H81" s="196">
        <f t="shared" si="8"/>
        <v>448322.40334364824</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828.37974413333291</v>
      </c>
      <c r="S81" s="300">
        <f t="shared" si="15"/>
        <v>72483.511632253387</v>
      </c>
      <c r="T81" s="300">
        <f t="shared" si="15"/>
        <v>63860.707747250563</v>
      </c>
      <c r="U81" s="300">
        <f t="shared" si="15"/>
        <v>45785.309465792001</v>
      </c>
      <c r="V81" s="300">
        <f t="shared" si="15"/>
        <v>41526.052905351295</v>
      </c>
      <c r="W81" s="300">
        <f t="shared" si="15"/>
        <v>172.51216943011866</v>
      </c>
      <c r="X81" s="300">
        <f t="shared" si="15"/>
        <v>5103.3198681302274</v>
      </c>
      <c r="Y81" s="300">
        <f t="shared" si="15"/>
        <v>9358.1615056401588</v>
      </c>
      <c r="Z81" s="300">
        <f t="shared" si="15"/>
        <v>14223.810405770311</v>
      </c>
      <c r="AA81" s="300">
        <f t="shared" si="15"/>
        <v>41278.189647169143</v>
      </c>
      <c r="AB81" s="300">
        <f t="shared" si="15"/>
        <v>3801.058251751926</v>
      </c>
      <c r="AC81" s="300">
        <f t="shared" si="15"/>
        <v>15999.146850841405</v>
      </c>
      <c r="AD81" s="300">
        <f t="shared" si="15"/>
        <v>29508.815986086101</v>
      </c>
      <c r="AE81" s="300">
        <f t="shared" si="15"/>
        <v>27396.871166699537</v>
      </c>
      <c r="AF81" s="300">
        <f t="shared" si="15"/>
        <v>47732.040096364486</v>
      </c>
      <c r="AG81" s="300">
        <f t="shared" si="15"/>
        <v>0</v>
      </c>
      <c r="AH81" s="300">
        <f t="shared" si="15"/>
        <v>0</v>
      </c>
      <c r="AI81" s="300">
        <f t="shared" si="15"/>
        <v>0</v>
      </c>
      <c r="AJ81" s="300">
        <f t="shared" si="15"/>
        <v>15946.080538842558</v>
      </c>
      <c r="AK81" s="300">
        <f t="shared" si="15"/>
        <v>0</v>
      </c>
      <c r="AL81" s="300">
        <f t="shared" si="15"/>
        <v>0</v>
      </c>
      <c r="AM81" s="300">
        <f t="shared" si="15"/>
        <v>0</v>
      </c>
      <c r="AN81" s="300">
        <f t="shared" si="15"/>
        <v>13318.435362141632</v>
      </c>
      <c r="AO81" s="300">
        <f t="shared" si="15"/>
        <v>0</v>
      </c>
    </row>
    <row r="82" spans="2:43" x14ac:dyDescent="0.25">
      <c r="D82"/>
      <c r="E82" s="86"/>
      <c r="F82" s="145" t="s">
        <v>101</v>
      </c>
      <c r="G82" s="217" t="s">
        <v>277</v>
      </c>
      <c r="H82" s="228">
        <f t="shared" si="8"/>
        <v>392330012.52292454</v>
      </c>
      <c r="I82" s="229"/>
      <c r="J82" s="317">
        <f t="shared" ref="J82" si="16">SUM(J75:J81)</f>
        <v>208780422.6410988</v>
      </c>
      <c r="K82" s="317">
        <f t="shared" ref="K82:AO82" si="17">SUM(K75:K81)</f>
        <v>114160.00615683281</v>
      </c>
      <c r="L82" s="317">
        <f t="shared" si="17"/>
        <v>59273.023675847609</v>
      </c>
      <c r="M82" s="317">
        <f t="shared" si="17"/>
        <v>7663677.607060317</v>
      </c>
      <c r="N82" s="317">
        <f t="shared" si="17"/>
        <v>13777060.549875097</v>
      </c>
      <c r="O82" s="317">
        <f t="shared" si="17"/>
        <v>10112737.903390065</v>
      </c>
      <c r="P82" s="317">
        <f t="shared" si="17"/>
        <v>23815435.498141564</v>
      </c>
      <c r="Q82" s="317">
        <f t="shared" si="17"/>
        <v>61199.636844788023</v>
      </c>
      <c r="R82" s="317">
        <f t="shared" si="17"/>
        <v>151962.80345260625</v>
      </c>
      <c r="S82" s="317">
        <f t="shared" si="17"/>
        <v>16683760.068131424</v>
      </c>
      <c r="T82" s="317">
        <f t="shared" si="17"/>
        <v>18652464.040628999</v>
      </c>
      <c r="U82" s="317">
        <f t="shared" si="17"/>
        <v>14017447.604259143</v>
      </c>
      <c r="V82" s="317">
        <f t="shared" si="17"/>
        <v>12940544.701743344</v>
      </c>
      <c r="W82" s="317">
        <f t="shared" si="17"/>
        <v>33299.175253286448</v>
      </c>
      <c r="X82" s="317">
        <f t="shared" si="17"/>
        <v>1244563.112857511</v>
      </c>
      <c r="Y82" s="317">
        <f t="shared" si="17"/>
        <v>2776138.282986382</v>
      </c>
      <c r="Z82" s="317">
        <f t="shared" si="17"/>
        <v>4247278.8707547598</v>
      </c>
      <c r="AA82" s="317">
        <f t="shared" si="17"/>
        <v>12702921.108904736</v>
      </c>
      <c r="AB82" s="317">
        <f t="shared" si="17"/>
        <v>1284632.7046065091</v>
      </c>
      <c r="AC82" s="317">
        <f t="shared" si="17"/>
        <v>5867373.5288407989</v>
      </c>
      <c r="AD82" s="317">
        <f t="shared" si="17"/>
        <v>11737752.490517544</v>
      </c>
      <c r="AE82" s="317">
        <f t="shared" si="17"/>
        <v>9937752.3834647145</v>
      </c>
      <c r="AF82" s="317">
        <f t="shared" si="17"/>
        <v>20448460.115823522</v>
      </c>
      <c r="AG82" s="317">
        <f t="shared" si="17"/>
        <v>4285214.1036858344</v>
      </c>
      <c r="AH82" s="317">
        <f t="shared" si="17"/>
        <v>-2254335.5869934135</v>
      </c>
      <c r="AI82" s="317">
        <f t="shared" si="17"/>
        <v>-217250.00142666424</v>
      </c>
      <c r="AJ82" s="317">
        <f t="shared" si="17"/>
        <v>-1152414.7684508001</v>
      </c>
      <c r="AK82" s="317">
        <f t="shared" si="17"/>
        <v>0</v>
      </c>
      <c r="AL82" s="317">
        <f t="shared" si="17"/>
        <v>0</v>
      </c>
      <c r="AM82" s="317">
        <f t="shared" si="17"/>
        <v>0</v>
      </c>
      <c r="AN82" s="317">
        <f t="shared" si="17"/>
        <v>-5441519.0823591035</v>
      </c>
      <c r="AO82" s="317">
        <f t="shared" si="17"/>
        <v>0</v>
      </c>
      <c r="AP82" s="318"/>
      <c r="AQ82" s="318"/>
    </row>
    <row r="83" spans="2:43" x14ac:dyDescent="0.2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25">
      <c r="D84" s="105"/>
      <c r="E84" t="s">
        <v>698</v>
      </c>
      <c r="G84" t="s">
        <v>277</v>
      </c>
      <c r="H84" s="168">
        <f>H67 - H82</f>
        <v>10564718.718894124</v>
      </c>
      <c r="I84" s="318" t="s">
        <v>154</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1094</v>
      </c>
    </row>
    <row r="85" spans="2:43" x14ac:dyDescent="0.2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25">
      <c r="B86" s="85" t="s">
        <v>884</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2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25">
      <c r="C88" s="93" t="str">
        <f ca="1">INDEX('Version control'!$H$41:$H$64,MATCH($A$1,'Version control'!$F$41:$F$64,0),1)&amp;"-C: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2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25">
      <c r="C90" s="86"/>
      <c r="D90" s="86" t="s">
        <v>1090</v>
      </c>
      <c r="E90"/>
      <c r="I90" t="s">
        <v>154</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1088</v>
      </c>
    </row>
    <row r="91" spans="2:43" x14ac:dyDescent="0.25">
      <c r="C91" s="86"/>
      <c r="D91" s="86" t="s">
        <v>1066</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2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25">
      <c r="C93" s="86"/>
      <c r="D93"/>
      <c r="E93" s="75" t="s">
        <v>974</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25">
      <c r="C94" s="86"/>
      <c r="D94"/>
      <c r="E94"/>
      <c r="F94" s="95" t="s">
        <v>941</v>
      </c>
      <c r="G94" s="95" t="s">
        <v>149</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25">
      <c r="C95" s="86"/>
      <c r="D95"/>
      <c r="E95"/>
      <c r="F95" t="s">
        <v>942</v>
      </c>
      <c r="G95" t="s">
        <v>149</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25">
      <c r="C96" s="86"/>
      <c r="D96"/>
      <c r="E96"/>
      <c r="F96" t="s">
        <v>943</v>
      </c>
      <c r="G96" t="s">
        <v>149</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25">
      <c r="C97" s="86"/>
      <c r="D97"/>
      <c r="E97"/>
      <c r="F97" t="s">
        <v>944</v>
      </c>
      <c r="G97" t="s">
        <v>149</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25">
      <c r="C98" s="86"/>
      <c r="D98"/>
      <c r="E98"/>
      <c r="F98" t="s">
        <v>945</v>
      </c>
      <c r="G98" t="s">
        <v>149</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25">
      <c r="C99" s="86"/>
      <c r="D99"/>
      <c r="E99"/>
      <c r="F99" t="s">
        <v>946</v>
      </c>
      <c r="G99" t="s">
        <v>149</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25">
      <c r="C100" s="86"/>
      <c r="D100"/>
      <c r="E100"/>
      <c r="F100" t="s">
        <v>947</v>
      </c>
      <c r="G100" t="s">
        <v>149</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25">
      <c r="C101" s="86"/>
      <c r="D101"/>
      <c r="E101"/>
      <c r="F101" s="96" t="s">
        <v>948</v>
      </c>
      <c r="G101" s="96" t="s">
        <v>149</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2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25">
      <c r="C103" s="86"/>
      <c r="D103"/>
      <c r="E103" s="75" t="s">
        <v>963</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25">
      <c r="C104" s="86"/>
      <c r="D104"/>
      <c r="E104"/>
      <c r="F104" s="95" t="s">
        <v>941</v>
      </c>
      <c r="G104" s="95" t="s">
        <v>149</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25">
      <c r="C105" s="86"/>
      <c r="D105"/>
      <c r="E105"/>
      <c r="F105" t="s">
        <v>942</v>
      </c>
      <c r="G105" t="s">
        <v>149</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25">
      <c r="C106" s="86"/>
      <c r="D106"/>
      <c r="E106"/>
      <c r="F106" t="s">
        <v>943</v>
      </c>
      <c r="G106" t="s">
        <v>149</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25">
      <c r="C107" s="86"/>
      <c r="D107"/>
      <c r="E107"/>
      <c r="F107" t="s">
        <v>944</v>
      </c>
      <c r="G107" t="s">
        <v>149</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25">
      <c r="C108" s="86"/>
      <c r="D108"/>
      <c r="E108"/>
      <c r="F108" t="s">
        <v>945</v>
      </c>
      <c r="G108" t="s">
        <v>149</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25">
      <c r="C109" s="86"/>
      <c r="D109"/>
      <c r="E109"/>
      <c r="F109" t="s">
        <v>946</v>
      </c>
      <c r="G109" t="s">
        <v>149</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25">
      <c r="C110" s="86"/>
      <c r="D110"/>
      <c r="E110"/>
      <c r="F110" t="s">
        <v>947</v>
      </c>
      <c r="G110" t="s">
        <v>149</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25">
      <c r="C111" s="86"/>
      <c r="D111"/>
      <c r="E111"/>
      <c r="F111" s="96" t="s">
        <v>948</v>
      </c>
      <c r="G111" s="96" t="s">
        <v>149</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2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25">
      <c r="C113" s="86"/>
      <c r="D113"/>
      <c r="E113" s="75" t="s">
        <v>964</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25">
      <c r="C114" s="86"/>
      <c r="D114"/>
      <c r="E114"/>
      <c r="F114" s="95" t="s">
        <v>941</v>
      </c>
      <c r="G114" s="95" t="s">
        <v>212</v>
      </c>
      <c r="H114" s="95"/>
      <c r="I114" s="95"/>
      <c r="J114" s="326">
        <f t="shared" ref="J114:J121" si="44">SUMIF($J104:$AO104, J104, $J$56:$AO$56)</f>
        <v>1555970.1026352285</v>
      </c>
      <c r="K114" s="321"/>
      <c r="L114" s="321"/>
      <c r="M114" s="326">
        <f t="shared" ref="M114:P121" si="45">SUMIF($J104:$AO104, M104, $J$56:$AO$56)</f>
        <v>61663.482416823586</v>
      </c>
      <c r="N114" s="326">
        <f t="shared" si="45"/>
        <v>44333.169214726993</v>
      </c>
      <c r="O114" s="326">
        <f t="shared" si="45"/>
        <v>18008.595456472343</v>
      </c>
      <c r="P114" s="326">
        <f t="shared" si="45"/>
        <v>18693.597531166422</v>
      </c>
      <c r="Q114" s="321"/>
      <c r="R114" s="321"/>
      <c r="S114" s="326">
        <f t="shared" ref="S114:V121" si="46">SUMIF($J104:$AO104, S104, $J$56:$AO$56)</f>
        <v>4977.9399934925041</v>
      </c>
      <c r="T114" s="326">
        <f t="shared" si="46"/>
        <v>2703.6427901914276</v>
      </c>
      <c r="U114" s="326">
        <f t="shared" si="46"/>
        <v>1478.8105802426135</v>
      </c>
      <c r="V114" s="326">
        <f t="shared" si="46"/>
        <v>1045.4877797094668</v>
      </c>
      <c r="W114" s="321"/>
      <c r="X114" s="326">
        <f t="shared" ref="X114:AA121" si="47">SUMIF($J104:$AO104, X104, $J$56:$AO$56)</f>
        <v>4977.9399934925041</v>
      </c>
      <c r="Y114" s="326">
        <f t="shared" si="47"/>
        <v>2703.6427901914276</v>
      </c>
      <c r="Z114" s="326">
        <f t="shared" si="47"/>
        <v>1478.8105802426135</v>
      </c>
      <c r="AA114" s="326">
        <f t="shared" si="47"/>
        <v>1045.4877797094668</v>
      </c>
      <c r="AB114" s="321"/>
      <c r="AC114" s="326">
        <f t="shared" ref="AC114:AG121" si="48">SUMIF($J104:$AO104, AC104, $J$56:$AO$56)</f>
        <v>400.05973308576057</v>
      </c>
      <c r="AD114" s="326">
        <f t="shared" si="48"/>
        <v>322.24154300223938</v>
      </c>
      <c r="AE114" s="326">
        <f t="shared" si="48"/>
        <v>134.35025435976169</v>
      </c>
      <c r="AF114" s="326">
        <f t="shared" si="48"/>
        <v>116.69516122406107</v>
      </c>
      <c r="AG114" s="326">
        <f t="shared" si="48"/>
        <v>2437</v>
      </c>
      <c r="AH114" s="321"/>
      <c r="AI114" s="321"/>
      <c r="AJ114" s="321"/>
      <c r="AK114" s="321"/>
      <c r="AL114" s="321"/>
      <c r="AM114" s="321"/>
      <c r="AN114" s="321"/>
      <c r="AO114" s="321"/>
    </row>
    <row r="115" spans="3:41" x14ac:dyDescent="0.25">
      <c r="C115" s="86"/>
      <c r="D115"/>
      <c r="E115"/>
      <c r="F115" t="s">
        <v>942</v>
      </c>
      <c r="G115" t="s">
        <v>212</v>
      </c>
      <c r="J115" s="327">
        <f t="shared" si="44"/>
        <v>1555970.1026352285</v>
      </c>
      <c r="K115" s="323"/>
      <c r="L115" s="323"/>
      <c r="M115" s="327">
        <f t="shared" si="45"/>
        <v>105996.65163155057</v>
      </c>
      <c r="N115" s="327">
        <f t="shared" si="45"/>
        <v>105996.65163155057</v>
      </c>
      <c r="O115" s="327">
        <f t="shared" si="45"/>
        <v>18008.595456472343</v>
      </c>
      <c r="P115" s="327">
        <f t="shared" si="45"/>
        <v>18693.597531166422</v>
      </c>
      <c r="Q115" s="323"/>
      <c r="R115" s="323"/>
      <c r="S115" s="327">
        <f t="shared" si="46"/>
        <v>7681.5827836839317</v>
      </c>
      <c r="T115" s="327">
        <f t="shared" si="46"/>
        <v>7681.5827836839317</v>
      </c>
      <c r="U115" s="327">
        <f t="shared" si="46"/>
        <v>1478.8105802426135</v>
      </c>
      <c r="V115" s="327">
        <f t="shared" si="46"/>
        <v>1045.4877797094668</v>
      </c>
      <c r="W115" s="323"/>
      <c r="X115" s="327">
        <f t="shared" si="47"/>
        <v>7681.5827836839317</v>
      </c>
      <c r="Y115" s="327">
        <f t="shared" si="47"/>
        <v>7681.5827836839317</v>
      </c>
      <c r="Z115" s="327">
        <f t="shared" si="47"/>
        <v>1478.8105802426135</v>
      </c>
      <c r="AA115" s="327">
        <f t="shared" si="47"/>
        <v>1045.4877797094668</v>
      </c>
      <c r="AB115" s="323"/>
      <c r="AC115" s="327">
        <f t="shared" si="48"/>
        <v>722.3012760879999</v>
      </c>
      <c r="AD115" s="327">
        <f t="shared" si="48"/>
        <v>722.3012760879999</v>
      </c>
      <c r="AE115" s="327">
        <f t="shared" si="48"/>
        <v>134.35025435976169</v>
      </c>
      <c r="AF115" s="327">
        <f t="shared" si="48"/>
        <v>116.69516122406107</v>
      </c>
      <c r="AG115" s="327">
        <f t="shared" si="48"/>
        <v>2437</v>
      </c>
      <c r="AH115" s="323"/>
      <c r="AI115" s="323"/>
      <c r="AJ115" s="323"/>
      <c r="AK115" s="323"/>
      <c r="AL115" s="323"/>
      <c r="AM115" s="323"/>
      <c r="AN115" s="323"/>
      <c r="AO115" s="323"/>
    </row>
    <row r="116" spans="3:41" x14ac:dyDescent="0.25">
      <c r="C116" s="86"/>
      <c r="D116"/>
      <c r="E116"/>
      <c r="F116" t="s">
        <v>943</v>
      </c>
      <c r="G116" t="s">
        <v>212</v>
      </c>
      <c r="J116" s="327">
        <f t="shared" si="44"/>
        <v>1555970.1026352285</v>
      </c>
      <c r="K116" s="323"/>
      <c r="L116" s="323"/>
      <c r="M116" s="327">
        <f t="shared" si="45"/>
        <v>61663.482416823586</v>
      </c>
      <c r="N116" s="327">
        <f t="shared" si="45"/>
        <v>62341.764671199337</v>
      </c>
      <c r="O116" s="327">
        <f t="shared" si="45"/>
        <v>62341.764671199337</v>
      </c>
      <c r="P116" s="327">
        <f t="shared" si="45"/>
        <v>18693.597531166422</v>
      </c>
      <c r="Q116" s="323"/>
      <c r="R116" s="323"/>
      <c r="S116" s="327">
        <f t="shared" si="46"/>
        <v>4977.9399934925041</v>
      </c>
      <c r="T116" s="327">
        <f t="shared" si="46"/>
        <v>4182.4533704340411</v>
      </c>
      <c r="U116" s="327">
        <f t="shared" si="46"/>
        <v>4182.4533704340411</v>
      </c>
      <c r="V116" s="327">
        <f t="shared" si="46"/>
        <v>1045.4877797094668</v>
      </c>
      <c r="W116" s="323"/>
      <c r="X116" s="327">
        <f t="shared" si="47"/>
        <v>4977.9399934925041</v>
      </c>
      <c r="Y116" s="327">
        <f t="shared" si="47"/>
        <v>4182.4533704340411</v>
      </c>
      <c r="Z116" s="327">
        <f t="shared" si="47"/>
        <v>4182.4533704340411</v>
      </c>
      <c r="AA116" s="327">
        <f t="shared" si="47"/>
        <v>1045.4877797094668</v>
      </c>
      <c r="AB116" s="323"/>
      <c r="AC116" s="327">
        <f t="shared" si="48"/>
        <v>400.05973308576057</v>
      </c>
      <c r="AD116" s="327">
        <f t="shared" si="48"/>
        <v>456.5917973620011</v>
      </c>
      <c r="AE116" s="327">
        <f t="shared" si="48"/>
        <v>456.5917973620011</v>
      </c>
      <c r="AF116" s="327">
        <f t="shared" si="48"/>
        <v>116.69516122406107</v>
      </c>
      <c r="AG116" s="327">
        <f t="shared" si="48"/>
        <v>2437</v>
      </c>
      <c r="AH116" s="323"/>
      <c r="AI116" s="323"/>
      <c r="AJ116" s="323"/>
      <c r="AK116" s="323"/>
      <c r="AL116" s="323"/>
      <c r="AM116" s="323"/>
      <c r="AN116" s="323"/>
      <c r="AO116" s="323"/>
    </row>
    <row r="117" spans="3:41" x14ac:dyDescent="0.25">
      <c r="C117" s="86"/>
      <c r="D117"/>
      <c r="E117"/>
      <c r="F117" t="s">
        <v>944</v>
      </c>
      <c r="G117" t="s">
        <v>212</v>
      </c>
      <c r="J117" s="327">
        <f t="shared" si="44"/>
        <v>1555970.1026352285</v>
      </c>
      <c r="K117" s="323"/>
      <c r="L117" s="323"/>
      <c r="M117" s="327">
        <f t="shared" si="45"/>
        <v>61663.482416823586</v>
      </c>
      <c r="N117" s="327">
        <f t="shared" si="45"/>
        <v>44333.169214726993</v>
      </c>
      <c r="O117" s="327">
        <f t="shared" si="45"/>
        <v>36702.192987638766</v>
      </c>
      <c r="P117" s="327">
        <f t="shared" si="45"/>
        <v>36702.192987638766</v>
      </c>
      <c r="Q117" s="323"/>
      <c r="R117" s="323"/>
      <c r="S117" s="327">
        <f t="shared" si="46"/>
        <v>4977.9399934925041</v>
      </c>
      <c r="T117" s="327">
        <f t="shared" si="46"/>
        <v>2703.6427901914276</v>
      </c>
      <c r="U117" s="327">
        <f t="shared" si="46"/>
        <v>2524.2983599520803</v>
      </c>
      <c r="V117" s="327">
        <f t="shared" si="46"/>
        <v>2524.2983599520803</v>
      </c>
      <c r="W117" s="323"/>
      <c r="X117" s="327">
        <f t="shared" si="47"/>
        <v>4977.9399934925041</v>
      </c>
      <c r="Y117" s="327">
        <f t="shared" si="47"/>
        <v>2703.6427901914276</v>
      </c>
      <c r="Z117" s="327">
        <f t="shared" si="47"/>
        <v>2524.2983599520803</v>
      </c>
      <c r="AA117" s="327">
        <f t="shared" si="47"/>
        <v>2524.2983599520803</v>
      </c>
      <c r="AB117" s="323"/>
      <c r="AC117" s="327">
        <f t="shared" si="48"/>
        <v>400.05973308576057</v>
      </c>
      <c r="AD117" s="327">
        <f t="shared" si="48"/>
        <v>322.24154300223938</v>
      </c>
      <c r="AE117" s="327">
        <f t="shared" si="48"/>
        <v>251.04541558382277</v>
      </c>
      <c r="AF117" s="327">
        <f t="shared" si="48"/>
        <v>251.04541558382277</v>
      </c>
      <c r="AG117" s="327">
        <f t="shared" si="48"/>
        <v>2437</v>
      </c>
      <c r="AH117" s="323"/>
      <c r="AI117" s="323"/>
      <c r="AJ117" s="323"/>
      <c r="AK117" s="323"/>
      <c r="AL117" s="323"/>
      <c r="AM117" s="323"/>
      <c r="AN117" s="323"/>
      <c r="AO117" s="323"/>
    </row>
    <row r="118" spans="3:41" x14ac:dyDescent="0.25">
      <c r="C118" s="86"/>
      <c r="D118"/>
      <c r="E118"/>
      <c r="F118" t="s">
        <v>945</v>
      </c>
      <c r="G118" t="s">
        <v>212</v>
      </c>
      <c r="J118" s="327">
        <f t="shared" si="44"/>
        <v>1555970.1026352285</v>
      </c>
      <c r="K118" s="323"/>
      <c r="L118" s="323"/>
      <c r="M118" s="327">
        <f t="shared" si="45"/>
        <v>105996.65163155057</v>
      </c>
      <c r="N118" s="327">
        <f t="shared" si="45"/>
        <v>105996.65163155057</v>
      </c>
      <c r="O118" s="327">
        <f t="shared" si="45"/>
        <v>36702.192987638766</v>
      </c>
      <c r="P118" s="327">
        <f t="shared" si="45"/>
        <v>36702.192987638766</v>
      </c>
      <c r="Q118" s="323"/>
      <c r="R118" s="323"/>
      <c r="S118" s="327">
        <f t="shared" si="46"/>
        <v>7681.5827836839317</v>
      </c>
      <c r="T118" s="327">
        <f t="shared" si="46"/>
        <v>7681.5827836839317</v>
      </c>
      <c r="U118" s="327">
        <f t="shared" si="46"/>
        <v>2524.2983599520803</v>
      </c>
      <c r="V118" s="327">
        <f t="shared" si="46"/>
        <v>2524.2983599520803</v>
      </c>
      <c r="W118" s="323"/>
      <c r="X118" s="327">
        <f t="shared" si="47"/>
        <v>7681.5827836839317</v>
      </c>
      <c r="Y118" s="327">
        <f t="shared" si="47"/>
        <v>7681.5827836839317</v>
      </c>
      <c r="Z118" s="327">
        <f t="shared" si="47"/>
        <v>2524.2983599520803</v>
      </c>
      <c r="AA118" s="327">
        <f t="shared" si="47"/>
        <v>2524.2983599520803</v>
      </c>
      <c r="AB118" s="323"/>
      <c r="AC118" s="327">
        <f t="shared" si="48"/>
        <v>722.3012760879999</v>
      </c>
      <c r="AD118" s="327">
        <f t="shared" si="48"/>
        <v>722.3012760879999</v>
      </c>
      <c r="AE118" s="327">
        <f t="shared" si="48"/>
        <v>251.04541558382277</v>
      </c>
      <c r="AF118" s="327">
        <f t="shared" si="48"/>
        <v>251.04541558382277</v>
      </c>
      <c r="AG118" s="327">
        <f t="shared" si="48"/>
        <v>2437</v>
      </c>
      <c r="AH118" s="323"/>
      <c r="AI118" s="323"/>
      <c r="AJ118" s="323"/>
      <c r="AK118" s="323"/>
      <c r="AL118" s="323"/>
      <c r="AM118" s="323"/>
      <c r="AN118" s="323"/>
      <c r="AO118" s="323"/>
    </row>
    <row r="119" spans="3:41" x14ac:dyDescent="0.25">
      <c r="C119" s="86"/>
      <c r="D119"/>
      <c r="E119"/>
      <c r="F119" t="s">
        <v>946</v>
      </c>
      <c r="G119" t="s">
        <v>212</v>
      </c>
      <c r="J119" s="327">
        <f t="shared" si="44"/>
        <v>1555970.1026352285</v>
      </c>
      <c r="K119" s="323"/>
      <c r="L119" s="323"/>
      <c r="M119" s="327">
        <f t="shared" si="45"/>
        <v>124005.24708802291</v>
      </c>
      <c r="N119" s="327">
        <f t="shared" si="45"/>
        <v>124005.24708802291</v>
      </c>
      <c r="O119" s="327">
        <f t="shared" si="45"/>
        <v>124005.24708802291</v>
      </c>
      <c r="P119" s="327">
        <f t="shared" si="45"/>
        <v>18693.597531166422</v>
      </c>
      <c r="Q119" s="323"/>
      <c r="R119" s="323"/>
      <c r="S119" s="327">
        <f t="shared" si="46"/>
        <v>9160.3933639265451</v>
      </c>
      <c r="T119" s="327">
        <f t="shared" si="46"/>
        <v>9160.3933639265451</v>
      </c>
      <c r="U119" s="327">
        <f t="shared" si="46"/>
        <v>9160.3933639265451</v>
      </c>
      <c r="V119" s="327">
        <f t="shared" si="46"/>
        <v>1045.4877797094668</v>
      </c>
      <c r="W119" s="323"/>
      <c r="X119" s="327">
        <f t="shared" si="47"/>
        <v>9160.3933639265451</v>
      </c>
      <c r="Y119" s="327">
        <f t="shared" si="47"/>
        <v>9160.3933639265451</v>
      </c>
      <c r="Z119" s="327">
        <f t="shared" si="47"/>
        <v>9160.3933639265451</v>
      </c>
      <c r="AA119" s="327">
        <f t="shared" si="47"/>
        <v>1045.4877797094668</v>
      </c>
      <c r="AB119" s="323"/>
      <c r="AC119" s="327">
        <f t="shared" si="48"/>
        <v>856.65153044776162</v>
      </c>
      <c r="AD119" s="327">
        <f t="shared" si="48"/>
        <v>856.65153044776162</v>
      </c>
      <c r="AE119" s="327">
        <f t="shared" si="48"/>
        <v>856.65153044776162</v>
      </c>
      <c r="AF119" s="327">
        <f t="shared" si="48"/>
        <v>116.69516122406107</v>
      </c>
      <c r="AG119" s="327">
        <f t="shared" si="48"/>
        <v>2437</v>
      </c>
      <c r="AH119" s="323"/>
      <c r="AI119" s="323"/>
      <c r="AJ119" s="323"/>
      <c r="AK119" s="323"/>
      <c r="AL119" s="323"/>
      <c r="AM119" s="323"/>
      <c r="AN119" s="323"/>
      <c r="AO119" s="323"/>
    </row>
    <row r="120" spans="3:41" x14ac:dyDescent="0.25">
      <c r="C120" s="86"/>
      <c r="D120"/>
      <c r="E120"/>
      <c r="F120" t="s">
        <v>947</v>
      </c>
      <c r="G120" t="s">
        <v>212</v>
      </c>
      <c r="J120" s="327">
        <f t="shared" si="44"/>
        <v>1555970.1026352285</v>
      </c>
      <c r="K120" s="323"/>
      <c r="L120" s="323"/>
      <c r="M120" s="327">
        <f t="shared" si="45"/>
        <v>61663.482416823586</v>
      </c>
      <c r="N120" s="327">
        <f t="shared" si="45"/>
        <v>81035.362202365766</v>
      </c>
      <c r="O120" s="327">
        <f t="shared" si="45"/>
        <v>81035.362202365766</v>
      </c>
      <c r="P120" s="327">
        <f t="shared" si="45"/>
        <v>81035.362202365766</v>
      </c>
      <c r="Q120" s="323"/>
      <c r="R120" s="323"/>
      <c r="S120" s="327">
        <f t="shared" si="46"/>
        <v>4977.9399934925041</v>
      </c>
      <c r="T120" s="327">
        <f t="shared" si="46"/>
        <v>5227.9411501435088</v>
      </c>
      <c r="U120" s="327">
        <f t="shared" si="46"/>
        <v>5227.9411501435088</v>
      </c>
      <c r="V120" s="327">
        <f t="shared" si="46"/>
        <v>5227.9411501435088</v>
      </c>
      <c r="W120" s="323"/>
      <c r="X120" s="327">
        <f t="shared" si="47"/>
        <v>4977.9399934925041</v>
      </c>
      <c r="Y120" s="327">
        <f t="shared" si="47"/>
        <v>5227.9411501435088</v>
      </c>
      <c r="Z120" s="327">
        <f t="shared" si="47"/>
        <v>5227.9411501435088</v>
      </c>
      <c r="AA120" s="327">
        <f t="shared" si="47"/>
        <v>5227.9411501435088</v>
      </c>
      <c r="AB120" s="323"/>
      <c r="AC120" s="327">
        <f t="shared" si="48"/>
        <v>400.05973308576057</v>
      </c>
      <c r="AD120" s="327">
        <f t="shared" si="48"/>
        <v>573.28695858606216</v>
      </c>
      <c r="AE120" s="327">
        <f t="shared" si="48"/>
        <v>573.28695858606216</v>
      </c>
      <c r="AF120" s="327">
        <f t="shared" si="48"/>
        <v>573.28695858606216</v>
      </c>
      <c r="AG120" s="327">
        <f t="shared" si="48"/>
        <v>2437</v>
      </c>
      <c r="AH120" s="323"/>
      <c r="AI120" s="323"/>
      <c r="AJ120" s="323"/>
      <c r="AK120" s="323"/>
      <c r="AL120" s="323"/>
      <c r="AM120" s="323"/>
      <c r="AN120" s="323"/>
      <c r="AO120" s="323"/>
    </row>
    <row r="121" spans="3:41" x14ac:dyDescent="0.25">
      <c r="C121" s="86"/>
      <c r="D121"/>
      <c r="E121"/>
      <c r="F121" s="96" t="s">
        <v>948</v>
      </c>
      <c r="G121" s="96" t="s">
        <v>212</v>
      </c>
      <c r="H121" s="96"/>
      <c r="I121" s="96"/>
      <c r="J121" s="328">
        <f t="shared" si="44"/>
        <v>1555970.1026352285</v>
      </c>
      <c r="K121" s="325"/>
      <c r="L121" s="325"/>
      <c r="M121" s="328">
        <f t="shared" si="45"/>
        <v>142698.84461918933</v>
      </c>
      <c r="N121" s="328">
        <f t="shared" si="45"/>
        <v>142698.84461918933</v>
      </c>
      <c r="O121" s="328">
        <f t="shared" si="45"/>
        <v>142698.84461918933</v>
      </c>
      <c r="P121" s="328">
        <f t="shared" si="45"/>
        <v>142698.84461918933</v>
      </c>
      <c r="Q121" s="325"/>
      <c r="R121" s="325"/>
      <c r="S121" s="328">
        <f t="shared" si="46"/>
        <v>10205.881143636012</v>
      </c>
      <c r="T121" s="328">
        <f t="shared" si="46"/>
        <v>10205.881143636012</v>
      </c>
      <c r="U121" s="328">
        <f t="shared" si="46"/>
        <v>10205.881143636012</v>
      </c>
      <c r="V121" s="328">
        <f t="shared" si="46"/>
        <v>10205.881143636012</v>
      </c>
      <c r="W121" s="325"/>
      <c r="X121" s="328">
        <f t="shared" si="47"/>
        <v>10205.881143636012</v>
      </c>
      <c r="Y121" s="328">
        <f t="shared" si="47"/>
        <v>10205.881143636012</v>
      </c>
      <c r="Z121" s="328">
        <f t="shared" si="47"/>
        <v>10205.881143636012</v>
      </c>
      <c r="AA121" s="328">
        <f t="shared" si="47"/>
        <v>10205.881143636012</v>
      </c>
      <c r="AB121" s="325"/>
      <c r="AC121" s="328">
        <f t="shared" si="48"/>
        <v>973.34669167182267</v>
      </c>
      <c r="AD121" s="328">
        <f t="shared" si="48"/>
        <v>973.34669167182267</v>
      </c>
      <c r="AE121" s="328">
        <f t="shared" si="48"/>
        <v>973.34669167182267</v>
      </c>
      <c r="AF121" s="328">
        <f t="shared" si="48"/>
        <v>973.34669167182267</v>
      </c>
      <c r="AG121" s="328">
        <f t="shared" si="48"/>
        <v>2437</v>
      </c>
      <c r="AH121" s="325"/>
      <c r="AI121" s="325"/>
      <c r="AJ121" s="325"/>
      <c r="AK121" s="325"/>
      <c r="AL121" s="325"/>
      <c r="AM121" s="325"/>
      <c r="AN121" s="325"/>
      <c r="AO121" s="325"/>
    </row>
    <row r="122" spans="3:41" x14ac:dyDescent="0.2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25">
      <c r="C123" s="86"/>
      <c r="D123"/>
      <c r="E123" t="s">
        <v>956</v>
      </c>
      <c r="G123" t="s">
        <v>149</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2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25">
      <c r="C125" s="86"/>
      <c r="D125"/>
      <c r="E125" s="75" t="s">
        <v>965</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25">
      <c r="C126" s="86"/>
      <c r="D126"/>
      <c r="E126"/>
      <c r="F126" s="95" t="s">
        <v>941</v>
      </c>
      <c r="G126" s="95" t="s">
        <v>861</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25">
      <c r="C127" s="86"/>
      <c r="D127"/>
      <c r="E127"/>
      <c r="F127" t="s">
        <v>942</v>
      </c>
      <c r="G127" t="s">
        <v>861</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25">
      <c r="C128" s="86"/>
      <c r="D128"/>
      <c r="E128"/>
      <c r="F128" t="s">
        <v>943</v>
      </c>
      <c r="G128" t="s">
        <v>861</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25">
      <c r="C129" s="86"/>
      <c r="D129"/>
      <c r="E129"/>
      <c r="F129" t="s">
        <v>944</v>
      </c>
      <c r="G129" t="s">
        <v>861</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25">
      <c r="C130" s="86"/>
      <c r="D130"/>
      <c r="E130"/>
      <c r="F130" t="s">
        <v>945</v>
      </c>
      <c r="G130" t="s">
        <v>861</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25">
      <c r="C131" s="86"/>
      <c r="D131"/>
      <c r="E131"/>
      <c r="F131" t="s">
        <v>946</v>
      </c>
      <c r="G131" t="s">
        <v>861</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25">
      <c r="C132" s="86"/>
      <c r="D132"/>
      <c r="E132"/>
      <c r="F132" t="s">
        <v>947</v>
      </c>
      <c r="G132" t="s">
        <v>861</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25">
      <c r="C133" s="86"/>
      <c r="D133"/>
      <c r="E133"/>
      <c r="F133" s="96" t="s">
        <v>948</v>
      </c>
      <c r="G133" s="96" t="s">
        <v>861</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2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25">
      <c r="C135" s="86"/>
      <c r="D135"/>
      <c r="E135" s="75" t="s">
        <v>1065</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25">
      <c r="C136" s="86"/>
      <c r="D136"/>
      <c r="E136"/>
      <c r="F136" s="95" t="s">
        <v>941</v>
      </c>
      <c r="G136" s="95" t="s">
        <v>149</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25">
      <c r="C137" s="86"/>
      <c r="D137"/>
      <c r="E137"/>
      <c r="F137" t="s">
        <v>942</v>
      </c>
      <c r="G137" t="s">
        <v>149</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25">
      <c r="C138" s="86"/>
      <c r="D138"/>
      <c r="E138"/>
      <c r="F138" t="s">
        <v>943</v>
      </c>
      <c r="G138" t="s">
        <v>149</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25">
      <c r="C139" s="86"/>
      <c r="D139"/>
      <c r="E139"/>
      <c r="F139" t="s">
        <v>944</v>
      </c>
      <c r="G139" t="s">
        <v>149</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25">
      <c r="C140" s="86"/>
      <c r="D140"/>
      <c r="E140"/>
      <c r="F140" t="s">
        <v>945</v>
      </c>
      <c r="G140" t="s">
        <v>149</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25">
      <c r="C141" s="86"/>
      <c r="D141"/>
      <c r="E141"/>
      <c r="F141" t="s">
        <v>946</v>
      </c>
      <c r="G141" t="s">
        <v>149</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25">
      <c r="C142" s="86"/>
      <c r="D142"/>
      <c r="E142"/>
      <c r="F142" t="s">
        <v>947</v>
      </c>
      <c r="G142" t="s">
        <v>149</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25">
      <c r="C143" s="86"/>
      <c r="D143"/>
      <c r="E143"/>
      <c r="F143" s="96" t="s">
        <v>948</v>
      </c>
      <c r="G143" s="96" t="s">
        <v>149</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2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25">
      <c r="C145" s="86"/>
      <c r="D145"/>
      <c r="E145" t="s">
        <v>958</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2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25">
      <c r="C147" s="86"/>
      <c r="D147"/>
      <c r="E147" t="s">
        <v>957</v>
      </c>
      <c r="G147" t="s">
        <v>149</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2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25">
      <c r="C149" s="86"/>
      <c r="E149" t="s">
        <v>966</v>
      </c>
      <c r="G149" t="s">
        <v>149</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2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25">
      <c r="C151" s="93" t="str">
        <f ca="1">INDEX('Version control'!$H$41:$H$64,MATCH($A$1,'Version control'!$F$41:$F$64,0),1)&amp;"-D: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2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25">
      <c r="C153" s="86"/>
      <c r="D153"/>
      <c r="E153" t="s">
        <v>975</v>
      </c>
      <c r="G153" t="s">
        <v>212</v>
      </c>
      <c r="J153" s="261">
        <f t="shared" ref="J153:AO153" si="92">IF(J32, J56, 0)</f>
        <v>1555970.1026352285</v>
      </c>
      <c r="K153" s="261">
        <f t="shared" si="92"/>
        <v>0</v>
      </c>
      <c r="L153" s="261">
        <f t="shared" si="92"/>
        <v>0</v>
      </c>
      <c r="M153" s="261">
        <f t="shared" si="92"/>
        <v>61663.482416823586</v>
      </c>
      <c r="N153" s="261">
        <f t="shared" si="92"/>
        <v>44333.169214726993</v>
      </c>
      <c r="O153" s="261">
        <f t="shared" si="92"/>
        <v>18008.595456472343</v>
      </c>
      <c r="P153" s="261">
        <f t="shared" si="92"/>
        <v>18693.597531166422</v>
      </c>
      <c r="Q153" s="261">
        <f t="shared" si="92"/>
        <v>0</v>
      </c>
      <c r="R153" s="261">
        <f t="shared" si="92"/>
        <v>0</v>
      </c>
      <c r="S153" s="261">
        <f t="shared" si="92"/>
        <v>4593.1832479625091</v>
      </c>
      <c r="T153" s="261">
        <f t="shared" si="92"/>
        <v>2290.342888478433</v>
      </c>
      <c r="U153" s="261">
        <f t="shared" si="92"/>
        <v>1092.1777703302037</v>
      </c>
      <c r="V153" s="261">
        <f t="shared" si="92"/>
        <v>511.35101046031366</v>
      </c>
      <c r="W153" s="261">
        <f t="shared" si="92"/>
        <v>0</v>
      </c>
      <c r="X153" s="261">
        <f t="shared" si="92"/>
        <v>384.75674552999504</v>
      </c>
      <c r="Y153" s="261">
        <f t="shared" si="92"/>
        <v>413.29990171299471</v>
      </c>
      <c r="Z153" s="261">
        <f t="shared" si="92"/>
        <v>386.63280991240993</v>
      </c>
      <c r="AA153" s="261">
        <f t="shared" si="92"/>
        <v>534.13676924915308</v>
      </c>
      <c r="AB153" s="261">
        <f t="shared" si="92"/>
        <v>0</v>
      </c>
      <c r="AC153" s="261">
        <f t="shared" si="92"/>
        <v>400.05973308576057</v>
      </c>
      <c r="AD153" s="261">
        <f t="shared" si="92"/>
        <v>322.24154300223938</v>
      </c>
      <c r="AE153" s="261">
        <f t="shared" si="92"/>
        <v>134.35025435976169</v>
      </c>
      <c r="AF153" s="261">
        <f t="shared" si="92"/>
        <v>116.69516122406107</v>
      </c>
      <c r="AG153" s="261">
        <f t="shared" si="92"/>
        <v>2437</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2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25">
      <c r="C155" s="86"/>
      <c r="D155"/>
      <c r="E155" t="s">
        <v>972</v>
      </c>
      <c r="G155" t="s">
        <v>212</v>
      </c>
      <c r="J155" s="261">
        <f t="shared" ref="J155:AO155" si="93">SUMIF($J$149:$AO$149,J149,$J$153:$AO$153)</f>
        <v>1555970.1026352285</v>
      </c>
      <c r="K155" s="261">
        <f t="shared" si="93"/>
        <v>0</v>
      </c>
      <c r="L155" s="261">
        <f t="shared" si="93"/>
        <v>0</v>
      </c>
      <c r="M155" s="261">
        <f t="shared" si="93"/>
        <v>61663.482416823586</v>
      </c>
      <c r="N155" s="261">
        <f t="shared" si="93"/>
        <v>44333.169214726993</v>
      </c>
      <c r="O155" s="261">
        <f t="shared" si="93"/>
        <v>18008.595456472343</v>
      </c>
      <c r="P155" s="261">
        <f t="shared" si="93"/>
        <v>18693.597531166422</v>
      </c>
      <c r="Q155" s="261">
        <f t="shared" si="93"/>
        <v>0</v>
      </c>
      <c r="R155" s="261">
        <f t="shared" si="93"/>
        <v>0</v>
      </c>
      <c r="S155" s="261">
        <f t="shared" si="93"/>
        <v>4977.9399934925041</v>
      </c>
      <c r="T155" s="261">
        <f t="shared" si="93"/>
        <v>2703.6427901914276</v>
      </c>
      <c r="U155" s="261">
        <f t="shared" si="93"/>
        <v>1478.8105802426135</v>
      </c>
      <c r="V155" s="261">
        <f t="shared" si="93"/>
        <v>1045.4877797094668</v>
      </c>
      <c r="W155" s="261">
        <f t="shared" si="93"/>
        <v>0</v>
      </c>
      <c r="X155" s="261">
        <f t="shared" si="93"/>
        <v>4977.9399934925041</v>
      </c>
      <c r="Y155" s="261">
        <f t="shared" si="93"/>
        <v>2703.6427901914276</v>
      </c>
      <c r="Z155" s="261">
        <f t="shared" si="93"/>
        <v>1478.8105802426135</v>
      </c>
      <c r="AA155" s="261">
        <f t="shared" si="93"/>
        <v>1045.4877797094668</v>
      </c>
      <c r="AB155" s="261">
        <f t="shared" si="93"/>
        <v>0</v>
      </c>
      <c r="AC155" s="261">
        <f t="shared" si="93"/>
        <v>400.05973308576057</v>
      </c>
      <c r="AD155" s="261">
        <f t="shared" si="93"/>
        <v>322.24154300223938</v>
      </c>
      <c r="AE155" s="261">
        <f t="shared" si="93"/>
        <v>134.35025435976169</v>
      </c>
      <c r="AF155" s="261">
        <f t="shared" si="93"/>
        <v>116.69516122406107</v>
      </c>
      <c r="AG155" s="261">
        <f t="shared" si="93"/>
        <v>2437</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2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25">
      <c r="C157" s="86"/>
      <c r="D157"/>
      <c r="E157" t="s">
        <v>1081</v>
      </c>
      <c r="G157" t="s">
        <v>167</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0.92270763688735202</v>
      </c>
      <c r="T157" s="330">
        <f t="shared" si="94"/>
        <v>0.84713220873245187</v>
      </c>
      <c r="U157" s="330">
        <f t="shared" si="94"/>
        <v>0.73855149869905656</v>
      </c>
      <c r="V157" s="330">
        <f t="shared" si="94"/>
        <v>0.48910280960186281</v>
      </c>
      <c r="W157" s="330">
        <f t="shared" si="94"/>
        <v>0</v>
      </c>
      <c r="X157" s="330">
        <f t="shared" si="94"/>
        <v>7.7292363112647963E-2</v>
      </c>
      <c r="Y157" s="330">
        <f t="shared" si="94"/>
        <v>0.15286779126754818</v>
      </c>
      <c r="Z157" s="330">
        <f t="shared" si="94"/>
        <v>0.26144850130094349</v>
      </c>
      <c r="AA157" s="330">
        <f t="shared" si="94"/>
        <v>0.51089719039813708</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2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25">
      <c r="C159" s="93" t="str">
        <f ca="1">INDEX('Version control'!$H$41:$H$64,MATCH($A$1,'Version control'!$F$41:$F$64,0),1)&amp;"-E: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2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25">
      <c r="C161" s="86"/>
      <c r="D161" s="86" t="s">
        <v>1091</v>
      </c>
      <c r="I161" t="s">
        <v>154</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1086</v>
      </c>
    </row>
    <row r="162" spans="3:43" x14ac:dyDescent="0.25">
      <c r="C162" s="86"/>
      <c r="D162" s="86" t="s">
        <v>1067</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2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25">
      <c r="C164" s="86"/>
      <c r="D164"/>
      <c r="E164" t="s">
        <v>967</v>
      </c>
      <c r="G164" t="s">
        <v>207</v>
      </c>
      <c r="J164" s="261">
        <f t="shared" ref="J164:AO164" si="95">SUM(J53:J55)</f>
        <v>5276142.8530266844</v>
      </c>
      <c r="K164" s="261">
        <f t="shared" si="95"/>
        <v>27243.908419666943</v>
      </c>
      <c r="L164" s="261">
        <f t="shared" si="95"/>
        <v>1901.1460503947237</v>
      </c>
      <c r="M164" s="261">
        <f t="shared" si="95"/>
        <v>146202.8190051959</v>
      </c>
      <c r="N164" s="261">
        <f t="shared" si="95"/>
        <v>427938.05880099186</v>
      </c>
      <c r="O164" s="261">
        <f t="shared" si="95"/>
        <v>350142.42838125868</v>
      </c>
      <c r="P164" s="261">
        <f t="shared" si="95"/>
        <v>883453.06107560801</v>
      </c>
      <c r="Q164" s="261">
        <f t="shared" si="95"/>
        <v>12960.691787985414</v>
      </c>
      <c r="R164" s="261">
        <f t="shared" si="95"/>
        <v>1981.9657115176865</v>
      </c>
      <c r="S164" s="261">
        <f t="shared" si="95"/>
        <v>419441.13357772492</v>
      </c>
      <c r="T164" s="261">
        <f t="shared" si="95"/>
        <v>368710.65180133656</v>
      </c>
      <c r="U164" s="261">
        <f t="shared" si="95"/>
        <v>265973.58352542267</v>
      </c>
      <c r="V164" s="261">
        <f t="shared" si="95"/>
        <v>235106.55909346422</v>
      </c>
      <c r="W164" s="261">
        <f t="shared" si="95"/>
        <v>609.31120031470925</v>
      </c>
      <c r="X164" s="261">
        <f t="shared" si="95"/>
        <v>47341.277499836142</v>
      </c>
      <c r="Y164" s="261">
        <f t="shared" si="95"/>
        <v>86815.954590102949</v>
      </c>
      <c r="Z164" s="261">
        <f t="shared" si="95"/>
        <v>132445.73088386963</v>
      </c>
      <c r="AA164" s="261">
        <f t="shared" si="95"/>
        <v>388741.52524271712</v>
      </c>
      <c r="AB164" s="261">
        <f t="shared" si="95"/>
        <v>14305.714661787826</v>
      </c>
      <c r="AC164" s="261">
        <f t="shared" si="95"/>
        <v>269524.25352095574</v>
      </c>
      <c r="AD164" s="261">
        <f t="shared" si="95"/>
        <v>499927.37678797572</v>
      </c>
      <c r="AE164" s="261">
        <f t="shared" si="95"/>
        <v>464065.98256236425</v>
      </c>
      <c r="AF164" s="261">
        <f t="shared" si="95"/>
        <v>806471.88811567053</v>
      </c>
      <c r="AG164" s="261">
        <f t="shared" si="95"/>
        <v>107695.80237537422</v>
      </c>
      <c r="AH164" s="261">
        <f t="shared" si="95"/>
        <v>124494.51811005016</v>
      </c>
      <c r="AI164" s="261">
        <f t="shared" si="95"/>
        <v>18397.443249944565</v>
      </c>
      <c r="AJ164" s="261">
        <f t="shared" si="95"/>
        <v>87637.086830448767</v>
      </c>
      <c r="AK164" s="261">
        <f t="shared" si="95"/>
        <v>0</v>
      </c>
      <c r="AL164" s="261">
        <f t="shared" si="95"/>
        <v>0</v>
      </c>
      <c r="AM164" s="261">
        <f t="shared" si="95"/>
        <v>0</v>
      </c>
      <c r="AN164" s="261">
        <f t="shared" si="95"/>
        <v>616235.5944769216</v>
      </c>
      <c r="AO164" s="261">
        <f t="shared" si="95"/>
        <v>0</v>
      </c>
    </row>
    <row r="165" spans="3:43" x14ac:dyDescent="0.2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25">
      <c r="C166" s="86"/>
      <c r="D166"/>
      <c r="E166" t="s">
        <v>968</v>
      </c>
      <c r="G166" t="s">
        <v>207</v>
      </c>
      <c r="J166" s="261">
        <f t="shared" ref="J166:AO166" si="96">IF(J32,J164, 0)</f>
        <v>5276142.8530266844</v>
      </c>
      <c r="K166" s="261">
        <f t="shared" si="96"/>
        <v>0</v>
      </c>
      <c r="L166" s="261">
        <f t="shared" si="96"/>
        <v>0</v>
      </c>
      <c r="M166" s="261">
        <f t="shared" si="96"/>
        <v>146202.8190051959</v>
      </c>
      <c r="N166" s="261">
        <f t="shared" si="96"/>
        <v>427938.05880099186</v>
      </c>
      <c r="O166" s="261">
        <f t="shared" si="96"/>
        <v>350142.42838125868</v>
      </c>
      <c r="P166" s="261">
        <f t="shared" si="96"/>
        <v>883453.06107560801</v>
      </c>
      <c r="Q166" s="261">
        <f t="shared" si="96"/>
        <v>0</v>
      </c>
      <c r="R166" s="261">
        <f t="shared" si="96"/>
        <v>0</v>
      </c>
      <c r="S166" s="261">
        <f t="shared" si="96"/>
        <v>419441.13357772492</v>
      </c>
      <c r="T166" s="261">
        <f t="shared" si="96"/>
        <v>368710.65180133656</v>
      </c>
      <c r="U166" s="261">
        <f t="shared" si="96"/>
        <v>265973.58352542267</v>
      </c>
      <c r="V166" s="261">
        <f t="shared" si="96"/>
        <v>235106.55909346422</v>
      </c>
      <c r="W166" s="261">
        <f t="shared" si="96"/>
        <v>0</v>
      </c>
      <c r="X166" s="261">
        <f t="shared" si="96"/>
        <v>47341.277499836142</v>
      </c>
      <c r="Y166" s="261">
        <f t="shared" si="96"/>
        <v>86815.954590102949</v>
      </c>
      <c r="Z166" s="261">
        <f t="shared" si="96"/>
        <v>132445.73088386963</v>
      </c>
      <c r="AA166" s="261">
        <f t="shared" si="96"/>
        <v>388741.52524271712</v>
      </c>
      <c r="AB166" s="261">
        <f t="shared" si="96"/>
        <v>0</v>
      </c>
      <c r="AC166" s="261">
        <f t="shared" si="96"/>
        <v>269524.25352095574</v>
      </c>
      <c r="AD166" s="261">
        <f t="shared" si="96"/>
        <v>499927.37678797572</v>
      </c>
      <c r="AE166" s="261">
        <f t="shared" si="96"/>
        <v>464065.98256236425</v>
      </c>
      <c r="AF166" s="261">
        <f t="shared" si="96"/>
        <v>806471.88811567053</v>
      </c>
      <c r="AG166" s="261">
        <f t="shared" si="96"/>
        <v>107695.80237537422</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2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25">
      <c r="C168" s="86"/>
      <c r="D168"/>
      <c r="E168" s="86" t="s">
        <v>977</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2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25">
      <c r="C170" s="86"/>
      <c r="D170"/>
      <c r="E170" t="s">
        <v>962</v>
      </c>
      <c r="G170" t="s">
        <v>167</v>
      </c>
      <c r="J170" s="13">
        <v>1</v>
      </c>
      <c r="K170" s="100"/>
      <c r="L170" s="119"/>
      <c r="M170" s="331">
        <f>'Volume adjustments'!K689</f>
        <v>8.0311314369080913E-2</v>
      </c>
      <c r="N170" s="331">
        <f>'Volume adjustments'!L689</f>
        <v>0.2369091585386891</v>
      </c>
      <c r="O170" s="331">
        <f>'Volume adjustments'!M689</f>
        <v>0.19341049199342783</v>
      </c>
      <c r="P170" s="331">
        <f>'Volume adjustments'!N689</f>
        <v>0.48880471441631118</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2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25">
      <c r="C172" s="86"/>
      <c r="D172"/>
      <c r="E172" t="s">
        <v>938</v>
      </c>
      <c r="G172" t="s">
        <v>207</v>
      </c>
      <c r="J172" s="261">
        <f>J170*$K164</f>
        <v>27243.908419666943</v>
      </c>
      <c r="K172" s="119"/>
      <c r="L172" s="119"/>
      <c r="M172" s="261">
        <f>M170*$Q164</f>
        <v>1040.8901926256619</v>
      </c>
      <c r="N172" s="261">
        <f>N170*$Q164</f>
        <v>3070.5065855709222</v>
      </c>
      <c r="O172" s="261">
        <f>O170*$Q164</f>
        <v>2506.7337752894387</v>
      </c>
      <c r="P172" s="261">
        <f>P170*$Q164</f>
        <v>6335.2472480640399</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2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25">
      <c r="C174" s="86"/>
      <c r="D174"/>
      <c r="E174" t="s">
        <v>969</v>
      </c>
      <c r="G174" t="s">
        <v>207</v>
      </c>
      <c r="J174" s="261">
        <f t="shared" ref="J174:AO174" si="97">J166+J172</f>
        <v>5303386.7614463512</v>
      </c>
      <c r="K174" s="261">
        <f t="shared" si="97"/>
        <v>0</v>
      </c>
      <c r="L174" s="261">
        <f t="shared" si="97"/>
        <v>0</v>
      </c>
      <c r="M174" s="261">
        <f t="shared" si="97"/>
        <v>147243.70919782156</v>
      </c>
      <c r="N174" s="261">
        <f t="shared" si="97"/>
        <v>431008.56538656278</v>
      </c>
      <c r="O174" s="261">
        <f t="shared" si="97"/>
        <v>352649.16215654812</v>
      </c>
      <c r="P174" s="261">
        <f t="shared" si="97"/>
        <v>889788.30832367204</v>
      </c>
      <c r="Q174" s="261">
        <f t="shared" si="97"/>
        <v>0</v>
      </c>
      <c r="R174" s="261">
        <f t="shared" si="97"/>
        <v>0</v>
      </c>
      <c r="S174" s="261">
        <f t="shared" si="97"/>
        <v>419441.13357772492</v>
      </c>
      <c r="T174" s="261">
        <f t="shared" si="97"/>
        <v>368710.65180133656</v>
      </c>
      <c r="U174" s="261">
        <f t="shared" si="97"/>
        <v>265973.58352542267</v>
      </c>
      <c r="V174" s="261">
        <f t="shared" si="97"/>
        <v>235106.55909346422</v>
      </c>
      <c r="W174" s="261">
        <f t="shared" si="97"/>
        <v>0</v>
      </c>
      <c r="X174" s="261">
        <f t="shared" si="97"/>
        <v>47341.277499836142</v>
      </c>
      <c r="Y174" s="261">
        <f t="shared" si="97"/>
        <v>86815.954590102949</v>
      </c>
      <c r="Z174" s="261">
        <f t="shared" si="97"/>
        <v>132445.73088386963</v>
      </c>
      <c r="AA174" s="261">
        <f t="shared" si="97"/>
        <v>388741.52524271712</v>
      </c>
      <c r="AB174" s="261">
        <f t="shared" si="97"/>
        <v>0</v>
      </c>
      <c r="AC174" s="261">
        <f t="shared" si="97"/>
        <v>269524.25352095574</v>
      </c>
      <c r="AD174" s="261">
        <f t="shared" si="97"/>
        <v>499927.37678797572</v>
      </c>
      <c r="AE174" s="261">
        <f t="shared" si="97"/>
        <v>464065.98256236425</v>
      </c>
      <c r="AF174" s="261">
        <f t="shared" si="97"/>
        <v>806471.88811567053</v>
      </c>
      <c r="AG174" s="261">
        <f t="shared" si="97"/>
        <v>107695.80237537422</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2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25">
      <c r="C176" s="93" t="str">
        <f ca="1">INDEX('Version control'!$H$41:$H$64,MATCH($A$1,'Version control'!$F$41:$F$64,0),1)&amp;"-F: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2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25">
      <c r="C178" s="86"/>
      <c r="D178" s="86" t="s">
        <v>1068</v>
      </c>
      <c r="I178" t="s">
        <v>154</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1086</v>
      </c>
    </row>
    <row r="179" spans="3:43" x14ac:dyDescent="0.25">
      <c r="C179" s="86"/>
      <c r="D179" s="86" t="s">
        <v>1069</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25">
      <c r="C180" s="86"/>
      <c r="D180" s="86" t="s">
        <v>1070</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2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25">
      <c r="C182" s="86"/>
      <c r="D182"/>
      <c r="E182" t="s">
        <v>971</v>
      </c>
      <c r="G182" t="s">
        <v>207</v>
      </c>
      <c r="J182" s="261">
        <f t="shared" ref="J182:AO182" si="98">SUMIF($J$149:$AO$149,J149,$J$174:$AO$174)</f>
        <v>5303386.7614463512</v>
      </c>
      <c r="K182" s="261">
        <f t="shared" si="98"/>
        <v>0</v>
      </c>
      <c r="L182" s="261">
        <f t="shared" si="98"/>
        <v>0</v>
      </c>
      <c r="M182" s="261">
        <f t="shared" si="98"/>
        <v>147243.70919782156</v>
      </c>
      <c r="N182" s="261">
        <f t="shared" si="98"/>
        <v>431008.56538656278</v>
      </c>
      <c r="O182" s="261">
        <f t="shared" si="98"/>
        <v>352649.16215654812</v>
      </c>
      <c r="P182" s="261">
        <f t="shared" si="98"/>
        <v>889788.30832367204</v>
      </c>
      <c r="Q182" s="261">
        <f t="shared" si="98"/>
        <v>0</v>
      </c>
      <c r="R182" s="261">
        <f t="shared" si="98"/>
        <v>0</v>
      </c>
      <c r="S182" s="261">
        <f t="shared" si="98"/>
        <v>466782.41107756109</v>
      </c>
      <c r="T182" s="261">
        <f t="shared" si="98"/>
        <v>455526.60639143951</v>
      </c>
      <c r="U182" s="261">
        <f t="shared" si="98"/>
        <v>398419.3144092923</v>
      </c>
      <c r="V182" s="261">
        <f t="shared" si="98"/>
        <v>623848.0843361814</v>
      </c>
      <c r="W182" s="261">
        <f t="shared" si="98"/>
        <v>0</v>
      </c>
      <c r="X182" s="261">
        <f t="shared" si="98"/>
        <v>466782.41107756109</v>
      </c>
      <c r="Y182" s="261">
        <f t="shared" si="98"/>
        <v>455526.60639143951</v>
      </c>
      <c r="Z182" s="261">
        <f t="shared" si="98"/>
        <v>398419.3144092923</v>
      </c>
      <c r="AA182" s="261">
        <f t="shared" si="98"/>
        <v>623848.0843361814</v>
      </c>
      <c r="AB182" s="261">
        <f t="shared" si="98"/>
        <v>0</v>
      </c>
      <c r="AC182" s="261">
        <f t="shared" si="98"/>
        <v>269524.25352095574</v>
      </c>
      <c r="AD182" s="261">
        <f t="shared" si="98"/>
        <v>499927.37678797572</v>
      </c>
      <c r="AE182" s="261">
        <f t="shared" si="98"/>
        <v>464065.98256236425</v>
      </c>
      <c r="AF182" s="261">
        <f t="shared" si="98"/>
        <v>806471.88811567053</v>
      </c>
      <c r="AG182" s="261">
        <f t="shared" si="98"/>
        <v>107695.80237537422</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2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25">
      <c r="C184" s="86"/>
      <c r="D184"/>
      <c r="E184" t="s">
        <v>973</v>
      </c>
      <c r="G184" t="s">
        <v>207</v>
      </c>
      <c r="J184" s="261">
        <f>J157*J182</f>
        <v>5303386.7614463512</v>
      </c>
      <c r="K184" s="261">
        <f t="shared" ref="K184:AO184" si="99">K157*K182</f>
        <v>0</v>
      </c>
      <c r="L184" s="261">
        <f t="shared" si="99"/>
        <v>0</v>
      </c>
      <c r="M184" s="261">
        <f t="shared" si="99"/>
        <v>147243.70919782156</v>
      </c>
      <c r="N184" s="261">
        <f t="shared" si="99"/>
        <v>431008.56538656278</v>
      </c>
      <c r="O184" s="261">
        <f t="shared" si="99"/>
        <v>352649.16215654812</v>
      </c>
      <c r="P184" s="261">
        <f t="shared" si="99"/>
        <v>889788.30832367204</v>
      </c>
      <c r="Q184" s="261">
        <f t="shared" si="99"/>
        <v>0</v>
      </c>
      <c r="R184" s="261">
        <f t="shared" si="99"/>
        <v>0</v>
      </c>
      <c r="S184" s="261">
        <f t="shared" si="99"/>
        <v>430703.69546595693</v>
      </c>
      <c r="T184" s="261">
        <f t="shared" si="99"/>
        <v>385891.26020877837</v>
      </c>
      <c r="U184" s="261">
        <f t="shared" si="99"/>
        <v>294253.18176763348</v>
      </c>
      <c r="V184" s="261">
        <f t="shared" si="99"/>
        <v>305125.85081356618</v>
      </c>
      <c r="W184" s="261">
        <f t="shared" si="99"/>
        <v>0</v>
      </c>
      <c r="X184" s="261">
        <f t="shared" si="99"/>
        <v>36078.715611604159</v>
      </c>
      <c r="Y184" s="261">
        <f t="shared" si="99"/>
        <v>69635.34618266116</v>
      </c>
      <c r="Z184" s="261">
        <f t="shared" si="99"/>
        <v>104166.13264165887</v>
      </c>
      <c r="AA184" s="261">
        <f t="shared" si="99"/>
        <v>318722.23352261516</v>
      </c>
      <c r="AB184" s="261">
        <f t="shared" si="99"/>
        <v>0</v>
      </c>
      <c r="AC184" s="261">
        <f t="shared" si="99"/>
        <v>269524.25352095574</v>
      </c>
      <c r="AD184" s="261">
        <f t="shared" si="99"/>
        <v>499927.37678797572</v>
      </c>
      <c r="AE184" s="261">
        <f t="shared" si="99"/>
        <v>464065.98256236425</v>
      </c>
      <c r="AF184" s="261">
        <f t="shared" si="99"/>
        <v>806471.88811567053</v>
      </c>
      <c r="AG184" s="261">
        <f t="shared" si="99"/>
        <v>107695.80237537422</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2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25">
      <c r="C186" s="86"/>
      <c r="D186"/>
      <c r="E186" t="s">
        <v>412</v>
      </c>
      <c r="G186" t="s">
        <v>207</v>
      </c>
      <c r="H186" s="261">
        <f>SUM($J$184:$AO$184)</f>
        <v>11216338.226087769</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2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25">
      <c r="C188" s="86"/>
      <c r="D188"/>
      <c r="E188" t="s">
        <v>985</v>
      </c>
      <c r="G188" t="s">
        <v>167</v>
      </c>
      <c r="J188" s="332">
        <f>J184/$H186</f>
        <v>0.47282692930134285</v>
      </c>
      <c r="K188" s="332">
        <f t="shared" ref="K188:AO188" si="100">K184/$H186</f>
        <v>0</v>
      </c>
      <c r="L188" s="332">
        <f t="shared" si="100"/>
        <v>0</v>
      </c>
      <c r="M188" s="332">
        <f t="shared" si="100"/>
        <v>1.312760958432508E-2</v>
      </c>
      <c r="N188" s="332">
        <f t="shared" si="100"/>
        <v>3.8426851678214545E-2</v>
      </c>
      <c r="O188" s="332">
        <f t="shared" si="100"/>
        <v>3.1440667626831301E-2</v>
      </c>
      <c r="P188" s="332">
        <f t="shared" si="100"/>
        <v>7.9329660927497547E-2</v>
      </c>
      <c r="Q188" s="332">
        <f t="shared" si="100"/>
        <v>0</v>
      </c>
      <c r="R188" s="332">
        <f t="shared" si="100"/>
        <v>0</v>
      </c>
      <c r="S188" s="332">
        <f t="shared" si="100"/>
        <v>3.8399670800243452E-2</v>
      </c>
      <c r="T188" s="332">
        <f t="shared" si="100"/>
        <v>3.4404388707826646E-2</v>
      </c>
      <c r="U188" s="332">
        <f t="shared" si="100"/>
        <v>2.6234335648263368E-2</v>
      </c>
      <c r="V188" s="332">
        <f t="shared" si="100"/>
        <v>2.7203695596828781E-2</v>
      </c>
      <c r="W188" s="332">
        <f t="shared" si="100"/>
        <v>0</v>
      </c>
      <c r="X188" s="332">
        <f t="shared" si="100"/>
        <v>3.2166215822281175E-3</v>
      </c>
      <c r="Y188" s="332">
        <f t="shared" si="100"/>
        <v>6.2083850164841E-3</v>
      </c>
      <c r="Z188" s="332">
        <f t="shared" si="100"/>
        <v>9.2869999586301481E-3</v>
      </c>
      <c r="AA188" s="332">
        <f t="shared" si="100"/>
        <v>2.8415890025615311E-2</v>
      </c>
      <c r="AB188" s="332">
        <f t="shared" si="100"/>
        <v>0</v>
      </c>
      <c r="AC188" s="332">
        <f t="shared" si="100"/>
        <v>2.4029611811640698E-2</v>
      </c>
      <c r="AD188" s="332">
        <f t="shared" si="100"/>
        <v>4.4571353565748269E-2</v>
      </c>
      <c r="AE188" s="332">
        <f t="shared" si="100"/>
        <v>4.1374107414397156E-2</v>
      </c>
      <c r="AF188" s="332">
        <f t="shared" si="100"/>
        <v>7.1901530772308556E-2</v>
      </c>
      <c r="AG188" s="332">
        <f t="shared" si="100"/>
        <v>9.6016899815741588E-3</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2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25">
      <c r="C190" s="86"/>
      <c r="D190"/>
      <c r="E190" t="s">
        <v>880</v>
      </c>
      <c r="G190" t="s">
        <v>277</v>
      </c>
      <c r="J190" s="261">
        <f>$H$84 * J188</f>
        <v>4995283.5107871257</v>
      </c>
      <c r="K190" s="261">
        <f t="shared" ref="K190:AO190" si="101">$H$84 * K188</f>
        <v>0</v>
      </c>
      <c r="L190" s="261">
        <f t="shared" si="101"/>
        <v>0</v>
      </c>
      <c r="M190" s="261">
        <f t="shared" si="101"/>
        <v>138689.50270985308</v>
      </c>
      <c r="N190" s="261">
        <f t="shared" si="101"/>
        <v>405968.87923300127</v>
      </c>
      <c r="O190" s="261">
        <f t="shared" si="101"/>
        <v>332161.80981171312</v>
      </c>
      <c r="P190" s="261">
        <f t="shared" si="101"/>
        <v>838095.55376425711</v>
      </c>
      <c r="Q190" s="261">
        <f t="shared" si="101"/>
        <v>0</v>
      </c>
      <c r="R190" s="261">
        <f t="shared" si="101"/>
        <v>0</v>
      </c>
      <c r="S190" s="261">
        <f t="shared" si="101"/>
        <v>405681.72090270411</v>
      </c>
      <c r="T190" s="261">
        <f t="shared" si="101"/>
        <v>363472.68939368578</v>
      </c>
      <c r="U190" s="261">
        <f t="shared" si="101"/>
        <v>277158.37690095941</v>
      </c>
      <c r="V190" s="261">
        <f t="shared" si="101"/>
        <v>287399.39209491469</v>
      </c>
      <c r="W190" s="261">
        <f t="shared" si="101"/>
        <v>0</v>
      </c>
      <c r="X190" s="261">
        <f t="shared" si="101"/>
        <v>33982.702241364226</v>
      </c>
      <c r="Y190" s="261">
        <f t="shared" si="101"/>
        <v>65589.84139775137</v>
      </c>
      <c r="Z190" s="261">
        <f t="shared" si="101"/>
        <v>98114.542305308874</v>
      </c>
      <c r="AA190" s="261">
        <f t="shared" si="101"/>
        <v>300205.8852676549</v>
      </c>
      <c r="AB190" s="261">
        <f t="shared" si="101"/>
        <v>0</v>
      </c>
      <c r="AC190" s="261">
        <f t="shared" si="101"/>
        <v>253866.08971419983</v>
      </c>
      <c r="AD190" s="261">
        <f t="shared" si="101"/>
        <v>470883.81334250909</v>
      </c>
      <c r="AE190" s="261">
        <f t="shared" si="101"/>
        <v>437105.8070784178</v>
      </c>
      <c r="AF190" s="261">
        <f t="shared" si="101"/>
        <v>759619.44806735008</v>
      </c>
      <c r="AG190" s="261">
        <f t="shared" si="101"/>
        <v>101439.15388135469</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2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25">
      <c r="C192" s="93" t="str">
        <f ca="1">INDEX('Version control'!$H$41:$H$64,MATCH($A$1,'Version control'!$F$41:$F$64,0),1)&amp;"-G: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2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25">
      <c r="C194" s="86"/>
      <c r="D194" s="86" t="s">
        <v>983</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2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25">
      <c r="C196" s="86"/>
      <c r="D196"/>
      <c r="E196" t="s">
        <v>881</v>
      </c>
      <c r="G196" t="s">
        <v>1082</v>
      </c>
      <c r="I196" t="s">
        <v>154</v>
      </c>
      <c r="J196" s="261">
        <f t="shared" ref="J196:AO196" si="102">IF(J33, J190/J153, 0)</f>
        <v>3.2103981318966173</v>
      </c>
      <c r="K196" s="261">
        <f t="shared" si="102"/>
        <v>0</v>
      </c>
      <c r="L196" s="261">
        <f t="shared" si="102"/>
        <v>0</v>
      </c>
      <c r="M196" s="261">
        <f t="shared" si="102"/>
        <v>2.2491351002909719</v>
      </c>
      <c r="N196" s="261">
        <f t="shared" si="102"/>
        <v>9.1572266640063003</v>
      </c>
      <c r="O196" s="261">
        <f t="shared" si="102"/>
        <v>18.444626101717063</v>
      </c>
      <c r="P196" s="261">
        <f t="shared" si="102"/>
        <v>44.833293985652773</v>
      </c>
      <c r="Q196" s="261">
        <f t="shared" si="102"/>
        <v>0</v>
      </c>
      <c r="R196" s="261">
        <f t="shared" si="102"/>
        <v>0</v>
      </c>
      <c r="S196" s="261">
        <f t="shared" si="102"/>
        <v>88.322563895673127</v>
      </c>
      <c r="T196" s="261">
        <f t="shared" si="102"/>
        <v>158.69793611346785</v>
      </c>
      <c r="U196" s="261">
        <f t="shared" si="102"/>
        <v>253.76672592151797</v>
      </c>
      <c r="V196" s="261">
        <f t="shared" si="102"/>
        <v>562.03935499452768</v>
      </c>
      <c r="W196" s="261">
        <f t="shared" si="102"/>
        <v>0</v>
      </c>
      <c r="X196" s="261">
        <f t="shared" si="102"/>
        <v>88.322563895673113</v>
      </c>
      <c r="Y196" s="261">
        <f t="shared" si="102"/>
        <v>158.69793611346785</v>
      </c>
      <c r="Z196" s="261">
        <f t="shared" si="102"/>
        <v>253.76672592151795</v>
      </c>
      <c r="AA196" s="261">
        <f t="shared" si="102"/>
        <v>562.0393549945278</v>
      </c>
      <c r="AB196" s="261">
        <f t="shared" si="102"/>
        <v>0</v>
      </c>
      <c r="AC196" s="261">
        <f t="shared" si="102"/>
        <v>634.57046215590685</v>
      </c>
      <c r="AD196" s="261">
        <f t="shared" si="102"/>
        <v>1461.2759390220419</v>
      </c>
      <c r="AE196" s="261">
        <f t="shared" si="102"/>
        <v>3253.4795647497658</v>
      </c>
      <c r="AF196" s="261">
        <f t="shared" si="102"/>
        <v>6509.4339825182587</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1095</v>
      </c>
    </row>
    <row r="197" spans="3:43" x14ac:dyDescent="0.2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25">
      <c r="C198" s="86"/>
      <c r="D198"/>
      <c r="E198" t="s">
        <v>881</v>
      </c>
      <c r="G198" t="s">
        <v>270</v>
      </c>
      <c r="I198" t="s">
        <v>154</v>
      </c>
      <c r="J198" s="261">
        <f t="shared" ref="J198:AO198" si="103">J196 * hundred / days_in_year</f>
        <v>0.87956113202647057</v>
      </c>
      <c r="K198" s="261">
        <f t="shared" si="103"/>
        <v>0</v>
      </c>
      <c r="L198" s="261">
        <f t="shared" si="103"/>
        <v>0</v>
      </c>
      <c r="M198" s="261">
        <f t="shared" si="103"/>
        <v>0.61620139733999224</v>
      </c>
      <c r="N198" s="261">
        <f t="shared" si="103"/>
        <v>2.5088292230154248</v>
      </c>
      <c r="O198" s="261">
        <f t="shared" si="103"/>
        <v>5.0533222196485106</v>
      </c>
      <c r="P198" s="261">
        <f t="shared" si="103"/>
        <v>12.283094242644594</v>
      </c>
      <c r="Q198" s="261">
        <f t="shared" si="103"/>
        <v>0</v>
      </c>
      <c r="R198" s="261">
        <f t="shared" si="103"/>
        <v>0</v>
      </c>
      <c r="S198" s="261">
        <f t="shared" si="103"/>
        <v>24.197962711143319</v>
      </c>
      <c r="T198" s="261">
        <f t="shared" si="103"/>
        <v>43.478886606429548</v>
      </c>
      <c r="U198" s="261">
        <f t="shared" si="103"/>
        <v>69.525130389456976</v>
      </c>
      <c r="V198" s="261">
        <f t="shared" si="103"/>
        <v>153.98338493000759</v>
      </c>
      <c r="W198" s="261">
        <f t="shared" si="103"/>
        <v>0</v>
      </c>
      <c r="X198" s="261">
        <f t="shared" si="103"/>
        <v>24.197962711143319</v>
      </c>
      <c r="Y198" s="261">
        <f t="shared" si="103"/>
        <v>43.478886606429548</v>
      </c>
      <c r="Z198" s="261">
        <f t="shared" si="103"/>
        <v>69.525130389456976</v>
      </c>
      <c r="AA198" s="261">
        <f t="shared" si="103"/>
        <v>153.98338493000762</v>
      </c>
      <c r="AB198" s="261">
        <f t="shared" si="103"/>
        <v>0</v>
      </c>
      <c r="AC198" s="261">
        <f t="shared" si="103"/>
        <v>173.85492113860462</v>
      </c>
      <c r="AD198" s="261">
        <f t="shared" si="103"/>
        <v>400.349572334806</v>
      </c>
      <c r="AE198" s="261">
        <f t="shared" si="103"/>
        <v>891.36426431500422</v>
      </c>
      <c r="AF198" s="261">
        <f t="shared" si="103"/>
        <v>1783.4065705529474</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1096</v>
      </c>
    </row>
    <row r="199" spans="3:43" x14ac:dyDescent="0.2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25">
      <c r="C200" s="93" t="str">
        <f ca="1">INDEX('Version control'!$H$41:$H$64,MATCH($A$1,'Version control'!$F$41:$F$64,0),1)&amp;"-H: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2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25">
      <c r="C202" s="86"/>
      <c r="D202" s="86" t="s">
        <v>979</v>
      </c>
      <c r="E202"/>
      <c r="I202" t="s">
        <v>154</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1087</v>
      </c>
    </row>
    <row r="203" spans="3:43" x14ac:dyDescent="0.25">
      <c r="C203" s="86"/>
      <c r="D203" s="86" t="s">
        <v>980</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2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25">
      <c r="C205" s="86"/>
      <c r="D205"/>
      <c r="E205" t="s">
        <v>882</v>
      </c>
      <c r="G205" t="s">
        <v>883</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0.94190443493598808</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2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25">
      <c r="C207" s="86"/>
      <c r="E207" t="s">
        <v>882</v>
      </c>
      <c r="G207" t="s">
        <v>269</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9.4190443493598813E-2</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2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25">
      <c r="B209" s="85" t="s">
        <v>986</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2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25">
      <c r="C211" s="86" t="s">
        <v>987</v>
      </c>
      <c r="I211" t="s">
        <v>154</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1071</v>
      </c>
    </row>
    <row r="212" spans="2:43" x14ac:dyDescent="0.2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25">
      <c r="C213" s="93" t="str">
        <f ca="1">INDEX('Version control'!$H$41:$H$64,MATCH($A$1,'Version control'!$F$41:$F$64,0),1)&amp;"-I: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2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25">
      <c r="C215" s="86"/>
      <c r="D215" s="86" t="s">
        <v>988</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25">
      <c r="C216" s="86"/>
      <c r="D216" s="86" t="s">
        <v>989</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25">
      <c r="C217" s="86"/>
      <c r="D217" s="86" t="s">
        <v>990</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2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25">
      <c r="C219" s="86"/>
      <c r="E219" s="86" t="s">
        <v>1092</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25">
      <c r="C220" s="86"/>
      <c r="E220" s="86" t="s">
        <v>991</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2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25">
      <c r="C222" s="86"/>
      <c r="E222" t="s">
        <v>992</v>
      </c>
      <c r="G222" t="s">
        <v>270</v>
      </c>
      <c r="J222" s="261">
        <f t="array" ref="J222">MIN(IF($J149:$AO149=J149,$J43:$AO43+$J48:$AO48))</f>
        <v>11.690545596139902</v>
      </c>
      <c r="K222" s="261">
        <f t="array" ref="K222">MIN(IF($J149:$AO149=K149,$J43:$AO43+$J48:$AO48))</f>
        <v>0</v>
      </c>
      <c r="L222" s="261">
        <f t="array" ref="L222">MIN(IF($J149:$AO149=L149,$J43:$AO43+$J48:$AO48))</f>
        <v>0</v>
      </c>
      <c r="M222" s="261">
        <f t="array" ref="M222">MIN(IF($J149:$AO149=M149,$J43:$AO43+$J48:$AO48))</f>
        <v>17.408191541114306</v>
      </c>
      <c r="N222" s="261">
        <f t="array" ref="N222">MIN(IF($J149:$AO149=N149,$J43:$AO43+$J48:$AO48))</f>
        <v>17.408191541114306</v>
      </c>
      <c r="O222" s="261">
        <f t="array" ref="O222">MIN(IF($J149:$AO149=O149,$J43:$AO43+$J48:$AO48))</f>
        <v>17.408191541114306</v>
      </c>
      <c r="P222" s="261">
        <f t="array" ref="P222">MIN(IF($J149:$AO149=P149,$J43:$AO43+$J48:$AO48))</f>
        <v>17.408191541114306</v>
      </c>
      <c r="Q222" s="261">
        <f t="array" ref="Q222">MIN(IF($J149:$AO149=Q149,$J43:$AO43+$J48:$AO48))</f>
        <v>0</v>
      </c>
      <c r="R222" s="261">
        <f t="array" ref="R222">MIN(IF($J149:$AO149=R149,$J43:$AO43+$J48:$AO48))</f>
        <v>0</v>
      </c>
      <c r="S222" s="261">
        <f t="array" ref="S222">MIN(IF($J149:$AO149=S149,$J43:$AO43+$J48:$AO48))</f>
        <v>13.513542855749364</v>
      </c>
      <c r="T222" s="261">
        <f t="array" ref="T222">MIN(IF($J149:$AO149=T149,$J43:$AO43+$J48:$AO48))</f>
        <v>13.513542855749364</v>
      </c>
      <c r="U222" s="261">
        <f t="array" ref="U222">MIN(IF($J149:$AO149=U149,$J43:$AO43+$J48:$AO48))</f>
        <v>13.513542855749364</v>
      </c>
      <c r="V222" s="261">
        <f t="array" ref="V222">MIN(IF($J149:$AO149=V149,$J43:$AO43+$J48:$AO48))</f>
        <v>13.513542855749364</v>
      </c>
      <c r="W222" s="261">
        <f t="array" ref="W222">MIN(IF($J149:$AO149=W149,$J43:$AO43+$J48:$AO48))</f>
        <v>0</v>
      </c>
      <c r="X222" s="261">
        <f t="array" ref="X222">MIN(IF($J149:$AO149=X149,$J43:$AO43+$J48:$AO48))</f>
        <v>13.513542855749364</v>
      </c>
      <c r="Y222" s="261">
        <f t="array" ref="Y222">MIN(IF($J149:$AO149=Y149,$J43:$AO43+$J48:$AO48))</f>
        <v>13.513542855749364</v>
      </c>
      <c r="Z222" s="261">
        <f t="array" ref="Z222">MIN(IF($J149:$AO149=Z149,$J43:$AO43+$J48:$AO48))</f>
        <v>13.513542855749364</v>
      </c>
      <c r="AA222" s="261">
        <f t="array" ref="AA222">MIN(IF($J149:$AO149=AA149,$J43:$AO43+$J48:$AO48))</f>
        <v>13.513542855749364</v>
      </c>
      <c r="AB222" s="261">
        <f t="array" ref="AB222">MIN(IF($J149:$AO149=AB149,$J43:$AO43+$J48:$AO48))</f>
        <v>0</v>
      </c>
      <c r="AC222" s="261">
        <f t="array" ref="AC222">MIN(IF($J149:$AO149=AC149,$J43:$AO43+$J48:$AO48))</f>
        <v>124.75480667074974</v>
      </c>
      <c r="AD222" s="261">
        <f t="array" ref="AD222">MIN(IF($J149:$AO149=AD149,$J43:$AO43+$J48:$AO48))</f>
        <v>124.75480667074974</v>
      </c>
      <c r="AE222" s="261">
        <f t="array" ref="AE222">MIN(IF($J149:$AO149=AE149,$J43:$AO43+$J48:$AO48))</f>
        <v>124.75480667074974</v>
      </c>
      <c r="AF222" s="261">
        <f t="array" ref="AF222">MIN(IF($J149:$AO149=AF149,$J43:$AO43+$J48:$AO48))</f>
        <v>124.75480667074974</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2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25">
      <c r="C224" s="86"/>
      <c r="E224" t="s">
        <v>993</v>
      </c>
      <c r="G224" t="s">
        <v>270</v>
      </c>
      <c r="J224" s="261">
        <f>MAX(-J222,J198)</f>
        <v>0.87956113202647057</v>
      </c>
      <c r="K224" s="261">
        <f t="shared" ref="K224:AO224" si="106">MAX(-K222,K198)</f>
        <v>0</v>
      </c>
      <c r="L224" s="261">
        <f t="shared" si="106"/>
        <v>0</v>
      </c>
      <c r="M224" s="261">
        <f t="shared" si="106"/>
        <v>0.61620139733999224</v>
      </c>
      <c r="N224" s="261">
        <f t="shared" si="106"/>
        <v>2.5088292230154248</v>
      </c>
      <c r="O224" s="261">
        <f t="shared" si="106"/>
        <v>5.0533222196485106</v>
      </c>
      <c r="P224" s="261">
        <f t="shared" si="106"/>
        <v>12.283094242644594</v>
      </c>
      <c r="Q224" s="261">
        <f t="shared" si="106"/>
        <v>0</v>
      </c>
      <c r="R224" s="261">
        <f t="shared" si="106"/>
        <v>0</v>
      </c>
      <c r="S224" s="261">
        <f t="shared" si="106"/>
        <v>24.197962711143319</v>
      </c>
      <c r="T224" s="261">
        <f t="shared" si="106"/>
        <v>43.478886606429548</v>
      </c>
      <c r="U224" s="261">
        <f t="shared" si="106"/>
        <v>69.525130389456976</v>
      </c>
      <c r="V224" s="261">
        <f t="shared" si="106"/>
        <v>153.98338493000759</v>
      </c>
      <c r="W224" s="261">
        <f t="shared" si="106"/>
        <v>0</v>
      </c>
      <c r="X224" s="261">
        <f t="shared" si="106"/>
        <v>24.197962711143319</v>
      </c>
      <c r="Y224" s="261">
        <f t="shared" si="106"/>
        <v>43.478886606429548</v>
      </c>
      <c r="Z224" s="261">
        <f t="shared" si="106"/>
        <v>69.525130389456976</v>
      </c>
      <c r="AA224" s="261">
        <f t="shared" si="106"/>
        <v>153.98338493000762</v>
      </c>
      <c r="AB224" s="261">
        <f t="shared" si="106"/>
        <v>0</v>
      </c>
      <c r="AC224" s="261">
        <f t="shared" si="106"/>
        <v>173.85492113860462</v>
      </c>
      <c r="AD224" s="261">
        <f t="shared" si="106"/>
        <v>400.349572334806</v>
      </c>
      <c r="AE224" s="261">
        <f t="shared" si="106"/>
        <v>891.36426431500422</v>
      </c>
      <c r="AF224" s="261">
        <f t="shared" si="106"/>
        <v>1783.4065705529474</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2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25">
      <c r="C226" s="86"/>
      <c r="E226" t="s">
        <v>994</v>
      </c>
      <c r="G226" t="s">
        <v>270</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2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25">
      <c r="C228" s="86"/>
      <c r="E228" t="s">
        <v>995</v>
      </c>
      <c r="G228" t="s">
        <v>879</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2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25">
      <c r="C230" s="86"/>
      <c r="D230"/>
      <c r="E230" t="s">
        <v>996</v>
      </c>
      <c r="G230" t="s">
        <v>879</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2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25">
      <c r="C232" s="93" t="str">
        <f ca="1">INDEX('Version control'!$H$41:$H$64,MATCH($A$1,'Version control'!$F$41:$F$64,0),1)&amp;"-J: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2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25">
      <c r="C234" s="86"/>
      <c r="D234" s="86" t="s">
        <v>997</v>
      </c>
      <c r="I234" t="s">
        <v>154</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1071</v>
      </c>
    </row>
    <row r="235" spans="3:43" x14ac:dyDescent="0.25">
      <c r="C235" s="86"/>
      <c r="D235" s="86" t="s">
        <v>998</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2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25">
      <c r="C237" s="86"/>
      <c r="E237" s="334" t="s">
        <v>999</v>
      </c>
      <c r="G237" t="s">
        <v>861</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2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25">
      <c r="C239" s="86"/>
      <c r="E239" s="86" t="s">
        <v>1000</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25">
      <c r="C240" s="86"/>
      <c r="E240" s="86" t="s">
        <v>1001</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25">
      <c r="C241" s="86"/>
      <c r="E241" s="86" t="s">
        <v>1002</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2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25">
      <c r="C243" s="86"/>
      <c r="E243" s="75" t="s">
        <v>1003</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25">
      <c r="C244" s="86"/>
      <c r="F244" s="95" t="s">
        <v>1004</v>
      </c>
      <c r="G244" s="95" t="s">
        <v>149</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25">
      <c r="C245" s="86"/>
      <c r="F245" t="s">
        <v>1005</v>
      </c>
      <c r="G245" t="s">
        <v>149</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25">
      <c r="C246" s="86"/>
      <c r="F246" s="96" t="s">
        <v>1006</v>
      </c>
      <c r="G246" s="96" t="s">
        <v>149</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2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25">
      <c r="C248" s="86"/>
      <c r="E248" s="75" t="s">
        <v>1007</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25">
      <c r="C249" s="86"/>
      <c r="F249" s="95" t="s">
        <v>1004</v>
      </c>
      <c r="G249" s="95" t="s">
        <v>269</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25">
      <c r="C250" s="86"/>
      <c r="F250" t="s">
        <v>1005</v>
      </c>
      <c r="G250" t="s">
        <v>269</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25">
      <c r="C251" s="86"/>
      <c r="F251" s="96" t="s">
        <v>1006</v>
      </c>
      <c r="G251" s="96" t="s">
        <v>269</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2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25">
      <c r="C253" s="86"/>
      <c r="E253" s="2" t="s">
        <v>1008</v>
      </c>
      <c r="I253" t="s">
        <v>154</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1097</v>
      </c>
    </row>
    <row r="254" spans="3:43" x14ac:dyDescent="0.25">
      <c r="C254" s="86"/>
      <c r="E254" s="2" t="s">
        <v>1009</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2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25">
      <c r="C256" s="86"/>
      <c r="E256" s="75" t="s">
        <v>1010</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25">
      <c r="C257" s="86"/>
      <c r="F257" s="95" t="s">
        <v>1004</v>
      </c>
      <c r="G257" s="95" t="s">
        <v>269</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25">
      <c r="C258" s="86"/>
      <c r="F258" t="s">
        <v>1005</v>
      </c>
      <c r="G258" t="s">
        <v>269</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25">
      <c r="C259" s="86"/>
      <c r="F259" s="96" t="s">
        <v>1006</v>
      </c>
      <c r="G259" s="96" t="s">
        <v>269</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2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25">
      <c r="C261" s="86"/>
      <c r="E261" s="75" t="s">
        <v>1011</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25">
      <c r="C262" s="86"/>
      <c r="F262" s="95" t="s">
        <v>1004</v>
      </c>
      <c r="G262" s="95" t="s">
        <v>269</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25">
      <c r="C263" s="86"/>
      <c r="F263" t="s">
        <v>1005</v>
      </c>
      <c r="G263" t="s">
        <v>269</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25">
      <c r="C264" s="86"/>
      <c r="F264" s="96" t="s">
        <v>1006</v>
      </c>
      <c r="G264" s="96" t="s">
        <v>269</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2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25">
      <c r="C266" s="86"/>
      <c r="E266" s="75" t="s">
        <v>1012</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25">
      <c r="C267" s="86"/>
      <c r="F267" s="95" t="s">
        <v>1004</v>
      </c>
      <c r="G267" s="95" t="s">
        <v>149</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25">
      <c r="C268" s="86"/>
      <c r="F268" t="s">
        <v>1005</v>
      </c>
      <c r="G268" t="s">
        <v>149</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25">
      <c r="C269" s="86"/>
      <c r="F269" s="96" t="s">
        <v>1006</v>
      </c>
      <c r="G269" s="96" t="s">
        <v>149</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2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25">
      <c r="C271" s="86"/>
      <c r="E271" s="75" t="s">
        <v>1013</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25">
      <c r="C272" s="86"/>
      <c r="F272" s="95" t="s">
        <v>1004</v>
      </c>
      <c r="G272" s="95" t="s">
        <v>207</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25">
      <c r="C273" s="86"/>
      <c r="F273" t="s">
        <v>1005</v>
      </c>
      <c r="G273" t="s">
        <v>207</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25">
      <c r="C274" s="86"/>
      <c r="F274" s="96" t="s">
        <v>1006</v>
      </c>
      <c r="G274" s="96" t="s">
        <v>207</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2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25">
      <c r="C276" s="86"/>
      <c r="E276" s="75" t="s">
        <v>1014</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25">
      <c r="C277" s="86"/>
      <c r="F277" s="95" t="s">
        <v>1004</v>
      </c>
      <c r="G277" s="95" t="s">
        <v>207</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25">
      <c r="C278" s="86"/>
      <c r="F278" t="s">
        <v>1005</v>
      </c>
      <c r="G278" t="s">
        <v>207</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25">
      <c r="C279" s="86"/>
      <c r="F279" s="96" t="s">
        <v>1006</v>
      </c>
      <c r="G279" s="96" t="s">
        <v>207</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2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25">
      <c r="C281" s="86"/>
      <c r="E281" s="75" t="s">
        <v>1015</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25">
      <c r="C282" s="86"/>
      <c r="F282" s="95" t="s">
        <v>1004</v>
      </c>
      <c r="G282" s="95" t="s">
        <v>207</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25">
      <c r="C283" s="86"/>
      <c r="F283" t="s">
        <v>1005</v>
      </c>
      <c r="G283" t="s">
        <v>207</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25">
      <c r="C284" s="86"/>
      <c r="F284" s="96" t="s">
        <v>1006</v>
      </c>
      <c r="G284" s="96" t="s">
        <v>207</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2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25">
      <c r="C286" s="93" t="str">
        <f ca="1">INDEX('Version control'!$H$41:$H$64,MATCH($A$1,'Version control'!$F$41:$F$64,0),1)&amp;"-K: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2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25">
      <c r="C288" s="86"/>
      <c r="D288" s="86" t="s">
        <v>1016</v>
      </c>
      <c r="E288" s="75"/>
      <c r="I288" t="s">
        <v>154</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1071</v>
      </c>
    </row>
    <row r="289" spans="3:44" x14ac:dyDescent="0.25">
      <c r="C289" s="86"/>
      <c r="D289" s="86" t="s">
        <v>1017</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25">
      <c r="C290" s="86"/>
      <c r="D290" s="86" t="s">
        <v>1018</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2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25">
      <c r="C292" s="86"/>
      <c r="E292" s="75" t="s">
        <v>1019</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25">
      <c r="C293" s="86"/>
      <c r="F293" t="s">
        <v>1020</v>
      </c>
      <c r="G293" t="s">
        <v>879</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2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25">
      <c r="C295" s="86"/>
      <c r="F295" t="s">
        <v>1021</v>
      </c>
      <c r="G295" t="s">
        <v>879</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2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25">
      <c r="C297" s="86"/>
      <c r="E297" s="75" t="s">
        <v>969</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25">
      <c r="C298" s="86"/>
      <c r="F298" s="334" t="s">
        <v>1022</v>
      </c>
      <c r="G298" t="s">
        <v>207</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2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25">
      <c r="C300" s="86"/>
      <c r="F300" t="s">
        <v>971</v>
      </c>
      <c r="G300" t="s">
        <v>207</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2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25">
      <c r="C302" s="86"/>
      <c r="F302" t="s">
        <v>973</v>
      </c>
      <c r="G302" t="s">
        <v>207</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2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25">
      <c r="C304" s="86"/>
      <c r="E304" s="94" t="s">
        <v>1023</v>
      </c>
      <c r="G304" t="s">
        <v>269</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2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25">
      <c r="C306" s="86"/>
      <c r="E306" s="75" t="s">
        <v>1024</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25">
      <c r="C307" s="86"/>
      <c r="F307" s="95" t="s">
        <v>1004</v>
      </c>
      <c r="G307" s="95" t="s">
        <v>861</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25">
      <c r="C308" s="86"/>
      <c r="F308" t="s">
        <v>1005</v>
      </c>
      <c r="G308" t="s">
        <v>861</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25">
      <c r="C309" s="86"/>
      <c r="F309" s="96" t="s">
        <v>1006</v>
      </c>
      <c r="G309" s="96" t="s">
        <v>861</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2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25">
      <c r="C311" s="86"/>
      <c r="E311" t="s">
        <v>1025</v>
      </c>
      <c r="G311" t="s">
        <v>861</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2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25">
      <c r="C313" s="93" t="str">
        <f ca="1">INDEX('Version control'!$H$41:$H$64,MATCH($A$1,'Version control'!$F$41:$F$64,0),1)&amp;"-L: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2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25">
      <c r="C315" s="86"/>
      <c r="D315" s="86" t="s">
        <v>1093</v>
      </c>
      <c r="E315" s="75"/>
      <c r="I315" t="s">
        <v>154</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1071</v>
      </c>
    </row>
    <row r="316" spans="3:43" x14ac:dyDescent="0.25">
      <c r="C316" s="86"/>
      <c r="D316" s="86" t="s">
        <v>1026</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25">
      <c r="C317" s="86"/>
      <c r="D317" s="86" t="s">
        <v>1027</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25">
      <c r="C318" s="86"/>
      <c r="D318" s="86" t="s">
        <v>1028</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2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25">
      <c r="C320" s="86"/>
      <c r="E320" s="75" t="s">
        <v>1029</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25">
      <c r="C321" s="86"/>
      <c r="F321" s="109" t="s">
        <v>1030</v>
      </c>
      <c r="G321" t="s">
        <v>879</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2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25">
      <c r="C323" s="86"/>
      <c r="F323" s="341" t="s">
        <v>1031</v>
      </c>
      <c r="G323" t="s">
        <v>879</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2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25">
      <c r="C325" s="86"/>
      <c r="F325" t="s">
        <v>1020</v>
      </c>
      <c r="G325" t="s">
        <v>879</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2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25">
      <c r="C327" s="86"/>
      <c r="F327" t="s">
        <v>1021</v>
      </c>
      <c r="G327" t="s">
        <v>879</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2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25">
      <c r="C329" s="86"/>
      <c r="E329" s="75" t="s">
        <v>969</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25">
      <c r="C330" s="86"/>
      <c r="F330" s="334" t="s">
        <v>1032</v>
      </c>
      <c r="G330" t="s">
        <v>207</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2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25">
      <c r="C332" s="86"/>
      <c r="F332" t="s">
        <v>971</v>
      </c>
      <c r="G332" t="s">
        <v>207</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2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25">
      <c r="C334" s="86"/>
      <c r="F334" t="s">
        <v>973</v>
      </c>
      <c r="G334" t="s">
        <v>207</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2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25">
      <c r="C336" s="86"/>
      <c r="E336" s="334" t="s">
        <v>1033</v>
      </c>
      <c r="G336" t="s">
        <v>269</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2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25">
      <c r="C338" s="86"/>
      <c r="E338" s="75" t="s">
        <v>1034</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25">
      <c r="C339" s="86"/>
      <c r="F339" s="95" t="s">
        <v>1004</v>
      </c>
      <c r="G339" s="95" t="s">
        <v>861</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25">
      <c r="C340" s="86"/>
      <c r="F340" t="s">
        <v>1005</v>
      </c>
      <c r="G340" t="s">
        <v>861</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25">
      <c r="C341" s="86"/>
      <c r="F341" s="96" t="s">
        <v>1006</v>
      </c>
      <c r="G341" s="96" t="s">
        <v>861</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2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25">
      <c r="C343" s="86"/>
      <c r="E343" t="s">
        <v>1035</v>
      </c>
      <c r="G343" t="s">
        <v>861</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2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25">
      <c r="C345" s="93" t="str">
        <f ca="1">INDEX('Version control'!$H$41:$H$64,MATCH($A$1,'Version control'!$F$41:$F$64,0),1)&amp;"-M: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2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25">
      <c r="C347" s="86"/>
      <c r="D347" s="86" t="s">
        <v>1093</v>
      </c>
      <c r="E347" s="75"/>
      <c r="I347" t="s">
        <v>154</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1071</v>
      </c>
    </row>
    <row r="348" spans="3:43" x14ac:dyDescent="0.25">
      <c r="C348" s="86"/>
      <c r="D348" s="86" t="s">
        <v>1036</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25">
      <c r="C349" s="86"/>
      <c r="D349" s="86" t="s">
        <v>1027</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25">
      <c r="C350" s="86"/>
      <c r="D350" s="86" t="s">
        <v>1028</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2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25">
      <c r="C352" s="86"/>
      <c r="E352" s="75" t="s">
        <v>1037</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25">
      <c r="C353" s="86"/>
      <c r="F353" s="109" t="s">
        <v>1038</v>
      </c>
      <c r="G353" t="s">
        <v>879</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2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25">
      <c r="C355" s="86"/>
      <c r="F355" s="341" t="s">
        <v>1031</v>
      </c>
      <c r="G355" t="s">
        <v>879</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2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25">
      <c r="C357" s="86"/>
      <c r="F357" t="s">
        <v>1020</v>
      </c>
      <c r="G357" t="s">
        <v>879</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2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25">
      <c r="C359" s="86"/>
      <c r="F359" t="s">
        <v>1021</v>
      </c>
      <c r="G359" t="s">
        <v>879</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2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25">
      <c r="C361" s="86"/>
      <c r="E361" s="75" t="s">
        <v>969</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25">
      <c r="C362" s="86"/>
      <c r="F362" s="334" t="s">
        <v>1032</v>
      </c>
      <c r="G362" t="s">
        <v>207</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2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25">
      <c r="C364" s="86"/>
      <c r="F364" t="s">
        <v>971</v>
      </c>
      <c r="G364" t="s">
        <v>207</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2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25">
      <c r="C366" s="86"/>
      <c r="F366" t="s">
        <v>973</v>
      </c>
      <c r="G366" t="s">
        <v>207</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2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25">
      <c r="C368" s="86"/>
      <c r="E368" s="94" t="s">
        <v>1039</v>
      </c>
      <c r="G368" t="s">
        <v>269</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2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25">
      <c r="C370" s="86"/>
      <c r="E370" s="75" t="s">
        <v>1040</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25">
      <c r="C371" s="86"/>
      <c r="F371" s="95" t="s">
        <v>1004</v>
      </c>
      <c r="G371" s="95" t="s">
        <v>861</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25">
      <c r="C372" s="86"/>
      <c r="F372" t="s">
        <v>1005</v>
      </c>
      <c r="G372" t="s">
        <v>861</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25">
      <c r="C373" s="86"/>
      <c r="F373" s="96" t="s">
        <v>1006</v>
      </c>
      <c r="G373" s="96" t="s">
        <v>861</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2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25">
      <c r="C375" s="86"/>
      <c r="E375" t="s">
        <v>1041</v>
      </c>
      <c r="G375" t="s">
        <v>861</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2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25">
      <c r="C377" s="93" t="str">
        <f ca="1">INDEX('Version control'!$H$41:$H$64,MATCH($A$1,'Version control'!$F$41:$F$64,0),1)&amp;"-N: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2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25">
      <c r="C379" s="86"/>
      <c r="D379" s="86" t="s">
        <v>1089</v>
      </c>
      <c r="E379" s="75"/>
      <c r="I379" t="s">
        <v>154</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1071</v>
      </c>
    </row>
    <row r="380" spans="3:43" x14ac:dyDescent="0.25">
      <c r="C380" s="86"/>
      <c r="D380" s="86" t="s">
        <v>1042</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25">
      <c r="C381" s="86"/>
      <c r="D381" s="86" t="s">
        <v>1043</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2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25">
      <c r="C383" s="86"/>
      <c r="E383" s="75" t="s">
        <v>1044</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25">
      <c r="C384" s="86"/>
      <c r="F384" s="95" t="s">
        <v>1045</v>
      </c>
      <c r="G384" s="95" t="s">
        <v>861</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25">
      <c r="C385" s="86"/>
      <c r="F385" t="s">
        <v>1046</v>
      </c>
      <c r="G385" t="s">
        <v>861</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25">
      <c r="C386" s="86"/>
      <c r="F386" s="96" t="s">
        <v>1047</v>
      </c>
      <c r="G386" s="96" t="s">
        <v>861</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2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25">
      <c r="C388" s="86"/>
      <c r="E388" s="75" t="s">
        <v>1048</v>
      </c>
      <c r="G388" t="s">
        <v>149</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2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25">
      <c r="C390" s="86"/>
      <c r="E390" s="75" t="s">
        <v>1049</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25">
      <c r="C391" s="86"/>
      <c r="F391" s="95" t="s">
        <v>1045</v>
      </c>
      <c r="G391" s="95" t="s">
        <v>861</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25">
      <c r="C392" s="86"/>
      <c r="F392" t="s">
        <v>1046</v>
      </c>
      <c r="G392" t="s">
        <v>861</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25">
      <c r="C393" s="86"/>
      <c r="F393" s="96" t="s">
        <v>1047</v>
      </c>
      <c r="G393" s="96" t="s">
        <v>861</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2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25">
      <c r="C395" s="86"/>
      <c r="E395" s="334" t="s">
        <v>1050</v>
      </c>
      <c r="G395" t="s">
        <v>269</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2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25">
      <c r="C397" s="86"/>
      <c r="E397" s="75" t="s">
        <v>1051</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25">
      <c r="C398" s="86"/>
      <c r="F398" s="95" t="s">
        <v>1004</v>
      </c>
      <c r="G398" s="95" t="s">
        <v>269</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25">
      <c r="C399" s="86"/>
      <c r="F399" t="s">
        <v>1005</v>
      </c>
      <c r="G399" t="s">
        <v>269</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25">
      <c r="C400" s="86"/>
      <c r="F400" s="96" t="s">
        <v>1006</v>
      </c>
      <c r="G400" s="96" t="s">
        <v>269</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2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25">
      <c r="C402" s="86"/>
      <c r="E402" s="75" t="s">
        <v>1052</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25">
      <c r="C403" s="86"/>
      <c r="F403" s="95" t="s">
        <v>156</v>
      </c>
      <c r="G403" s="95" t="s">
        <v>269</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25">
      <c r="C404" s="86"/>
      <c r="F404" t="s">
        <v>157</v>
      </c>
      <c r="G404" t="s">
        <v>269</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25">
      <c r="C405" s="86"/>
      <c r="F405" s="96" t="s">
        <v>158</v>
      </c>
      <c r="G405" s="96" t="s">
        <v>269</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2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25">
      <c r="B407" s="85" t="s">
        <v>970</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2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25">
      <c r="C409" s="93" t="str">
        <f ca="1">INDEX('Version control'!$H$41:$H$64,MATCH($A$1,'Version control'!$F$41:$F$64,0),1)&amp;"-O: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2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25">
      <c r="C411" s="86"/>
      <c r="E411" s="105" t="s">
        <v>886</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25">
      <c r="C412" s="86"/>
      <c r="F412" s="95" t="s">
        <v>156</v>
      </c>
      <c r="G412" s="95" t="s">
        <v>269</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9.4190443493598813E-2</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25">
      <c r="C413" s="86"/>
      <c r="F413" t="s">
        <v>157</v>
      </c>
      <c r="G413" t="s">
        <v>269</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9.4190443493598813E-2</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25">
      <c r="C414" s="86"/>
      <c r="F414" t="s">
        <v>158</v>
      </c>
      <c r="G414" t="s">
        <v>269</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9.4190443493598813E-2</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25">
      <c r="C415" s="86"/>
      <c r="F415" t="s">
        <v>159</v>
      </c>
      <c r="G415" t="s">
        <v>270</v>
      </c>
      <c r="J415" s="307">
        <f t="shared" ref="J415:AO415" si="167">J224</f>
        <v>0.87956113202647057</v>
      </c>
      <c r="K415" s="307">
        <f t="shared" si="167"/>
        <v>0</v>
      </c>
      <c r="L415" s="307">
        <f t="shared" si="167"/>
        <v>0</v>
      </c>
      <c r="M415" s="307">
        <f t="shared" si="167"/>
        <v>0.61620139733999224</v>
      </c>
      <c r="N415" s="307">
        <f t="shared" si="167"/>
        <v>2.5088292230154248</v>
      </c>
      <c r="O415" s="307">
        <f t="shared" si="167"/>
        <v>5.0533222196485106</v>
      </c>
      <c r="P415" s="307">
        <f t="shared" si="167"/>
        <v>12.283094242644594</v>
      </c>
      <c r="Q415" s="307">
        <f t="shared" si="167"/>
        <v>0</v>
      </c>
      <c r="R415" s="307">
        <f t="shared" si="167"/>
        <v>0</v>
      </c>
      <c r="S415" s="307">
        <f t="shared" si="167"/>
        <v>24.197962711143319</v>
      </c>
      <c r="T415" s="307">
        <f t="shared" si="167"/>
        <v>43.478886606429548</v>
      </c>
      <c r="U415" s="307">
        <f t="shared" si="167"/>
        <v>69.525130389456976</v>
      </c>
      <c r="V415" s="307">
        <f t="shared" si="167"/>
        <v>153.98338493000759</v>
      </c>
      <c r="W415" s="307">
        <f t="shared" si="167"/>
        <v>0</v>
      </c>
      <c r="X415" s="307">
        <f t="shared" si="167"/>
        <v>24.197962711143319</v>
      </c>
      <c r="Y415" s="307">
        <f t="shared" si="167"/>
        <v>43.478886606429548</v>
      </c>
      <c r="Z415" s="307">
        <f t="shared" si="167"/>
        <v>69.525130389456976</v>
      </c>
      <c r="AA415" s="307">
        <f t="shared" si="167"/>
        <v>153.98338493000762</v>
      </c>
      <c r="AB415" s="307">
        <f t="shared" si="167"/>
        <v>0</v>
      </c>
      <c r="AC415" s="307">
        <f t="shared" si="167"/>
        <v>173.85492113860462</v>
      </c>
      <c r="AD415" s="307">
        <f t="shared" si="167"/>
        <v>400.349572334806</v>
      </c>
      <c r="AE415" s="307">
        <f t="shared" si="167"/>
        <v>891.36426431500422</v>
      </c>
      <c r="AF415" s="307">
        <f t="shared" si="167"/>
        <v>1783.4065705529474</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25">
      <c r="C416" s="86"/>
      <c r="E416" s="94"/>
      <c r="F416" t="s">
        <v>160</v>
      </c>
      <c r="G416" t="s">
        <v>271</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25">
      <c r="C417" s="86"/>
      <c r="F417" t="s">
        <v>161</v>
      </c>
      <c r="G417" t="s">
        <v>271</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25">
      <c r="C418" s="86"/>
      <c r="E418" s="94"/>
      <c r="F418" s="96" t="s">
        <v>162</v>
      </c>
      <c r="G418" s="96" t="s">
        <v>272</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25">
      <c r="C419" s="86"/>
    </row>
    <row r="420" spans="2:43" x14ac:dyDescent="0.25">
      <c r="B420" s="85" t="s">
        <v>231</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2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25">
      <c r="C422" s="86"/>
      <c r="E422" s="94" t="s">
        <v>1053</v>
      </c>
      <c r="F422" s="94"/>
      <c r="G422" t="s">
        <v>879</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2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25">
      <c r="C424" s="86"/>
      <c r="E424" s="94" t="s">
        <v>1054</v>
      </c>
      <c r="F424" s="94"/>
      <c r="G424" t="s">
        <v>879</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2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25">
      <c r="C426" s="86"/>
      <c r="E426" s="94" t="s">
        <v>1055</v>
      </c>
      <c r="F426" s="94"/>
      <c r="G426" t="s">
        <v>861</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2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25">
      <c r="C428" s="86"/>
      <c r="E428" s="94" t="s">
        <v>1056</v>
      </c>
      <c r="G428" s="6" t="s">
        <v>56</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2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25">
      <c r="C430" s="86"/>
      <c r="E430" t="s">
        <v>232</v>
      </c>
      <c r="G430" s="6" t="s">
        <v>56</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2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25">
      <c r="C432" s="86"/>
      <c r="E432" s="94" t="s">
        <v>885</v>
      </c>
      <c r="G432" s="6" t="s">
        <v>56</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2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25">
      <c r="B434" s="85" t="s">
        <v>107</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H178 &amp; IF(H178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699</v>
      </c>
      <c r="E9"/>
    </row>
    <row r="10" spans="1:43" x14ac:dyDescent="0.25">
      <c r="C10" s="86" t="s">
        <v>700</v>
      </c>
      <c r="E10"/>
    </row>
    <row r="12" spans="1:43" x14ac:dyDescent="0.25">
      <c r="B12" s="85" t="s">
        <v>701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25">
      <c r="C14" s="86" t="s">
        <v>702</v>
      </c>
    </row>
    <row r="16" spans="1:43" x14ac:dyDescent="0.25">
      <c r="C16" s="93" t="str">
        <f ca="1">INDEX('Version control'!$H$41:$H$64,MATCH($A$1,'Version control'!$F$41:$F$64,0),1)&amp;"-A: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25">
      <c r="E18" s="75" t="s">
        <v>703</v>
      </c>
      <c r="F18" s="75"/>
    </row>
    <row r="19" spans="3:43" x14ac:dyDescent="0.25">
      <c r="E19" s="86" t="s">
        <v>704</v>
      </c>
      <c r="F19" s="2"/>
    </row>
    <row r="20" spans="3:43" x14ac:dyDescent="0.25">
      <c r="C20" s="105"/>
      <c r="F20" s="95" t="s">
        <v>156</v>
      </c>
      <c r="G20" s="95" t="s">
        <v>269</v>
      </c>
      <c r="H20" s="278"/>
      <c r="I20" s="266"/>
      <c r="J20" s="278">
        <f>'Revenue matching'!J40</f>
        <v>22.754367788879499</v>
      </c>
      <c r="K20" s="278">
        <f>'Revenue matching'!K40</f>
        <v>22.754367788879499</v>
      </c>
      <c r="L20" s="278">
        <f>'Revenue matching'!L40</f>
        <v>24.204345157669163</v>
      </c>
      <c r="M20" s="278">
        <f>'Revenue matching'!M40</f>
        <v>24.204345157669163</v>
      </c>
      <c r="N20" s="278">
        <f>'Revenue matching'!N40</f>
        <v>24.204345157669163</v>
      </c>
      <c r="O20" s="278">
        <f>'Revenue matching'!O40</f>
        <v>24.204345157669163</v>
      </c>
      <c r="P20" s="278">
        <f>'Revenue matching'!P40</f>
        <v>24.204345157669163</v>
      </c>
      <c r="Q20" s="278">
        <f>'Revenue matching'!Q40</f>
        <v>24.204345157669163</v>
      </c>
      <c r="R20" s="278">
        <f>'Revenue matching'!R40</f>
        <v>14.833378766097514</v>
      </c>
      <c r="S20" s="278">
        <f>'Revenue matching'!S40</f>
        <v>14.833378766097514</v>
      </c>
      <c r="T20" s="278">
        <f>'Revenue matching'!T40</f>
        <v>14.833378766097514</v>
      </c>
      <c r="U20" s="278">
        <f>'Revenue matching'!U40</f>
        <v>14.833378766097514</v>
      </c>
      <c r="V20" s="278">
        <f>'Revenue matching'!V40</f>
        <v>14.833378766097514</v>
      </c>
      <c r="W20" s="278">
        <f>'Revenue matching'!W40</f>
        <v>9.3736478380256543</v>
      </c>
      <c r="X20" s="278">
        <f>'Revenue matching'!X40</f>
        <v>9.3736478380256543</v>
      </c>
      <c r="Y20" s="278">
        <f>'Revenue matching'!Y40</f>
        <v>9.3736478380256543</v>
      </c>
      <c r="Z20" s="278">
        <f>'Revenue matching'!Z40</f>
        <v>9.3736478380256543</v>
      </c>
      <c r="AA20" s="278">
        <f>'Revenue matching'!AA40</f>
        <v>9.3736478380256543</v>
      </c>
      <c r="AB20" s="278">
        <f>'Revenue matching'!AB40</f>
        <v>7.2418921898197315</v>
      </c>
      <c r="AC20" s="278">
        <f>'Revenue matching'!AC40</f>
        <v>7.2418921898197315</v>
      </c>
      <c r="AD20" s="278">
        <f>'Revenue matching'!AD40</f>
        <v>7.2418921898197315</v>
      </c>
      <c r="AE20" s="278">
        <f>'Revenue matching'!AE40</f>
        <v>7.2418921898197315</v>
      </c>
      <c r="AF20" s="278">
        <f>'Revenue matching'!AF40</f>
        <v>7.2418921898197315</v>
      </c>
      <c r="AG20" s="278">
        <f>'Revenue matching'!AG40</f>
        <v>68.156894154197772</v>
      </c>
      <c r="AH20" s="278">
        <f>'Revenue matching'!AH40</f>
        <v>-14.503014192473726</v>
      </c>
      <c r="AI20" s="278">
        <f>'Revenue matching'!AI40</f>
        <v>-12.444090350355333</v>
      </c>
      <c r="AJ20" s="278">
        <f>'Revenue matching'!AJ40</f>
        <v>-14.503014192473726</v>
      </c>
      <c r="AK20" s="278">
        <f>'Revenue matching'!AK40</f>
        <v>-14.503014192473726</v>
      </c>
      <c r="AL20" s="278">
        <f>'Revenue matching'!AL40</f>
        <v>-12.444090350355333</v>
      </c>
      <c r="AM20" s="278">
        <f>'Revenue matching'!AM40</f>
        <v>-12.444090350355333</v>
      </c>
      <c r="AN20" s="278">
        <f>'Revenue matching'!AN40</f>
        <v>-7.7863780978561934</v>
      </c>
      <c r="AO20" s="278">
        <f>'Revenue matching'!AO40</f>
        <v>-7.7863780978561934</v>
      </c>
      <c r="AP20" s="268"/>
      <c r="AQ20" s="268"/>
    </row>
    <row r="21" spans="3:43" x14ac:dyDescent="0.25">
      <c r="C21" s="105"/>
      <c r="F21" t="s">
        <v>157</v>
      </c>
      <c r="G21" t="s">
        <v>269</v>
      </c>
      <c r="H21" s="279"/>
      <c r="I21" s="268"/>
      <c r="J21" s="279">
        <f>'Revenue matching'!J41</f>
        <v>1.8142545868877058</v>
      </c>
      <c r="K21" s="279">
        <f>'Revenue matching'!K41</f>
        <v>1.8142545868877058</v>
      </c>
      <c r="L21" s="279">
        <f>'Revenue matching'!L41</f>
        <v>1.9298643949306107</v>
      </c>
      <c r="M21" s="279">
        <f>'Revenue matching'!M41</f>
        <v>1.9298643949306107</v>
      </c>
      <c r="N21" s="279">
        <f>'Revenue matching'!N41</f>
        <v>1.9298643949306107</v>
      </c>
      <c r="O21" s="279">
        <f>'Revenue matching'!O41</f>
        <v>1.9298643949306107</v>
      </c>
      <c r="P21" s="279">
        <f>'Revenue matching'!P41</f>
        <v>1.9298643949306107</v>
      </c>
      <c r="Q21" s="279">
        <f>'Revenue matching'!Q41</f>
        <v>1.9298643949306107</v>
      </c>
      <c r="R21" s="279">
        <f>'Revenue matching'!R41</f>
        <v>1.0647017530048353</v>
      </c>
      <c r="S21" s="279">
        <f>'Revenue matching'!S41</f>
        <v>1.0647017530048353</v>
      </c>
      <c r="T21" s="279">
        <f>'Revenue matching'!T41</f>
        <v>1.0647017530048353</v>
      </c>
      <c r="U21" s="279">
        <f>'Revenue matching'!U41</f>
        <v>1.0647017530048353</v>
      </c>
      <c r="V21" s="279">
        <f>'Revenue matching'!V41</f>
        <v>1.0647017530048353</v>
      </c>
      <c r="W21" s="279">
        <f>'Revenue matching'!W41</f>
        <v>0.49555677768372769</v>
      </c>
      <c r="X21" s="279">
        <f>'Revenue matching'!X41</f>
        <v>0.49555677768372769</v>
      </c>
      <c r="Y21" s="279">
        <f>'Revenue matching'!Y41</f>
        <v>0.49555677768372769</v>
      </c>
      <c r="Z21" s="279">
        <f>'Revenue matching'!Z41</f>
        <v>0.49555677768372769</v>
      </c>
      <c r="AA21" s="279">
        <f>'Revenue matching'!AA41</f>
        <v>0.49555677768372769</v>
      </c>
      <c r="AB21" s="279">
        <f>'Revenue matching'!AB41</f>
        <v>0.30212181510475317</v>
      </c>
      <c r="AC21" s="279">
        <f>'Revenue matching'!AC41</f>
        <v>0.30212181510475317</v>
      </c>
      <c r="AD21" s="279">
        <f>'Revenue matching'!AD41</f>
        <v>0.30212181510475317</v>
      </c>
      <c r="AE21" s="279">
        <f>'Revenue matching'!AE41</f>
        <v>0.30212181510475317</v>
      </c>
      <c r="AF21" s="279">
        <f>'Revenue matching'!AF41</f>
        <v>0.30212181510475317</v>
      </c>
      <c r="AG21" s="279">
        <f>'Revenue matching'!AG41</f>
        <v>3.4434024913493984</v>
      </c>
      <c r="AH21" s="279">
        <f>'Revenue matching'!AH41</f>
        <v>-1.15635645281484</v>
      </c>
      <c r="AI21" s="279">
        <f>'Revenue matching'!AI41</f>
        <v>-0.93051409035444521</v>
      </c>
      <c r="AJ21" s="279">
        <f>'Revenue matching'!AJ41</f>
        <v>-1.15635645281484</v>
      </c>
      <c r="AK21" s="279">
        <f>'Revenue matching'!AK41</f>
        <v>-1.15635645281484</v>
      </c>
      <c r="AL21" s="279">
        <f>'Revenue matching'!AL41</f>
        <v>-0.93051409035444521</v>
      </c>
      <c r="AM21" s="279">
        <f>'Revenue matching'!AM41</f>
        <v>-0.93051409035444521</v>
      </c>
      <c r="AN21" s="279">
        <f>'Revenue matching'!AN41</f>
        <v>-0.41164256505858809</v>
      </c>
      <c r="AO21" s="279">
        <f>'Revenue matching'!AO41</f>
        <v>-0.41164256505858809</v>
      </c>
      <c r="AP21" s="268"/>
      <c r="AQ21" s="268"/>
    </row>
    <row r="22" spans="3:43" x14ac:dyDescent="0.25">
      <c r="C22" s="105"/>
      <c r="F22" t="s">
        <v>158</v>
      </c>
      <c r="G22" t="s">
        <v>269</v>
      </c>
      <c r="H22" s="279"/>
      <c r="I22" s="268"/>
      <c r="J22" s="279">
        <f>'Revenue matching'!J42</f>
        <v>0.1984681748021638</v>
      </c>
      <c r="K22" s="279">
        <f>'Revenue matching'!K42</f>
        <v>0.1984681748021638</v>
      </c>
      <c r="L22" s="279">
        <f>'Revenue matching'!L42</f>
        <v>0.21111516919718137</v>
      </c>
      <c r="M22" s="279">
        <f>'Revenue matching'!M42</f>
        <v>0.21111516919718137</v>
      </c>
      <c r="N22" s="279">
        <f>'Revenue matching'!N42</f>
        <v>0.21111516919718137</v>
      </c>
      <c r="O22" s="279">
        <f>'Revenue matching'!O42</f>
        <v>0.21111516919718137</v>
      </c>
      <c r="P22" s="279">
        <f>'Revenue matching'!P42</f>
        <v>0.21111516919718137</v>
      </c>
      <c r="Q22" s="279">
        <f>'Revenue matching'!Q42</f>
        <v>0.21111516919718137</v>
      </c>
      <c r="R22" s="279">
        <f>'Revenue matching'!R42</f>
        <v>0.11409479114169718</v>
      </c>
      <c r="S22" s="279">
        <f>'Revenue matching'!S42</f>
        <v>0.11409479114169718</v>
      </c>
      <c r="T22" s="279">
        <f>'Revenue matching'!T42</f>
        <v>0.11409479114169718</v>
      </c>
      <c r="U22" s="279">
        <f>'Revenue matching'!U42</f>
        <v>0.11409479114169718</v>
      </c>
      <c r="V22" s="279">
        <f>'Revenue matching'!V42</f>
        <v>0.11409479114169718</v>
      </c>
      <c r="W22" s="279">
        <f>'Revenue matching'!W42</f>
        <v>4.9137946589288356E-2</v>
      </c>
      <c r="X22" s="279">
        <f>'Revenue matching'!X42</f>
        <v>4.9137946589288356E-2</v>
      </c>
      <c r="Y22" s="279">
        <f>'Revenue matching'!Y42</f>
        <v>4.9137946589288356E-2</v>
      </c>
      <c r="Z22" s="279">
        <f>'Revenue matching'!Z42</f>
        <v>4.9137946589288356E-2</v>
      </c>
      <c r="AA22" s="279">
        <f>'Revenue matching'!AA42</f>
        <v>4.9137946589288356E-2</v>
      </c>
      <c r="AB22" s="279">
        <f>'Revenue matching'!AB42</f>
        <v>2.7504662128690939E-2</v>
      </c>
      <c r="AC22" s="279">
        <f>'Revenue matching'!AC42</f>
        <v>2.7504662128690939E-2</v>
      </c>
      <c r="AD22" s="279">
        <f>'Revenue matching'!AD42</f>
        <v>2.7504662128690939E-2</v>
      </c>
      <c r="AE22" s="279">
        <f>'Revenue matching'!AE42</f>
        <v>2.7504662128690939E-2</v>
      </c>
      <c r="AF22" s="279">
        <f>'Revenue matching'!AF42</f>
        <v>2.7504662128690939E-2</v>
      </c>
      <c r="AG22" s="279">
        <f>'Revenue matching'!AG42</f>
        <v>1.4403993664356005</v>
      </c>
      <c r="AH22" s="279">
        <f>'Revenue matching'!AH42</f>
        <v>-0.12649820828319655</v>
      </c>
      <c r="AI22" s="279">
        <f>'Revenue matching'!AI42</f>
        <v>-0.10054994344094254</v>
      </c>
      <c r="AJ22" s="279">
        <f>'Revenue matching'!AJ42</f>
        <v>-0.12649820828319655</v>
      </c>
      <c r="AK22" s="279">
        <f>'Revenue matching'!AK42</f>
        <v>-0.12649820828319655</v>
      </c>
      <c r="AL22" s="279">
        <f>'Revenue matching'!AL42</f>
        <v>-0.10054994344094254</v>
      </c>
      <c r="AM22" s="279">
        <f>'Revenue matching'!AM42</f>
        <v>-0.10054994344094254</v>
      </c>
      <c r="AN22" s="279">
        <f>'Revenue matching'!AN42</f>
        <v>-4.0817261082111422E-2</v>
      </c>
      <c r="AO22" s="279">
        <f>'Revenue matching'!AO42</f>
        <v>-4.0817261082111422E-2</v>
      </c>
      <c r="AP22" s="268"/>
      <c r="AQ22" s="268"/>
    </row>
    <row r="23" spans="3:43" x14ac:dyDescent="0.25">
      <c r="C23" s="105"/>
      <c r="F23" t="s">
        <v>159</v>
      </c>
      <c r="G23" t="s">
        <v>270</v>
      </c>
      <c r="H23" s="78"/>
      <c r="J23" s="167">
        <f>'Revenue matching'!J43</f>
        <v>11.690545596139902</v>
      </c>
      <c r="K23" s="167">
        <f>'Revenue matching'!K43</f>
        <v>0</v>
      </c>
      <c r="L23" s="167">
        <f>'Revenue matching'!L43</f>
        <v>17.408191541114306</v>
      </c>
      <c r="M23" s="167">
        <f>'Revenue matching'!M43</f>
        <v>17.408191541114306</v>
      </c>
      <c r="N23" s="167">
        <f>'Revenue matching'!N43</f>
        <v>17.408191541114306</v>
      </c>
      <c r="O23" s="167">
        <f>'Revenue matching'!O43</f>
        <v>17.408191541114306</v>
      </c>
      <c r="P23" s="167">
        <f>'Revenue matching'!P43</f>
        <v>17.408191541114306</v>
      </c>
      <c r="Q23" s="167">
        <f>'Revenue matching'!Q43</f>
        <v>0</v>
      </c>
      <c r="R23" s="167">
        <f>'Revenue matching'!R43</f>
        <v>17.311572695706502</v>
      </c>
      <c r="S23" s="167">
        <f>'Revenue matching'!S43</f>
        <v>17.311572695706502</v>
      </c>
      <c r="T23" s="167">
        <f>'Revenue matching'!T43</f>
        <v>17.311572695706502</v>
      </c>
      <c r="U23" s="167">
        <f>'Revenue matching'!U43</f>
        <v>17.311572695706502</v>
      </c>
      <c r="V23" s="167">
        <f>'Revenue matching'!V43</f>
        <v>17.311572695706502</v>
      </c>
      <c r="W23" s="167">
        <f>'Revenue matching'!W43</f>
        <v>13.513542855749364</v>
      </c>
      <c r="X23" s="167">
        <f>'Revenue matching'!X43</f>
        <v>13.513542855749364</v>
      </c>
      <c r="Y23" s="167">
        <f>'Revenue matching'!Y43</f>
        <v>13.513542855749364</v>
      </c>
      <c r="Z23" s="167">
        <f>'Revenue matching'!Z43</f>
        <v>13.513542855749364</v>
      </c>
      <c r="AA23" s="167">
        <f>'Revenue matching'!AA43</f>
        <v>13.513542855749364</v>
      </c>
      <c r="AB23" s="167">
        <f>'Revenue matching'!AB43</f>
        <v>124.75480667074974</v>
      </c>
      <c r="AC23" s="167">
        <f>'Revenue matching'!AC43</f>
        <v>124.75480667074974</v>
      </c>
      <c r="AD23" s="167">
        <f>'Revenue matching'!AD43</f>
        <v>124.75480667074974</v>
      </c>
      <c r="AE23" s="167">
        <f>'Revenue matching'!AE43</f>
        <v>124.75480667074974</v>
      </c>
      <c r="AF23" s="167">
        <f>'Revenue matching'!AF43</f>
        <v>124.75480667074974</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78.076882971343878</v>
      </c>
      <c r="AO23" s="167">
        <f>'Revenue matching'!AO43</f>
        <v>78.076882971343878</v>
      </c>
    </row>
    <row r="24" spans="3:43" x14ac:dyDescent="0.25">
      <c r="C24" s="105"/>
      <c r="F24" t="s">
        <v>160</v>
      </c>
      <c r="G24" t="s">
        <v>271</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12.178555674468734</v>
      </c>
      <c r="S24" s="167">
        <f>'Revenue matching'!S44</f>
        <v>12.178555674468734</v>
      </c>
      <c r="T24" s="167">
        <f>'Revenue matching'!T44</f>
        <v>12.178555674468734</v>
      </c>
      <c r="U24" s="167">
        <f>'Revenue matching'!U44</f>
        <v>12.178555674468734</v>
      </c>
      <c r="V24" s="167">
        <f>'Revenue matching'!V44</f>
        <v>12.178555674468734</v>
      </c>
      <c r="W24" s="167">
        <f>'Revenue matching'!W44</f>
        <v>10.473387803076831</v>
      </c>
      <c r="X24" s="167">
        <f>'Revenue matching'!X44</f>
        <v>10.473387803076831</v>
      </c>
      <c r="Y24" s="167">
        <f>'Revenue matching'!Y44</f>
        <v>10.473387803076831</v>
      </c>
      <c r="Z24" s="167">
        <f>'Revenue matching'!Z44</f>
        <v>10.473387803076831</v>
      </c>
      <c r="AA24" s="167">
        <f>'Revenue matching'!AA44</f>
        <v>10.473387803076831</v>
      </c>
      <c r="AB24" s="167">
        <f>'Revenue matching'!AB44</f>
        <v>10.058286050368954</v>
      </c>
      <c r="AC24" s="167">
        <f>'Revenue matching'!AC44</f>
        <v>10.058286050368954</v>
      </c>
      <c r="AD24" s="167">
        <f>'Revenue matching'!AD44</f>
        <v>10.058286050368954</v>
      </c>
      <c r="AE24" s="167">
        <f>'Revenue matching'!AE44</f>
        <v>10.058286050368954</v>
      </c>
      <c r="AF24" s="167">
        <f>'Revenue matching'!AF44</f>
        <v>10.058286050368954</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25">
      <c r="C25" s="105"/>
      <c r="F25" t="s">
        <v>161</v>
      </c>
      <c r="G25" t="s">
        <v>271</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12.178555674468734</v>
      </c>
      <c r="S25" s="167">
        <f>'Revenue matching'!S45</f>
        <v>12.178555674468734</v>
      </c>
      <c r="T25" s="167">
        <f>'Revenue matching'!T45</f>
        <v>12.178555674468734</v>
      </c>
      <c r="U25" s="167">
        <f>'Revenue matching'!U45</f>
        <v>12.178555674468734</v>
      </c>
      <c r="V25" s="167">
        <f>'Revenue matching'!V45</f>
        <v>12.178555674468734</v>
      </c>
      <c r="W25" s="167">
        <f>'Revenue matching'!W45</f>
        <v>10.473387803076831</v>
      </c>
      <c r="X25" s="167">
        <f>'Revenue matching'!X45</f>
        <v>10.473387803076831</v>
      </c>
      <c r="Y25" s="167">
        <f>'Revenue matching'!Y45</f>
        <v>10.473387803076831</v>
      </c>
      <c r="Z25" s="167">
        <f>'Revenue matching'!Z45</f>
        <v>10.473387803076831</v>
      </c>
      <c r="AA25" s="167">
        <f>'Revenue matching'!AA45</f>
        <v>10.473387803076831</v>
      </c>
      <c r="AB25" s="167">
        <f>'Revenue matching'!AB45</f>
        <v>10.058286050368954</v>
      </c>
      <c r="AC25" s="167">
        <f>'Revenue matching'!AC45</f>
        <v>10.058286050368954</v>
      </c>
      <c r="AD25" s="167">
        <f>'Revenue matching'!AD45</f>
        <v>10.058286050368954</v>
      </c>
      <c r="AE25" s="167">
        <f>'Revenue matching'!AE45</f>
        <v>10.058286050368954</v>
      </c>
      <c r="AF25" s="167">
        <f>'Revenue matching'!AF45</f>
        <v>10.058286050368954</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25">
      <c r="C26" s="105"/>
      <c r="F26" s="96" t="s">
        <v>162</v>
      </c>
      <c r="G26" s="96" t="s">
        <v>272</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0.2164864146325251</v>
      </c>
      <c r="S26" s="311">
        <f>'Revenue matching'!S46</f>
        <v>0.2164864146325251</v>
      </c>
      <c r="T26" s="311">
        <f>'Revenue matching'!T46</f>
        <v>0.2164864146325251</v>
      </c>
      <c r="U26" s="311">
        <f>'Revenue matching'!U46</f>
        <v>0.2164864146325251</v>
      </c>
      <c r="V26" s="311">
        <f>'Revenue matching'!V46</f>
        <v>0.2164864146325251</v>
      </c>
      <c r="W26" s="311">
        <f>'Revenue matching'!W46</f>
        <v>0.11781123493667237</v>
      </c>
      <c r="X26" s="311">
        <f>'Revenue matching'!X46</f>
        <v>0.11781123493667237</v>
      </c>
      <c r="Y26" s="311">
        <f>'Revenue matching'!Y46</f>
        <v>0.11781123493667237</v>
      </c>
      <c r="Z26" s="311">
        <f>'Revenue matching'!Z46</f>
        <v>0.11781123493667237</v>
      </c>
      <c r="AA26" s="311">
        <f>'Revenue matching'!AA46</f>
        <v>0.11781123493667237</v>
      </c>
      <c r="AB26" s="311">
        <f>'Revenue matching'!AB46</f>
        <v>8.1663719751251224E-2</v>
      </c>
      <c r="AC26" s="311">
        <f>'Revenue matching'!AC46</f>
        <v>8.1663719751251224E-2</v>
      </c>
      <c r="AD26" s="311">
        <f>'Revenue matching'!AD46</f>
        <v>8.1663719751251224E-2</v>
      </c>
      <c r="AE26" s="311">
        <f>'Revenue matching'!AE46</f>
        <v>8.1663719751251224E-2</v>
      </c>
      <c r="AF26" s="311">
        <f>'Revenue matching'!AF46</f>
        <v>8.1663719751251224E-2</v>
      </c>
      <c r="AG26" s="311">
        <f>'Revenue matching'!AG46</f>
        <v>0</v>
      </c>
      <c r="AH26" s="311">
        <f>'Revenue matching'!AH46</f>
        <v>0</v>
      </c>
      <c r="AI26" s="311">
        <f>'Revenue matching'!AI46</f>
        <v>0</v>
      </c>
      <c r="AJ26" s="311">
        <f>'Revenue matching'!AJ46</f>
        <v>0.26363615332089374</v>
      </c>
      <c r="AK26" s="311">
        <f>'Revenue matching'!AK46</f>
        <v>0</v>
      </c>
      <c r="AL26" s="311">
        <f>'Revenue matching'!AL46</f>
        <v>0.18939763111613869</v>
      </c>
      <c r="AM26" s="311">
        <f>'Revenue matching'!AM46</f>
        <v>0</v>
      </c>
      <c r="AN26" s="311">
        <f>'Revenue matching'!AN46</f>
        <v>0.15857605975235456</v>
      </c>
      <c r="AO26" s="311">
        <f>'Revenue matching'!AO46</f>
        <v>0</v>
      </c>
      <c r="AP26" s="268"/>
      <c r="AQ26" s="268"/>
    </row>
    <row r="27" spans="3:43" x14ac:dyDescent="0.2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25">
      <c r="C28" s="93" t="str">
        <f ca="1">INDEX('Version control'!$H$41:$H$64,MATCH($A$1,'Version control'!$F$41:$F$64,0),1)&amp;"-B: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2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25">
      <c r="E30" s="105" t="s">
        <v>1076</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25">
      <c r="E31" s="86" t="s">
        <v>1077</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25">
      <c r="E32" s="105"/>
      <c r="F32" s="95" t="s">
        <v>156</v>
      </c>
      <c r="G32" s="95" t="s">
        <v>269</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9.4190443493598813E-2</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25">
      <c r="E33" s="105"/>
      <c r="F33" t="s">
        <v>157</v>
      </c>
      <c r="G33" t="s">
        <v>269</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9.4190443493598813E-2</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25">
      <c r="E34" s="105"/>
      <c r="F34" t="s">
        <v>158</v>
      </c>
      <c r="G34" t="s">
        <v>269</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9.4190443493598813E-2</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25">
      <c r="E35" s="105"/>
      <c r="F35" t="s">
        <v>159</v>
      </c>
      <c r="G35" t="s">
        <v>270</v>
      </c>
      <c r="H35" s="78"/>
      <c r="J35" s="297">
        <f>'Revenue matching'!J415</f>
        <v>0.87956113202647057</v>
      </c>
      <c r="K35" s="297">
        <f>'Revenue matching'!K415</f>
        <v>0</v>
      </c>
      <c r="L35" s="297">
        <f>'Revenue matching'!L415</f>
        <v>0</v>
      </c>
      <c r="M35" s="297">
        <f>'Revenue matching'!M415</f>
        <v>0.61620139733999224</v>
      </c>
      <c r="N35" s="297">
        <f>'Revenue matching'!N415</f>
        <v>2.5088292230154248</v>
      </c>
      <c r="O35" s="297">
        <f>'Revenue matching'!O415</f>
        <v>5.0533222196485106</v>
      </c>
      <c r="P35" s="297">
        <f>'Revenue matching'!P415</f>
        <v>12.283094242644594</v>
      </c>
      <c r="Q35" s="297">
        <f>'Revenue matching'!Q415</f>
        <v>0</v>
      </c>
      <c r="R35" s="297">
        <f>'Revenue matching'!R415</f>
        <v>0</v>
      </c>
      <c r="S35" s="297">
        <f>'Revenue matching'!S415</f>
        <v>24.197962711143319</v>
      </c>
      <c r="T35" s="297">
        <f>'Revenue matching'!T415</f>
        <v>43.478886606429548</v>
      </c>
      <c r="U35" s="297">
        <f>'Revenue matching'!U415</f>
        <v>69.525130389456976</v>
      </c>
      <c r="V35" s="297">
        <f>'Revenue matching'!V415</f>
        <v>153.98338493000759</v>
      </c>
      <c r="W35" s="297">
        <f>'Revenue matching'!W415</f>
        <v>0</v>
      </c>
      <c r="X35" s="297">
        <f>'Revenue matching'!X415</f>
        <v>24.197962711143319</v>
      </c>
      <c r="Y35" s="297">
        <f>'Revenue matching'!Y415</f>
        <v>43.478886606429548</v>
      </c>
      <c r="Z35" s="297">
        <f>'Revenue matching'!Z415</f>
        <v>69.525130389456976</v>
      </c>
      <c r="AA35" s="297">
        <f>'Revenue matching'!AA415</f>
        <v>153.98338493000762</v>
      </c>
      <c r="AB35" s="297">
        <f>'Revenue matching'!AB415</f>
        <v>0</v>
      </c>
      <c r="AC35" s="297">
        <f>'Revenue matching'!AC415</f>
        <v>173.85492113860462</v>
      </c>
      <c r="AD35" s="297">
        <f>'Revenue matching'!AD415</f>
        <v>400.349572334806</v>
      </c>
      <c r="AE35" s="297">
        <f>'Revenue matching'!AE415</f>
        <v>891.36426431500422</v>
      </c>
      <c r="AF35" s="297">
        <f>'Revenue matching'!AF415</f>
        <v>1783.4065705529474</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25">
      <c r="E36" s="105"/>
      <c r="F36" t="s">
        <v>160</v>
      </c>
      <c r="G36" t="s">
        <v>271</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25">
      <c r="E37" s="105"/>
      <c r="F37" t="s">
        <v>161</v>
      </c>
      <c r="G37" t="s">
        <v>271</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25">
      <c r="E38" s="105"/>
      <c r="F38" s="96" t="s">
        <v>162</v>
      </c>
      <c r="G38" s="96" t="s">
        <v>272</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25">
      <c r="D39" s="105"/>
      <c r="E39"/>
    </row>
    <row r="40" spans="3:43" x14ac:dyDescent="0.25">
      <c r="C40" s="93" t="str">
        <f ca="1">INDEX('Version control'!$H$41:$H$64,MATCH($A$1,'Version control'!$F$41:$F$64,0),1)&amp;"-C: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25">
      <c r="E42" s="105" t="s">
        <v>829</v>
      </c>
    </row>
    <row r="43" spans="3:43" x14ac:dyDescent="0.25">
      <c r="E43" s="86" t="s">
        <v>841</v>
      </c>
    </row>
    <row r="44" spans="3:43" x14ac:dyDescent="0.25">
      <c r="E44" s="105"/>
      <c r="F44" s="95" t="s">
        <v>156</v>
      </c>
      <c r="G44" s="95" t="s">
        <v>269</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25">
      <c r="E45" s="105"/>
      <c r="F45" t="s">
        <v>157</v>
      </c>
      <c r="G45" t="s">
        <v>269</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25">
      <c r="E46" s="105"/>
      <c r="F46" t="s">
        <v>158</v>
      </c>
      <c r="G46" t="s">
        <v>269</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25">
      <c r="E47" s="105"/>
      <c r="F47" t="s">
        <v>159</v>
      </c>
      <c r="G47" t="s">
        <v>270</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25">
      <c r="E48" s="105"/>
      <c r="F48" t="s">
        <v>160</v>
      </c>
      <c r="G48" t="s">
        <v>271</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25">
      <c r="E49" s="105"/>
      <c r="F49" t="s">
        <v>161</v>
      </c>
      <c r="G49" t="s">
        <v>271</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25">
      <c r="E50" s="105"/>
      <c r="F50" s="96" t="s">
        <v>162</v>
      </c>
      <c r="G50" s="96" t="s">
        <v>272</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25">
      <c r="D51" s="105"/>
      <c r="E51"/>
    </row>
    <row r="52" spans="3:43" x14ac:dyDescent="0.25">
      <c r="C52" s="93" t="str">
        <f ca="1">INDEX('Version control'!$H$41:$H$64,MATCH($A$1,'Version control'!$F$41:$F$64,0),1)&amp;"-D: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25">
      <c r="E54" s="78"/>
      <c r="F54" s="347" t="s">
        <v>953</v>
      </c>
      <c r="G54" s="347" t="s">
        <v>149</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60" x14ac:dyDescent="0.25">
      <c r="E56" s="105" t="s">
        <v>705</v>
      </c>
      <c r="I56" t="s">
        <v>154</v>
      </c>
      <c r="J56" s="309" t="s">
        <v>1114</v>
      </c>
      <c r="K56" s="309" t="s">
        <v>785</v>
      </c>
      <c r="L56" s="309" t="s">
        <v>1115</v>
      </c>
      <c r="M56" s="309" t="s">
        <v>786</v>
      </c>
      <c r="N56" s="309" t="s">
        <v>792</v>
      </c>
      <c r="O56" s="309" t="s">
        <v>793</v>
      </c>
      <c r="P56" s="309" t="s">
        <v>794</v>
      </c>
      <c r="Q56" s="309" t="s">
        <v>795</v>
      </c>
      <c r="R56" s="309" t="s">
        <v>787</v>
      </c>
      <c r="S56" s="309" t="s">
        <v>788</v>
      </c>
      <c r="T56" s="309" t="s">
        <v>789</v>
      </c>
      <c r="U56" s="309" t="s">
        <v>798</v>
      </c>
      <c r="V56" s="309" t="s">
        <v>790</v>
      </c>
      <c r="W56" s="309" t="s">
        <v>797</v>
      </c>
      <c r="X56" s="309" t="s">
        <v>791</v>
      </c>
      <c r="Y56" s="309" t="s">
        <v>796</v>
      </c>
    </row>
    <row r="57" spans="3:43" x14ac:dyDescent="0.25">
      <c r="E57" s="105"/>
      <c r="F57" s="95" t="s">
        <v>156</v>
      </c>
      <c r="G57" s="95" t="s">
        <v>167</v>
      </c>
      <c r="H57" s="237"/>
      <c r="I57" s="95"/>
      <c r="J57" s="204">
        <f>'Volume adjustments'!J315</f>
        <v>0.38335161514577376</v>
      </c>
      <c r="K57" s="204">
        <f>'Volume adjustments'!K315</f>
        <v>0.38335161514577376</v>
      </c>
      <c r="L57" s="204">
        <f>'Volume adjustments'!L315</f>
        <v>0.38335161514577376</v>
      </c>
      <c r="M57" s="204">
        <f>'Volume adjustments'!M315</f>
        <v>0.38335161514577376</v>
      </c>
      <c r="N57" s="204">
        <f>'Volume adjustments'!N315</f>
        <v>0.38335161514577376</v>
      </c>
      <c r="O57" s="204">
        <f>'Volume adjustments'!O315</f>
        <v>0</v>
      </c>
      <c r="P57" s="204">
        <f>'Volume adjustments'!P315</f>
        <v>0</v>
      </c>
      <c r="Q57" s="204">
        <f>'Volume adjustments'!Q315</f>
        <v>0.38335161514577376</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25">
      <c r="E58" s="105"/>
      <c r="F58" t="s">
        <v>157</v>
      </c>
      <c r="G58" t="s">
        <v>167</v>
      </c>
      <c r="H58" s="78"/>
      <c r="J58" s="205">
        <f>'Volume adjustments'!J316</f>
        <v>0.38335161514577376</v>
      </c>
      <c r="K58" s="205">
        <f>'Volume adjustments'!K316</f>
        <v>0.38335161514577376</v>
      </c>
      <c r="L58" s="205">
        <f>'Volume adjustments'!L316</f>
        <v>0.38335161514577376</v>
      </c>
      <c r="M58" s="205">
        <f>'Volume adjustments'!M316</f>
        <v>0.38335161514577376</v>
      </c>
      <c r="N58" s="205">
        <f>'Volume adjustments'!N316</f>
        <v>0.38335161514577376</v>
      </c>
      <c r="O58" s="205">
        <f>'Volume adjustments'!O316</f>
        <v>0</v>
      </c>
      <c r="P58" s="205">
        <f>'Volume adjustments'!P316</f>
        <v>0</v>
      </c>
      <c r="Q58" s="205">
        <f>'Volume adjustments'!Q316</f>
        <v>0.38335161514577376</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25">
      <c r="E59" s="105"/>
      <c r="F59" t="s">
        <v>158</v>
      </c>
      <c r="G59" t="s">
        <v>167</v>
      </c>
      <c r="H59" s="78"/>
      <c r="J59" s="205">
        <f>'Volume adjustments'!J317</f>
        <v>0.38335161514577376</v>
      </c>
      <c r="K59" s="205">
        <f>'Volume adjustments'!K317</f>
        <v>0.38335161514577376</v>
      </c>
      <c r="L59" s="205">
        <f>'Volume adjustments'!L317</f>
        <v>0.38335161514577376</v>
      </c>
      <c r="M59" s="205">
        <f>'Volume adjustments'!M317</f>
        <v>0.38335161514577376</v>
      </c>
      <c r="N59" s="205">
        <f>'Volume adjustments'!N317</f>
        <v>0.38335161514577376</v>
      </c>
      <c r="O59" s="205">
        <f>'Volume adjustments'!O317</f>
        <v>0</v>
      </c>
      <c r="P59" s="205">
        <f>'Volume adjustments'!P317</f>
        <v>0</v>
      </c>
      <c r="Q59" s="205">
        <f>'Volume adjustments'!Q317</f>
        <v>0.38335161514577376</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25">
      <c r="E60" s="105"/>
      <c r="F60" t="s">
        <v>159</v>
      </c>
      <c r="G60" t="s">
        <v>167</v>
      </c>
      <c r="H60" s="78"/>
      <c r="J60" s="205">
        <f>'Volume adjustments'!J318</f>
        <v>0.38335161514577376</v>
      </c>
      <c r="K60" s="205">
        <f>'Volume adjustments'!K318</f>
        <v>0.38335161514577376</v>
      </c>
      <c r="L60" s="205">
        <f>'Volume adjustments'!L318</f>
        <v>0.38335161514577376</v>
      </c>
      <c r="M60" s="205">
        <f>'Volume adjustments'!M318</f>
        <v>0.38335161514577376</v>
      </c>
      <c r="N60" s="205">
        <f>'Volume adjustments'!N318</f>
        <v>0.38335161514577376</v>
      </c>
      <c r="O60" s="205">
        <f>'Volume adjustments'!O318</f>
        <v>0</v>
      </c>
      <c r="P60" s="205">
        <f>'Volume adjustments'!P318</f>
        <v>0</v>
      </c>
      <c r="Q60" s="205">
        <f>'Volume adjustments'!Q318</f>
        <v>0.38335161514577376</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25">
      <c r="E61" s="105"/>
      <c r="F61" t="s">
        <v>160</v>
      </c>
      <c r="G61" t="s">
        <v>167</v>
      </c>
      <c r="H61" s="78"/>
      <c r="J61" s="205">
        <f>'Volume adjustments'!J319</f>
        <v>0.38335161514577376</v>
      </c>
      <c r="K61" s="205">
        <f>'Volume adjustments'!K319</f>
        <v>0.38335161514577376</v>
      </c>
      <c r="L61" s="205">
        <f>'Volume adjustments'!L319</f>
        <v>0.38335161514577376</v>
      </c>
      <c r="M61" s="205">
        <f>'Volume adjustments'!M319</f>
        <v>0.38335161514577376</v>
      </c>
      <c r="N61" s="205">
        <f>'Volume adjustments'!N319</f>
        <v>0.38335161514577376</v>
      </c>
      <c r="O61" s="205">
        <f>'Volume adjustments'!O319</f>
        <v>0</v>
      </c>
      <c r="P61" s="205">
        <f>'Volume adjustments'!P319</f>
        <v>0</v>
      </c>
      <c r="Q61" s="205">
        <f>'Volume adjustments'!Q319</f>
        <v>0.38335161514577376</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25">
      <c r="E62" s="105"/>
      <c r="F62" t="s">
        <v>161</v>
      </c>
      <c r="G62" t="s">
        <v>167</v>
      </c>
      <c r="H62" s="78"/>
      <c r="J62" s="205">
        <f>'Volume adjustments'!J320</f>
        <v>0.38335161514577376</v>
      </c>
      <c r="K62" s="205">
        <f>'Volume adjustments'!K320</f>
        <v>0.38335161514577376</v>
      </c>
      <c r="L62" s="205">
        <f>'Volume adjustments'!L320</f>
        <v>0.38335161514577376</v>
      </c>
      <c r="M62" s="205">
        <f>'Volume adjustments'!M320</f>
        <v>0.38335161514577376</v>
      </c>
      <c r="N62" s="205">
        <f>'Volume adjustments'!N320</f>
        <v>0.38335161514577376</v>
      </c>
      <c r="O62" s="205">
        <f>'Volume adjustments'!O320</f>
        <v>0</v>
      </c>
      <c r="P62" s="205">
        <f>'Volume adjustments'!P320</f>
        <v>0</v>
      </c>
      <c r="Q62" s="205">
        <f>'Volume adjustments'!Q320</f>
        <v>0.38335161514577376</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25">
      <c r="E63" s="105"/>
      <c r="F63" s="96" t="s">
        <v>162</v>
      </c>
      <c r="G63" s="96" t="s">
        <v>167</v>
      </c>
      <c r="H63" s="298"/>
      <c r="I63" s="96"/>
      <c r="J63" s="206">
        <f>'Volume adjustments'!J321</f>
        <v>0.38335161514577376</v>
      </c>
      <c r="K63" s="206">
        <f>'Volume adjustments'!K321</f>
        <v>0.38335161514577376</v>
      </c>
      <c r="L63" s="206">
        <f>'Volume adjustments'!L321</f>
        <v>0.38335161514577376</v>
      </c>
      <c r="M63" s="206">
        <f>'Volume adjustments'!M321</f>
        <v>0.38335161514577376</v>
      </c>
      <c r="N63" s="206">
        <f>'Volume adjustments'!N321</f>
        <v>0.38335161514577376</v>
      </c>
      <c r="O63" s="206">
        <f>'Volume adjustments'!O321</f>
        <v>0</v>
      </c>
      <c r="P63" s="206">
        <f>'Volume adjustments'!P321</f>
        <v>0</v>
      </c>
      <c r="Q63" s="206">
        <f>'Volume adjustments'!Q321</f>
        <v>0.38335161514577376</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25">
      <c r="E64"/>
    </row>
    <row r="65" spans="4:43" ht="60" x14ac:dyDescent="0.25">
      <c r="E65" s="105" t="s">
        <v>706</v>
      </c>
      <c r="I65" t="s">
        <v>154</v>
      </c>
      <c r="J65" s="309" t="s">
        <v>1114</v>
      </c>
      <c r="K65" s="309" t="s">
        <v>785</v>
      </c>
      <c r="L65" s="309" t="s">
        <v>1115</v>
      </c>
      <c r="M65" s="309" t="s">
        <v>786</v>
      </c>
      <c r="N65" s="309" t="s">
        <v>792</v>
      </c>
      <c r="O65" s="309" t="s">
        <v>793</v>
      </c>
      <c r="P65" s="309" t="s">
        <v>794</v>
      </c>
      <c r="Q65" s="309" t="s">
        <v>795</v>
      </c>
      <c r="R65" s="309" t="s">
        <v>787</v>
      </c>
      <c r="S65" s="309" t="s">
        <v>788</v>
      </c>
      <c r="T65" s="309" t="s">
        <v>789</v>
      </c>
      <c r="U65" s="309" t="s">
        <v>798</v>
      </c>
      <c r="V65" s="309" t="s">
        <v>790</v>
      </c>
      <c r="W65" s="309" t="s">
        <v>797</v>
      </c>
      <c r="X65" s="309" t="s">
        <v>791</v>
      </c>
      <c r="Y65" s="309" t="s">
        <v>796</v>
      </c>
    </row>
    <row r="66" spans="4:43" x14ac:dyDescent="0.25">
      <c r="E66" s="105"/>
      <c r="F66" s="95" t="s">
        <v>156</v>
      </c>
      <c r="G66" s="95" t="s">
        <v>167</v>
      </c>
      <c r="H66" s="237"/>
      <c r="I66" s="95"/>
      <c r="J66" s="204">
        <f>'Volume adjustments'!J324</f>
        <v>0.58826186187526186</v>
      </c>
      <c r="K66" s="204">
        <f>'Volume adjustments'!K324</f>
        <v>0.58826186187526186</v>
      </c>
      <c r="L66" s="204">
        <f>'Volume adjustments'!L324</f>
        <v>0.58826186187526186</v>
      </c>
      <c r="M66" s="204">
        <f>'Volume adjustments'!M324</f>
        <v>0.58826186187526186</v>
      </c>
      <c r="N66" s="204">
        <f>'Volume adjustments'!N324</f>
        <v>0.58826186187526186</v>
      </c>
      <c r="O66" s="204">
        <f>'Volume adjustments'!O324</f>
        <v>0.31100226640485212</v>
      </c>
      <c r="P66" s="204">
        <f>'Volume adjustments'!P324</f>
        <v>0.17999797646529783</v>
      </c>
      <c r="Q66" s="204">
        <f>'Volume adjustments'!Q324</f>
        <v>0.58826186187526186</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25">
      <c r="E67" s="105"/>
      <c r="F67" t="s">
        <v>157</v>
      </c>
      <c r="G67" t="s">
        <v>167</v>
      </c>
      <c r="H67" s="78"/>
      <c r="J67" s="205">
        <f>'Volume adjustments'!J325</f>
        <v>0.58826186187526186</v>
      </c>
      <c r="K67" s="205">
        <f>'Volume adjustments'!K325</f>
        <v>0.58826186187526186</v>
      </c>
      <c r="L67" s="205">
        <f>'Volume adjustments'!L325</f>
        <v>0.58826186187526186</v>
      </c>
      <c r="M67" s="205">
        <f>'Volume adjustments'!M325</f>
        <v>0.58826186187526186</v>
      </c>
      <c r="N67" s="205">
        <f>'Volume adjustments'!N325</f>
        <v>0.58826186187526186</v>
      </c>
      <c r="O67" s="205">
        <f>'Volume adjustments'!O325</f>
        <v>0.31100226640485212</v>
      </c>
      <c r="P67" s="205">
        <f>'Volume adjustments'!P325</f>
        <v>0.17999797646529783</v>
      </c>
      <c r="Q67" s="205">
        <f>'Volume adjustments'!Q325</f>
        <v>0.58826186187526186</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25">
      <c r="E68" s="105"/>
      <c r="F68" t="s">
        <v>158</v>
      </c>
      <c r="G68" t="s">
        <v>167</v>
      </c>
      <c r="H68" s="78"/>
      <c r="J68" s="205">
        <f>'Volume adjustments'!J326</f>
        <v>0.58826186187526186</v>
      </c>
      <c r="K68" s="205">
        <f>'Volume adjustments'!K326</f>
        <v>0.58826186187526186</v>
      </c>
      <c r="L68" s="205">
        <f>'Volume adjustments'!L326</f>
        <v>0.58826186187526186</v>
      </c>
      <c r="M68" s="205">
        <f>'Volume adjustments'!M326</f>
        <v>0.58826186187526186</v>
      </c>
      <c r="N68" s="205">
        <f>'Volume adjustments'!N326</f>
        <v>0.58826186187526186</v>
      </c>
      <c r="O68" s="205">
        <f>'Volume adjustments'!O326</f>
        <v>0.31100226640485212</v>
      </c>
      <c r="P68" s="205">
        <f>'Volume adjustments'!P326</f>
        <v>0.17999797646529783</v>
      </c>
      <c r="Q68" s="205">
        <f>'Volume adjustments'!Q326</f>
        <v>0.58826186187526186</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25">
      <c r="E69" s="105"/>
      <c r="F69" t="s">
        <v>159</v>
      </c>
      <c r="G69" t="s">
        <v>167</v>
      </c>
      <c r="H69" s="78"/>
      <c r="J69" s="205">
        <f>'Volume adjustments'!J327</f>
        <v>0.58826186187526186</v>
      </c>
      <c r="K69" s="205">
        <f>'Volume adjustments'!K327</f>
        <v>0.58826186187526186</v>
      </c>
      <c r="L69" s="205">
        <f>'Volume adjustments'!L327</f>
        <v>0.58826186187526186</v>
      </c>
      <c r="M69" s="205">
        <f>'Volume adjustments'!M327</f>
        <v>0.58826186187526186</v>
      </c>
      <c r="N69" s="205">
        <f>'Volume adjustments'!N327</f>
        <v>0.58826186187526186</v>
      </c>
      <c r="O69" s="205">
        <f>'Volume adjustments'!O327</f>
        <v>0.31100226640485212</v>
      </c>
      <c r="P69" s="205">
        <f>'Volume adjustments'!P327</f>
        <v>0.17999797646529783</v>
      </c>
      <c r="Q69" s="205">
        <f>'Volume adjustments'!Q327</f>
        <v>0.58826186187526186</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25">
      <c r="E70" s="105"/>
      <c r="F70" t="s">
        <v>160</v>
      </c>
      <c r="G70" t="s">
        <v>167</v>
      </c>
      <c r="H70" s="78"/>
      <c r="J70" s="205">
        <f>'Volume adjustments'!J328</f>
        <v>0.58826186187526186</v>
      </c>
      <c r="K70" s="205">
        <f>'Volume adjustments'!K328</f>
        <v>0.58826186187526186</v>
      </c>
      <c r="L70" s="205">
        <f>'Volume adjustments'!L328</f>
        <v>0.58826186187526186</v>
      </c>
      <c r="M70" s="205">
        <f>'Volume adjustments'!M328</f>
        <v>0.58826186187526186</v>
      </c>
      <c r="N70" s="205">
        <f>'Volume adjustments'!N328</f>
        <v>0.58826186187526186</v>
      </c>
      <c r="O70" s="205">
        <f>'Volume adjustments'!O328</f>
        <v>0.31100226640485212</v>
      </c>
      <c r="P70" s="205">
        <f>'Volume adjustments'!P328</f>
        <v>0.17999797646529783</v>
      </c>
      <c r="Q70" s="205">
        <f>'Volume adjustments'!Q328</f>
        <v>0.58826186187526186</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25">
      <c r="E71" s="105"/>
      <c r="F71" t="s">
        <v>161</v>
      </c>
      <c r="G71" t="s">
        <v>167</v>
      </c>
      <c r="H71" s="78"/>
      <c r="J71" s="205">
        <f>'Volume adjustments'!J329</f>
        <v>0.58826186187526186</v>
      </c>
      <c r="K71" s="205">
        <f>'Volume adjustments'!K329</f>
        <v>0.58826186187526186</v>
      </c>
      <c r="L71" s="205">
        <f>'Volume adjustments'!L329</f>
        <v>0.58826186187526186</v>
      </c>
      <c r="M71" s="205">
        <f>'Volume adjustments'!M329</f>
        <v>0.58826186187526186</v>
      </c>
      <c r="N71" s="205">
        <f>'Volume adjustments'!N329</f>
        <v>0.58826186187526186</v>
      </c>
      <c r="O71" s="205">
        <f>'Volume adjustments'!O329</f>
        <v>0.31100226640485212</v>
      </c>
      <c r="P71" s="205">
        <f>'Volume adjustments'!P329</f>
        <v>0.17999797646529783</v>
      </c>
      <c r="Q71" s="205">
        <f>'Volume adjustments'!Q329</f>
        <v>0.58826186187526186</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25">
      <c r="E72" s="105"/>
      <c r="F72" s="96" t="s">
        <v>162</v>
      </c>
      <c r="G72" s="96" t="s">
        <v>167</v>
      </c>
      <c r="H72" s="298"/>
      <c r="I72" s="96"/>
      <c r="J72" s="206">
        <f>'Volume adjustments'!J330</f>
        <v>0.58826186187526186</v>
      </c>
      <c r="K72" s="206">
        <f>'Volume adjustments'!K330</f>
        <v>0.58826186187526186</v>
      </c>
      <c r="L72" s="206">
        <f>'Volume adjustments'!L330</f>
        <v>0.58826186187526186</v>
      </c>
      <c r="M72" s="206">
        <f>'Volume adjustments'!M330</f>
        <v>0.58826186187526186</v>
      </c>
      <c r="N72" s="206">
        <f>'Volume adjustments'!N330</f>
        <v>0.58826186187526186</v>
      </c>
      <c r="O72" s="206">
        <f>'Volume adjustments'!O330</f>
        <v>0.31100226640485212</v>
      </c>
      <c r="P72" s="206">
        <f>'Volume adjustments'!P330</f>
        <v>0.17999797646529783</v>
      </c>
      <c r="Q72" s="206">
        <f>'Volume adjustments'!Q330</f>
        <v>0.58826186187526186</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25">
      <c r="E73"/>
    </row>
    <row r="74" spans="4:43" x14ac:dyDescent="0.25">
      <c r="D74"/>
      <c r="E74" s="105" t="s">
        <v>705</v>
      </c>
      <c r="I74" t="s">
        <v>154</v>
      </c>
      <c r="AQ74" t="s">
        <v>385</v>
      </c>
    </row>
    <row r="75" spans="4:43" x14ac:dyDescent="0.25">
      <c r="D75"/>
      <c r="E75" s="105"/>
      <c r="F75" s="95" t="s">
        <v>156</v>
      </c>
      <c r="G75" s="95" t="s">
        <v>167</v>
      </c>
      <c r="H75" s="237"/>
      <c r="I75" s="95"/>
      <c r="J75" s="199">
        <f>INDEX($J57:$Y57,J$54)</f>
        <v>0.38335161514577376</v>
      </c>
      <c r="K75" s="199">
        <f t="shared" ref="K75:AO75" si="0">INDEX($J57:$Y57,K$54)</f>
        <v>0.38335161514577376</v>
      </c>
      <c r="L75" s="199">
        <f t="shared" si="0"/>
        <v>0.38335161514577376</v>
      </c>
      <c r="M75" s="199">
        <f t="shared" si="0"/>
        <v>0.38335161514577376</v>
      </c>
      <c r="N75" s="199">
        <f t="shared" si="0"/>
        <v>0.38335161514577376</v>
      </c>
      <c r="O75" s="199">
        <f t="shared" si="0"/>
        <v>0.38335161514577376</v>
      </c>
      <c r="P75" s="199">
        <f t="shared" si="0"/>
        <v>0.38335161514577376</v>
      </c>
      <c r="Q75" s="199">
        <f t="shared" si="0"/>
        <v>0.38335161514577376</v>
      </c>
      <c r="R75" s="199">
        <f t="shared" si="0"/>
        <v>0.38335161514577376</v>
      </c>
      <c r="S75" s="199">
        <f t="shared" si="0"/>
        <v>0.38335161514577376</v>
      </c>
      <c r="T75" s="199">
        <f t="shared" si="0"/>
        <v>0.38335161514577376</v>
      </c>
      <c r="U75" s="199">
        <f t="shared" si="0"/>
        <v>0.38335161514577376</v>
      </c>
      <c r="V75" s="199">
        <f t="shared" si="0"/>
        <v>0.38335161514577376</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0.38335161514577376</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25">
      <c r="D76"/>
      <c r="E76" s="105"/>
      <c r="F76" t="s">
        <v>157</v>
      </c>
      <c r="G76" t="s">
        <v>167</v>
      </c>
      <c r="H76" s="78"/>
      <c r="J76" s="191">
        <f t="shared" ref="J76:AO76" si="1">INDEX($J58:$Y58,J$54)</f>
        <v>0.38335161514577376</v>
      </c>
      <c r="K76" s="191">
        <f t="shared" si="1"/>
        <v>0.38335161514577376</v>
      </c>
      <c r="L76" s="191">
        <f t="shared" si="1"/>
        <v>0.38335161514577376</v>
      </c>
      <c r="M76" s="191">
        <f t="shared" si="1"/>
        <v>0.38335161514577376</v>
      </c>
      <c r="N76" s="191">
        <f t="shared" si="1"/>
        <v>0.38335161514577376</v>
      </c>
      <c r="O76" s="191">
        <f t="shared" si="1"/>
        <v>0.38335161514577376</v>
      </c>
      <c r="P76" s="191">
        <f t="shared" si="1"/>
        <v>0.38335161514577376</v>
      </c>
      <c r="Q76" s="191">
        <f t="shared" si="1"/>
        <v>0.38335161514577376</v>
      </c>
      <c r="R76" s="191">
        <f t="shared" si="1"/>
        <v>0.38335161514577376</v>
      </c>
      <c r="S76" s="191">
        <f t="shared" si="1"/>
        <v>0.38335161514577376</v>
      </c>
      <c r="T76" s="191">
        <f t="shared" si="1"/>
        <v>0.38335161514577376</v>
      </c>
      <c r="U76" s="191">
        <f t="shared" si="1"/>
        <v>0.38335161514577376</v>
      </c>
      <c r="V76" s="191">
        <f t="shared" si="1"/>
        <v>0.38335161514577376</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0.38335161514577376</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25">
      <c r="D77"/>
      <c r="E77" s="105"/>
      <c r="F77" t="s">
        <v>158</v>
      </c>
      <c r="G77" t="s">
        <v>167</v>
      </c>
      <c r="H77" s="78"/>
      <c r="J77" s="191">
        <f t="shared" ref="J77:AO77" si="2">INDEX($J59:$Y59,J$54)</f>
        <v>0.38335161514577376</v>
      </c>
      <c r="K77" s="191">
        <f t="shared" si="2"/>
        <v>0.38335161514577376</v>
      </c>
      <c r="L77" s="191">
        <f t="shared" si="2"/>
        <v>0.38335161514577376</v>
      </c>
      <c r="M77" s="191">
        <f t="shared" si="2"/>
        <v>0.38335161514577376</v>
      </c>
      <c r="N77" s="191">
        <f t="shared" si="2"/>
        <v>0.38335161514577376</v>
      </c>
      <c r="O77" s="191">
        <f t="shared" si="2"/>
        <v>0.38335161514577376</v>
      </c>
      <c r="P77" s="191">
        <f t="shared" si="2"/>
        <v>0.38335161514577376</v>
      </c>
      <c r="Q77" s="191">
        <f t="shared" si="2"/>
        <v>0.38335161514577376</v>
      </c>
      <c r="R77" s="191">
        <f t="shared" si="2"/>
        <v>0.38335161514577376</v>
      </c>
      <c r="S77" s="191">
        <f t="shared" si="2"/>
        <v>0.38335161514577376</v>
      </c>
      <c r="T77" s="191">
        <f t="shared" si="2"/>
        <v>0.38335161514577376</v>
      </c>
      <c r="U77" s="191">
        <f t="shared" si="2"/>
        <v>0.38335161514577376</v>
      </c>
      <c r="V77" s="191">
        <f t="shared" si="2"/>
        <v>0.38335161514577376</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0.38335161514577376</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25">
      <c r="D78"/>
      <c r="E78" s="105"/>
      <c r="F78" t="s">
        <v>159</v>
      </c>
      <c r="G78" t="s">
        <v>167</v>
      </c>
      <c r="H78" s="78"/>
      <c r="J78" s="191">
        <f t="shared" ref="J78:AO78" si="3">INDEX($J60:$Y60,J$54)</f>
        <v>0.38335161514577376</v>
      </c>
      <c r="K78" s="191">
        <f t="shared" si="3"/>
        <v>0.38335161514577376</v>
      </c>
      <c r="L78" s="191">
        <f t="shared" si="3"/>
        <v>0.38335161514577376</v>
      </c>
      <c r="M78" s="191">
        <f t="shared" si="3"/>
        <v>0.38335161514577376</v>
      </c>
      <c r="N78" s="191">
        <f t="shared" si="3"/>
        <v>0.38335161514577376</v>
      </c>
      <c r="O78" s="191">
        <f t="shared" si="3"/>
        <v>0.38335161514577376</v>
      </c>
      <c r="P78" s="191">
        <f t="shared" si="3"/>
        <v>0.38335161514577376</v>
      </c>
      <c r="Q78" s="191">
        <f t="shared" si="3"/>
        <v>0.38335161514577376</v>
      </c>
      <c r="R78" s="191">
        <f t="shared" si="3"/>
        <v>0.38335161514577376</v>
      </c>
      <c r="S78" s="191">
        <f t="shared" si="3"/>
        <v>0.38335161514577376</v>
      </c>
      <c r="T78" s="191">
        <f t="shared" si="3"/>
        <v>0.38335161514577376</v>
      </c>
      <c r="U78" s="191">
        <f t="shared" si="3"/>
        <v>0.38335161514577376</v>
      </c>
      <c r="V78" s="191">
        <f t="shared" si="3"/>
        <v>0.38335161514577376</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0.38335161514577376</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25">
      <c r="D79"/>
      <c r="E79" s="105"/>
      <c r="F79" t="s">
        <v>160</v>
      </c>
      <c r="G79" t="s">
        <v>167</v>
      </c>
      <c r="H79" s="78"/>
      <c r="J79" s="191">
        <f t="shared" ref="J79:AO79" si="4">INDEX($J61:$Y61,J$54)</f>
        <v>0.38335161514577376</v>
      </c>
      <c r="K79" s="191">
        <f t="shared" si="4"/>
        <v>0.38335161514577376</v>
      </c>
      <c r="L79" s="191">
        <f t="shared" si="4"/>
        <v>0.38335161514577376</v>
      </c>
      <c r="M79" s="191">
        <f t="shared" si="4"/>
        <v>0.38335161514577376</v>
      </c>
      <c r="N79" s="191">
        <f t="shared" si="4"/>
        <v>0.38335161514577376</v>
      </c>
      <c r="O79" s="191">
        <f t="shared" si="4"/>
        <v>0.38335161514577376</v>
      </c>
      <c r="P79" s="191">
        <f t="shared" si="4"/>
        <v>0.38335161514577376</v>
      </c>
      <c r="Q79" s="191">
        <f t="shared" si="4"/>
        <v>0.38335161514577376</v>
      </c>
      <c r="R79" s="191">
        <f t="shared" si="4"/>
        <v>0.38335161514577376</v>
      </c>
      <c r="S79" s="191">
        <f t="shared" si="4"/>
        <v>0.38335161514577376</v>
      </c>
      <c r="T79" s="191">
        <f t="shared" si="4"/>
        <v>0.38335161514577376</v>
      </c>
      <c r="U79" s="191">
        <f t="shared" si="4"/>
        <v>0.38335161514577376</v>
      </c>
      <c r="V79" s="191">
        <f t="shared" si="4"/>
        <v>0.38335161514577376</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0.38335161514577376</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25">
      <c r="D80"/>
      <c r="E80" s="105"/>
      <c r="F80" t="s">
        <v>161</v>
      </c>
      <c r="G80" t="s">
        <v>167</v>
      </c>
      <c r="H80" s="78"/>
      <c r="J80" s="191">
        <f t="shared" ref="J80:AO80" si="5">INDEX($J62:$Y62,J$54)</f>
        <v>0.38335161514577376</v>
      </c>
      <c r="K80" s="191">
        <f t="shared" si="5"/>
        <v>0.38335161514577376</v>
      </c>
      <c r="L80" s="191">
        <f t="shared" si="5"/>
        <v>0.38335161514577376</v>
      </c>
      <c r="M80" s="191">
        <f t="shared" si="5"/>
        <v>0.38335161514577376</v>
      </c>
      <c r="N80" s="191">
        <f t="shared" si="5"/>
        <v>0.38335161514577376</v>
      </c>
      <c r="O80" s="191">
        <f t="shared" si="5"/>
        <v>0.38335161514577376</v>
      </c>
      <c r="P80" s="191">
        <f t="shared" si="5"/>
        <v>0.38335161514577376</v>
      </c>
      <c r="Q80" s="191">
        <f t="shared" si="5"/>
        <v>0.38335161514577376</v>
      </c>
      <c r="R80" s="191">
        <f t="shared" si="5"/>
        <v>0.38335161514577376</v>
      </c>
      <c r="S80" s="191">
        <f t="shared" si="5"/>
        <v>0.38335161514577376</v>
      </c>
      <c r="T80" s="191">
        <f t="shared" si="5"/>
        <v>0.38335161514577376</v>
      </c>
      <c r="U80" s="191">
        <f t="shared" si="5"/>
        <v>0.38335161514577376</v>
      </c>
      <c r="V80" s="191">
        <f t="shared" si="5"/>
        <v>0.38335161514577376</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0.38335161514577376</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25">
      <c r="D81"/>
      <c r="E81" s="105"/>
      <c r="F81" s="96" t="s">
        <v>162</v>
      </c>
      <c r="G81" s="96" t="s">
        <v>167</v>
      </c>
      <c r="H81" s="298"/>
      <c r="I81" s="96"/>
      <c r="J81" s="200">
        <f t="shared" ref="J81:AO81" si="6">INDEX($J63:$Y63,J$54)</f>
        <v>0.38335161514577376</v>
      </c>
      <c r="K81" s="200">
        <f t="shared" si="6"/>
        <v>0.38335161514577376</v>
      </c>
      <c r="L81" s="200">
        <f t="shared" si="6"/>
        <v>0.38335161514577376</v>
      </c>
      <c r="M81" s="200">
        <f t="shared" si="6"/>
        <v>0.38335161514577376</v>
      </c>
      <c r="N81" s="200">
        <f t="shared" si="6"/>
        <v>0.38335161514577376</v>
      </c>
      <c r="O81" s="200">
        <f t="shared" si="6"/>
        <v>0.38335161514577376</v>
      </c>
      <c r="P81" s="200">
        <f t="shared" si="6"/>
        <v>0.38335161514577376</v>
      </c>
      <c r="Q81" s="200">
        <f t="shared" si="6"/>
        <v>0.38335161514577376</v>
      </c>
      <c r="R81" s="200">
        <f t="shared" si="6"/>
        <v>0.38335161514577376</v>
      </c>
      <c r="S81" s="200">
        <f t="shared" si="6"/>
        <v>0.38335161514577376</v>
      </c>
      <c r="T81" s="200">
        <f t="shared" si="6"/>
        <v>0.38335161514577376</v>
      </c>
      <c r="U81" s="200">
        <f t="shared" si="6"/>
        <v>0.38335161514577376</v>
      </c>
      <c r="V81" s="200">
        <f t="shared" si="6"/>
        <v>0.38335161514577376</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0.38335161514577376</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25">
      <c r="D82" s="105"/>
      <c r="E82"/>
    </row>
    <row r="83" spans="3:43" x14ac:dyDescent="0.25">
      <c r="D83"/>
      <c r="E83" s="105" t="s">
        <v>706</v>
      </c>
      <c r="I83" t="s">
        <v>154</v>
      </c>
      <c r="AQ83" t="s">
        <v>385</v>
      </c>
    </row>
    <row r="84" spans="3:43" x14ac:dyDescent="0.25">
      <c r="D84"/>
      <c r="E84" s="105"/>
      <c r="F84" s="95" t="s">
        <v>156</v>
      </c>
      <c r="G84" s="95" t="s">
        <v>167</v>
      </c>
      <c r="H84" s="237"/>
      <c r="I84" s="95"/>
      <c r="J84" s="199">
        <f>INDEX($J66:$Y66,J$54)</f>
        <v>0.58826186187526186</v>
      </c>
      <c r="K84" s="199">
        <f t="shared" ref="K84:AO84" si="7">INDEX($J66:$Y66,K$54)</f>
        <v>0.58826186187526186</v>
      </c>
      <c r="L84" s="199">
        <f t="shared" si="7"/>
        <v>0.58826186187526186</v>
      </c>
      <c r="M84" s="199">
        <f t="shared" si="7"/>
        <v>0.58826186187526186</v>
      </c>
      <c r="N84" s="199">
        <f t="shared" si="7"/>
        <v>0.58826186187526186</v>
      </c>
      <c r="O84" s="199">
        <f t="shared" si="7"/>
        <v>0.58826186187526186</v>
      </c>
      <c r="P84" s="199">
        <f t="shared" si="7"/>
        <v>0.58826186187526186</v>
      </c>
      <c r="Q84" s="199">
        <f t="shared" si="7"/>
        <v>0.58826186187526186</v>
      </c>
      <c r="R84" s="199">
        <f t="shared" si="7"/>
        <v>0.58826186187526186</v>
      </c>
      <c r="S84" s="199">
        <f t="shared" si="7"/>
        <v>0.58826186187526186</v>
      </c>
      <c r="T84" s="199">
        <f t="shared" si="7"/>
        <v>0.58826186187526186</v>
      </c>
      <c r="U84" s="199">
        <f t="shared" si="7"/>
        <v>0.58826186187526186</v>
      </c>
      <c r="V84" s="199">
        <f t="shared" si="7"/>
        <v>0.58826186187526186</v>
      </c>
      <c r="W84" s="199">
        <f t="shared" si="7"/>
        <v>0.31100226640485212</v>
      </c>
      <c r="X84" s="199">
        <f t="shared" si="7"/>
        <v>0.31100226640485212</v>
      </c>
      <c r="Y84" s="199">
        <f t="shared" si="7"/>
        <v>0.31100226640485212</v>
      </c>
      <c r="Z84" s="199">
        <f t="shared" si="7"/>
        <v>0.31100226640485212</v>
      </c>
      <c r="AA84" s="199">
        <f t="shared" si="7"/>
        <v>0.31100226640485212</v>
      </c>
      <c r="AB84" s="199">
        <f t="shared" si="7"/>
        <v>0.17999797646529783</v>
      </c>
      <c r="AC84" s="199">
        <f t="shared" si="7"/>
        <v>0.17999797646529783</v>
      </c>
      <c r="AD84" s="199">
        <f t="shared" si="7"/>
        <v>0.17999797646529783</v>
      </c>
      <c r="AE84" s="199">
        <f t="shared" si="7"/>
        <v>0.17999797646529783</v>
      </c>
      <c r="AF84" s="199">
        <f t="shared" si="7"/>
        <v>0.17999797646529783</v>
      </c>
      <c r="AG84" s="199">
        <f t="shared" si="7"/>
        <v>0.58826186187526186</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25">
      <c r="D85"/>
      <c r="E85" s="105"/>
      <c r="F85" t="s">
        <v>157</v>
      </c>
      <c r="G85" t="s">
        <v>167</v>
      </c>
      <c r="H85" s="78"/>
      <c r="J85" s="191">
        <f t="shared" ref="J85:AO85" si="8">INDEX($J67:$Y67,J$54)</f>
        <v>0.58826186187526186</v>
      </c>
      <c r="K85" s="191">
        <f t="shared" si="8"/>
        <v>0.58826186187526186</v>
      </c>
      <c r="L85" s="191">
        <f t="shared" si="8"/>
        <v>0.58826186187526186</v>
      </c>
      <c r="M85" s="191">
        <f t="shared" si="8"/>
        <v>0.58826186187526186</v>
      </c>
      <c r="N85" s="191">
        <f t="shared" si="8"/>
        <v>0.58826186187526186</v>
      </c>
      <c r="O85" s="191">
        <f t="shared" si="8"/>
        <v>0.58826186187526186</v>
      </c>
      <c r="P85" s="191">
        <f t="shared" si="8"/>
        <v>0.58826186187526186</v>
      </c>
      <c r="Q85" s="191">
        <f t="shared" si="8"/>
        <v>0.58826186187526186</v>
      </c>
      <c r="R85" s="191">
        <f t="shared" si="8"/>
        <v>0.58826186187526186</v>
      </c>
      <c r="S85" s="191">
        <f t="shared" si="8"/>
        <v>0.58826186187526186</v>
      </c>
      <c r="T85" s="191">
        <f t="shared" si="8"/>
        <v>0.58826186187526186</v>
      </c>
      <c r="U85" s="191">
        <f t="shared" si="8"/>
        <v>0.58826186187526186</v>
      </c>
      <c r="V85" s="191">
        <f t="shared" si="8"/>
        <v>0.58826186187526186</v>
      </c>
      <c r="W85" s="191">
        <f t="shared" si="8"/>
        <v>0.31100226640485212</v>
      </c>
      <c r="X85" s="191">
        <f t="shared" si="8"/>
        <v>0.31100226640485212</v>
      </c>
      <c r="Y85" s="191">
        <f t="shared" si="8"/>
        <v>0.31100226640485212</v>
      </c>
      <c r="Z85" s="191">
        <f t="shared" si="8"/>
        <v>0.31100226640485212</v>
      </c>
      <c r="AA85" s="191">
        <f t="shared" si="8"/>
        <v>0.31100226640485212</v>
      </c>
      <c r="AB85" s="191">
        <f t="shared" si="8"/>
        <v>0.17999797646529783</v>
      </c>
      <c r="AC85" s="191">
        <f t="shared" si="8"/>
        <v>0.17999797646529783</v>
      </c>
      <c r="AD85" s="191">
        <f t="shared" si="8"/>
        <v>0.17999797646529783</v>
      </c>
      <c r="AE85" s="191">
        <f t="shared" si="8"/>
        <v>0.17999797646529783</v>
      </c>
      <c r="AF85" s="191">
        <f t="shared" si="8"/>
        <v>0.17999797646529783</v>
      </c>
      <c r="AG85" s="191">
        <f t="shared" si="8"/>
        <v>0.58826186187526186</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25">
      <c r="D86"/>
      <c r="E86" s="105"/>
      <c r="F86" t="s">
        <v>158</v>
      </c>
      <c r="G86" t="s">
        <v>167</v>
      </c>
      <c r="H86" s="78"/>
      <c r="J86" s="191">
        <f t="shared" ref="J86:AO86" si="9">INDEX($J68:$Y68,J$54)</f>
        <v>0.58826186187526186</v>
      </c>
      <c r="K86" s="191">
        <f t="shared" si="9"/>
        <v>0.58826186187526186</v>
      </c>
      <c r="L86" s="191">
        <f t="shared" si="9"/>
        <v>0.58826186187526186</v>
      </c>
      <c r="M86" s="191">
        <f t="shared" si="9"/>
        <v>0.58826186187526186</v>
      </c>
      <c r="N86" s="191">
        <f t="shared" si="9"/>
        <v>0.58826186187526186</v>
      </c>
      <c r="O86" s="191">
        <f t="shared" si="9"/>
        <v>0.58826186187526186</v>
      </c>
      <c r="P86" s="191">
        <f t="shared" si="9"/>
        <v>0.58826186187526186</v>
      </c>
      <c r="Q86" s="191">
        <f t="shared" si="9"/>
        <v>0.58826186187526186</v>
      </c>
      <c r="R86" s="191">
        <f t="shared" si="9"/>
        <v>0.58826186187526186</v>
      </c>
      <c r="S86" s="191">
        <f t="shared" si="9"/>
        <v>0.58826186187526186</v>
      </c>
      <c r="T86" s="191">
        <f t="shared" si="9"/>
        <v>0.58826186187526186</v>
      </c>
      <c r="U86" s="191">
        <f t="shared" si="9"/>
        <v>0.58826186187526186</v>
      </c>
      <c r="V86" s="191">
        <f t="shared" si="9"/>
        <v>0.58826186187526186</v>
      </c>
      <c r="W86" s="191">
        <f t="shared" si="9"/>
        <v>0.31100226640485212</v>
      </c>
      <c r="X86" s="191">
        <f t="shared" si="9"/>
        <v>0.31100226640485212</v>
      </c>
      <c r="Y86" s="191">
        <f t="shared" si="9"/>
        <v>0.31100226640485212</v>
      </c>
      <c r="Z86" s="191">
        <f t="shared" si="9"/>
        <v>0.31100226640485212</v>
      </c>
      <c r="AA86" s="191">
        <f t="shared" si="9"/>
        <v>0.31100226640485212</v>
      </c>
      <c r="AB86" s="191">
        <f t="shared" si="9"/>
        <v>0.17999797646529783</v>
      </c>
      <c r="AC86" s="191">
        <f t="shared" si="9"/>
        <v>0.17999797646529783</v>
      </c>
      <c r="AD86" s="191">
        <f t="shared" si="9"/>
        <v>0.17999797646529783</v>
      </c>
      <c r="AE86" s="191">
        <f t="shared" si="9"/>
        <v>0.17999797646529783</v>
      </c>
      <c r="AF86" s="191">
        <f t="shared" si="9"/>
        <v>0.17999797646529783</v>
      </c>
      <c r="AG86" s="191">
        <f t="shared" si="9"/>
        <v>0.58826186187526186</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25">
      <c r="D87"/>
      <c r="E87" s="105"/>
      <c r="F87" t="s">
        <v>159</v>
      </c>
      <c r="G87" t="s">
        <v>167</v>
      </c>
      <c r="H87" s="78"/>
      <c r="J87" s="191">
        <f t="shared" ref="J87:AO87" si="10">INDEX($J69:$Y69,J$54)</f>
        <v>0.58826186187526186</v>
      </c>
      <c r="K87" s="191">
        <f t="shared" si="10"/>
        <v>0.58826186187526186</v>
      </c>
      <c r="L87" s="191">
        <f t="shared" si="10"/>
        <v>0.58826186187526186</v>
      </c>
      <c r="M87" s="191">
        <f t="shared" si="10"/>
        <v>0.58826186187526186</v>
      </c>
      <c r="N87" s="191">
        <f t="shared" si="10"/>
        <v>0.58826186187526186</v>
      </c>
      <c r="O87" s="191">
        <f t="shared" si="10"/>
        <v>0.58826186187526186</v>
      </c>
      <c r="P87" s="191">
        <f t="shared" si="10"/>
        <v>0.58826186187526186</v>
      </c>
      <c r="Q87" s="191">
        <f t="shared" si="10"/>
        <v>0.58826186187526186</v>
      </c>
      <c r="R87" s="191">
        <f t="shared" si="10"/>
        <v>0.58826186187526186</v>
      </c>
      <c r="S87" s="191">
        <f t="shared" si="10"/>
        <v>0.58826186187526186</v>
      </c>
      <c r="T87" s="191">
        <f t="shared" si="10"/>
        <v>0.58826186187526186</v>
      </c>
      <c r="U87" s="191">
        <f t="shared" si="10"/>
        <v>0.58826186187526186</v>
      </c>
      <c r="V87" s="191">
        <f t="shared" si="10"/>
        <v>0.58826186187526186</v>
      </c>
      <c r="W87" s="191">
        <f t="shared" si="10"/>
        <v>0.31100226640485212</v>
      </c>
      <c r="X87" s="191">
        <f t="shared" si="10"/>
        <v>0.31100226640485212</v>
      </c>
      <c r="Y87" s="191">
        <f t="shared" si="10"/>
        <v>0.31100226640485212</v>
      </c>
      <c r="Z87" s="191">
        <f t="shared" si="10"/>
        <v>0.31100226640485212</v>
      </c>
      <c r="AA87" s="191">
        <f t="shared" si="10"/>
        <v>0.31100226640485212</v>
      </c>
      <c r="AB87" s="191">
        <f t="shared" si="10"/>
        <v>0.17999797646529783</v>
      </c>
      <c r="AC87" s="191">
        <f t="shared" si="10"/>
        <v>0.17999797646529783</v>
      </c>
      <c r="AD87" s="191">
        <f t="shared" si="10"/>
        <v>0.17999797646529783</v>
      </c>
      <c r="AE87" s="191">
        <f t="shared" si="10"/>
        <v>0.17999797646529783</v>
      </c>
      <c r="AF87" s="191">
        <f t="shared" si="10"/>
        <v>0.17999797646529783</v>
      </c>
      <c r="AG87" s="191">
        <f t="shared" si="10"/>
        <v>0.58826186187526186</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25">
      <c r="D88"/>
      <c r="E88" s="105"/>
      <c r="F88" t="s">
        <v>160</v>
      </c>
      <c r="G88" t="s">
        <v>167</v>
      </c>
      <c r="H88" s="78"/>
      <c r="J88" s="191">
        <f t="shared" ref="J88:AO88" si="11">INDEX($J70:$Y70,J$54)</f>
        <v>0.58826186187526186</v>
      </c>
      <c r="K88" s="191">
        <f t="shared" si="11"/>
        <v>0.58826186187526186</v>
      </c>
      <c r="L88" s="191">
        <f t="shared" si="11"/>
        <v>0.58826186187526186</v>
      </c>
      <c r="M88" s="191">
        <f t="shared" si="11"/>
        <v>0.58826186187526186</v>
      </c>
      <c r="N88" s="191">
        <f t="shared" si="11"/>
        <v>0.58826186187526186</v>
      </c>
      <c r="O88" s="191">
        <f t="shared" si="11"/>
        <v>0.58826186187526186</v>
      </c>
      <c r="P88" s="191">
        <f t="shared" si="11"/>
        <v>0.58826186187526186</v>
      </c>
      <c r="Q88" s="191">
        <f t="shared" si="11"/>
        <v>0.58826186187526186</v>
      </c>
      <c r="R88" s="191">
        <f t="shared" si="11"/>
        <v>0.58826186187526186</v>
      </c>
      <c r="S88" s="191">
        <f t="shared" si="11"/>
        <v>0.58826186187526186</v>
      </c>
      <c r="T88" s="191">
        <f t="shared" si="11"/>
        <v>0.58826186187526186</v>
      </c>
      <c r="U88" s="191">
        <f t="shared" si="11"/>
        <v>0.58826186187526186</v>
      </c>
      <c r="V88" s="191">
        <f t="shared" si="11"/>
        <v>0.58826186187526186</v>
      </c>
      <c r="W88" s="191">
        <f t="shared" si="11"/>
        <v>0.31100226640485212</v>
      </c>
      <c r="X88" s="191">
        <f t="shared" si="11"/>
        <v>0.31100226640485212</v>
      </c>
      <c r="Y88" s="191">
        <f t="shared" si="11"/>
        <v>0.31100226640485212</v>
      </c>
      <c r="Z88" s="191">
        <f t="shared" si="11"/>
        <v>0.31100226640485212</v>
      </c>
      <c r="AA88" s="191">
        <f t="shared" si="11"/>
        <v>0.31100226640485212</v>
      </c>
      <c r="AB88" s="191">
        <f t="shared" si="11"/>
        <v>0.17999797646529783</v>
      </c>
      <c r="AC88" s="191">
        <f t="shared" si="11"/>
        <v>0.17999797646529783</v>
      </c>
      <c r="AD88" s="191">
        <f t="shared" si="11"/>
        <v>0.17999797646529783</v>
      </c>
      <c r="AE88" s="191">
        <f t="shared" si="11"/>
        <v>0.17999797646529783</v>
      </c>
      <c r="AF88" s="191">
        <f t="shared" si="11"/>
        <v>0.17999797646529783</v>
      </c>
      <c r="AG88" s="191">
        <f t="shared" si="11"/>
        <v>0.58826186187526186</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25">
      <c r="D89"/>
      <c r="E89" s="105"/>
      <c r="F89" t="s">
        <v>161</v>
      </c>
      <c r="G89" t="s">
        <v>167</v>
      </c>
      <c r="H89" s="78"/>
      <c r="J89" s="191">
        <f t="shared" ref="J89:AO89" si="12">INDEX($J71:$Y71,J$54)</f>
        <v>0.58826186187526186</v>
      </c>
      <c r="K89" s="191">
        <f t="shared" si="12"/>
        <v>0.58826186187526186</v>
      </c>
      <c r="L89" s="191">
        <f t="shared" si="12"/>
        <v>0.58826186187526186</v>
      </c>
      <c r="M89" s="191">
        <f t="shared" si="12"/>
        <v>0.58826186187526186</v>
      </c>
      <c r="N89" s="191">
        <f t="shared" si="12"/>
        <v>0.58826186187526186</v>
      </c>
      <c r="O89" s="191">
        <f t="shared" si="12"/>
        <v>0.58826186187526186</v>
      </c>
      <c r="P89" s="191">
        <f t="shared" si="12"/>
        <v>0.58826186187526186</v>
      </c>
      <c r="Q89" s="191">
        <f t="shared" si="12"/>
        <v>0.58826186187526186</v>
      </c>
      <c r="R89" s="191">
        <f t="shared" si="12"/>
        <v>0.58826186187526186</v>
      </c>
      <c r="S89" s="191">
        <f t="shared" si="12"/>
        <v>0.58826186187526186</v>
      </c>
      <c r="T89" s="191">
        <f t="shared" si="12"/>
        <v>0.58826186187526186</v>
      </c>
      <c r="U89" s="191">
        <f t="shared" si="12"/>
        <v>0.58826186187526186</v>
      </c>
      <c r="V89" s="191">
        <f t="shared" si="12"/>
        <v>0.58826186187526186</v>
      </c>
      <c r="W89" s="191">
        <f t="shared" si="12"/>
        <v>0.31100226640485212</v>
      </c>
      <c r="X89" s="191">
        <f t="shared" si="12"/>
        <v>0.31100226640485212</v>
      </c>
      <c r="Y89" s="191">
        <f t="shared" si="12"/>
        <v>0.31100226640485212</v>
      </c>
      <c r="Z89" s="191">
        <f t="shared" si="12"/>
        <v>0.31100226640485212</v>
      </c>
      <c r="AA89" s="191">
        <f t="shared" si="12"/>
        <v>0.31100226640485212</v>
      </c>
      <c r="AB89" s="191">
        <f t="shared" si="12"/>
        <v>0.17999797646529783</v>
      </c>
      <c r="AC89" s="191">
        <f t="shared" si="12"/>
        <v>0.17999797646529783</v>
      </c>
      <c r="AD89" s="191">
        <f t="shared" si="12"/>
        <v>0.17999797646529783</v>
      </c>
      <c r="AE89" s="191">
        <f t="shared" si="12"/>
        <v>0.17999797646529783</v>
      </c>
      <c r="AF89" s="191">
        <f t="shared" si="12"/>
        <v>0.17999797646529783</v>
      </c>
      <c r="AG89" s="191">
        <f t="shared" si="12"/>
        <v>0.58826186187526186</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25">
      <c r="D90"/>
      <c r="E90" s="105"/>
      <c r="F90" s="96" t="s">
        <v>162</v>
      </c>
      <c r="G90" s="96" t="s">
        <v>167</v>
      </c>
      <c r="H90" s="298"/>
      <c r="I90" s="96"/>
      <c r="J90" s="200">
        <f t="shared" ref="J90:AO90" si="13">INDEX($J72:$Y72,J$54)</f>
        <v>0.58826186187526186</v>
      </c>
      <c r="K90" s="200">
        <f t="shared" si="13"/>
        <v>0.58826186187526186</v>
      </c>
      <c r="L90" s="200">
        <f t="shared" si="13"/>
        <v>0.58826186187526186</v>
      </c>
      <c r="M90" s="200">
        <f t="shared" si="13"/>
        <v>0.58826186187526186</v>
      </c>
      <c r="N90" s="200">
        <f t="shared" si="13"/>
        <v>0.58826186187526186</v>
      </c>
      <c r="O90" s="200">
        <f t="shared" si="13"/>
        <v>0.58826186187526186</v>
      </c>
      <c r="P90" s="200">
        <f t="shared" si="13"/>
        <v>0.58826186187526186</v>
      </c>
      <c r="Q90" s="200">
        <f t="shared" si="13"/>
        <v>0.58826186187526186</v>
      </c>
      <c r="R90" s="200">
        <f t="shared" si="13"/>
        <v>0.58826186187526186</v>
      </c>
      <c r="S90" s="200">
        <f t="shared" si="13"/>
        <v>0.58826186187526186</v>
      </c>
      <c r="T90" s="200">
        <f t="shared" si="13"/>
        <v>0.58826186187526186</v>
      </c>
      <c r="U90" s="200">
        <f t="shared" si="13"/>
        <v>0.58826186187526186</v>
      </c>
      <c r="V90" s="200">
        <f t="shared" si="13"/>
        <v>0.58826186187526186</v>
      </c>
      <c r="W90" s="200">
        <f t="shared" si="13"/>
        <v>0.31100226640485212</v>
      </c>
      <c r="X90" s="200">
        <f t="shared" si="13"/>
        <v>0.31100226640485212</v>
      </c>
      <c r="Y90" s="200">
        <f t="shared" si="13"/>
        <v>0.31100226640485212</v>
      </c>
      <c r="Z90" s="200">
        <f t="shared" si="13"/>
        <v>0.31100226640485212</v>
      </c>
      <c r="AA90" s="200">
        <f t="shared" si="13"/>
        <v>0.31100226640485212</v>
      </c>
      <c r="AB90" s="200">
        <f t="shared" si="13"/>
        <v>0.17999797646529783</v>
      </c>
      <c r="AC90" s="200">
        <f t="shared" si="13"/>
        <v>0.17999797646529783</v>
      </c>
      <c r="AD90" s="200">
        <f t="shared" si="13"/>
        <v>0.17999797646529783</v>
      </c>
      <c r="AE90" s="200">
        <f t="shared" si="13"/>
        <v>0.17999797646529783</v>
      </c>
      <c r="AF90" s="200">
        <f t="shared" si="13"/>
        <v>0.17999797646529783</v>
      </c>
      <c r="AG90" s="200">
        <f t="shared" si="13"/>
        <v>0.58826186187526186</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25">
      <c r="D91" s="105"/>
      <c r="E91"/>
    </row>
    <row r="92" spans="3:43" x14ac:dyDescent="0.25">
      <c r="C92" s="93" t="str">
        <f ca="1">INDEX('Version control'!$H$41:$H$64,MATCH($A$1,'Version control'!$F$41:$F$64,0),1)&amp;"-E: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25">
      <c r="E94" s="75" t="s">
        <v>707</v>
      </c>
      <c r="I94" t="s">
        <v>154</v>
      </c>
      <c r="AQ94" t="s">
        <v>155</v>
      </c>
    </row>
    <row r="95" spans="3:43" x14ac:dyDescent="0.25">
      <c r="C95" s="105"/>
      <c r="F95" s="95" t="s">
        <v>156</v>
      </c>
      <c r="G95" s="95" t="s">
        <v>149</v>
      </c>
      <c r="H95" s="237">
        <f>'Fixed inputs'!H26</f>
        <v>3</v>
      </c>
    </row>
    <row r="96" spans="3:43" x14ac:dyDescent="0.25">
      <c r="C96" s="105"/>
      <c r="F96" t="s">
        <v>157</v>
      </c>
      <c r="G96" t="s">
        <v>149</v>
      </c>
      <c r="H96" s="78">
        <f>'Fixed inputs'!H27</f>
        <v>3</v>
      </c>
    </row>
    <row r="97" spans="2:43" x14ac:dyDescent="0.25">
      <c r="C97" s="105"/>
      <c r="F97" t="s">
        <v>158</v>
      </c>
      <c r="G97" t="s">
        <v>149</v>
      </c>
      <c r="H97" s="78">
        <f>'Fixed inputs'!H28</f>
        <v>3</v>
      </c>
    </row>
    <row r="98" spans="2:43" x14ac:dyDescent="0.25">
      <c r="C98" s="105"/>
      <c r="F98" t="s">
        <v>159</v>
      </c>
      <c r="G98" t="s">
        <v>149</v>
      </c>
      <c r="H98" s="78">
        <f>'Fixed inputs'!H29</f>
        <v>2</v>
      </c>
    </row>
    <row r="99" spans="2:43" x14ac:dyDescent="0.25">
      <c r="C99" s="105"/>
      <c r="F99" t="s">
        <v>160</v>
      </c>
      <c r="G99" t="s">
        <v>149</v>
      </c>
      <c r="H99" s="78">
        <f>'Fixed inputs'!H30</f>
        <v>2</v>
      </c>
    </row>
    <row r="100" spans="2:43" x14ac:dyDescent="0.25">
      <c r="C100" s="105"/>
      <c r="F100" t="s">
        <v>161</v>
      </c>
      <c r="G100" t="s">
        <v>149</v>
      </c>
      <c r="H100" s="78">
        <f>'Fixed inputs'!H31</f>
        <v>2</v>
      </c>
    </row>
    <row r="101" spans="2:43" x14ac:dyDescent="0.25">
      <c r="C101" s="105"/>
      <c r="F101" s="96" t="s">
        <v>162</v>
      </c>
      <c r="G101" s="96" t="s">
        <v>149</v>
      </c>
      <c r="H101" s="298">
        <f>'Fixed inputs'!H32</f>
        <v>3</v>
      </c>
    </row>
    <row r="102" spans="2:43" x14ac:dyDescent="0.25">
      <c r="C102" s="105"/>
    </row>
    <row r="103" spans="2:43" x14ac:dyDescent="0.25">
      <c r="B103" s="85" t="s">
        <v>708</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25">
      <c r="C105" s="86" t="s">
        <v>709</v>
      </c>
    </row>
    <row r="107" spans="2:43" x14ac:dyDescent="0.25">
      <c r="C107" s="93" t="str">
        <f ca="1">INDEX('Version control'!$H$41:$H$64,MATCH($A$1,'Version control'!$F$41:$F$64,0),1)&amp;"-F: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25">
      <c r="D109"/>
      <c r="E109" s="75" t="s">
        <v>710</v>
      </c>
      <c r="F109" s="75"/>
    </row>
    <row r="110" spans="2:43" x14ac:dyDescent="0.25">
      <c r="D110"/>
      <c r="E110" s="105"/>
      <c r="F110" s="95" t="s">
        <v>156</v>
      </c>
      <c r="G110" s="95" t="s">
        <v>269</v>
      </c>
      <c r="H110" s="278"/>
      <c r="I110" s="266"/>
      <c r="J110" s="283">
        <f xml:space="preserve"> J20 + J32</f>
        <v>22.754367788879499</v>
      </c>
      <c r="K110" s="283">
        <f t="shared" ref="K110:AO110" si="14" xml:space="preserve"> K20 + K32</f>
        <v>22.754367788879499</v>
      </c>
      <c r="L110" s="283">
        <f t="shared" si="14"/>
        <v>24.204345157669163</v>
      </c>
      <c r="M110" s="283">
        <f t="shared" si="14"/>
        <v>24.204345157669163</v>
      </c>
      <c r="N110" s="283">
        <f t="shared" si="14"/>
        <v>24.204345157669163</v>
      </c>
      <c r="O110" s="283">
        <f t="shared" si="14"/>
        <v>24.204345157669163</v>
      </c>
      <c r="P110" s="283">
        <f t="shared" si="14"/>
        <v>24.204345157669163</v>
      </c>
      <c r="Q110" s="283">
        <f t="shared" si="14"/>
        <v>24.204345157669163</v>
      </c>
      <c r="R110" s="283">
        <f t="shared" si="14"/>
        <v>14.833378766097514</v>
      </c>
      <c r="S110" s="283">
        <f t="shared" si="14"/>
        <v>14.833378766097514</v>
      </c>
      <c r="T110" s="283">
        <f t="shared" si="14"/>
        <v>14.833378766097514</v>
      </c>
      <c r="U110" s="283">
        <f t="shared" si="14"/>
        <v>14.833378766097514</v>
      </c>
      <c r="V110" s="283">
        <f t="shared" si="14"/>
        <v>14.833378766097514</v>
      </c>
      <c r="W110" s="283">
        <f t="shared" si="14"/>
        <v>9.3736478380256543</v>
      </c>
      <c r="X110" s="283">
        <f t="shared" si="14"/>
        <v>9.3736478380256543</v>
      </c>
      <c r="Y110" s="283">
        <f t="shared" si="14"/>
        <v>9.3736478380256543</v>
      </c>
      <c r="Z110" s="283">
        <f t="shared" si="14"/>
        <v>9.3736478380256543</v>
      </c>
      <c r="AA110" s="283">
        <f t="shared" si="14"/>
        <v>9.3736478380256543</v>
      </c>
      <c r="AB110" s="283">
        <f t="shared" si="14"/>
        <v>7.2418921898197315</v>
      </c>
      <c r="AC110" s="283">
        <f t="shared" si="14"/>
        <v>7.2418921898197315</v>
      </c>
      <c r="AD110" s="283">
        <f t="shared" si="14"/>
        <v>7.2418921898197315</v>
      </c>
      <c r="AE110" s="283">
        <f t="shared" si="14"/>
        <v>7.2418921898197315</v>
      </c>
      <c r="AF110" s="283">
        <f t="shared" si="14"/>
        <v>7.2418921898197315</v>
      </c>
      <c r="AG110" s="283">
        <f t="shared" si="14"/>
        <v>68.251084597691374</v>
      </c>
      <c r="AH110" s="283">
        <f t="shared" si="14"/>
        <v>-14.503014192473726</v>
      </c>
      <c r="AI110" s="283">
        <f t="shared" si="14"/>
        <v>-12.444090350355333</v>
      </c>
      <c r="AJ110" s="283">
        <f t="shared" si="14"/>
        <v>-14.503014192473726</v>
      </c>
      <c r="AK110" s="283">
        <f t="shared" si="14"/>
        <v>-14.503014192473726</v>
      </c>
      <c r="AL110" s="283">
        <f t="shared" si="14"/>
        <v>-12.444090350355333</v>
      </c>
      <c r="AM110" s="283">
        <f t="shared" si="14"/>
        <v>-12.444090350355333</v>
      </c>
      <c r="AN110" s="283">
        <f t="shared" si="14"/>
        <v>-7.7863780978561934</v>
      </c>
      <c r="AO110" s="283">
        <f t="shared" si="14"/>
        <v>-7.7863780978561934</v>
      </c>
      <c r="AP110" s="268"/>
      <c r="AQ110" s="268"/>
    </row>
    <row r="111" spans="2:43" x14ac:dyDescent="0.25">
      <c r="D111"/>
      <c r="E111" s="105"/>
      <c r="F111" t="s">
        <v>157</v>
      </c>
      <c r="G111" t="s">
        <v>269</v>
      </c>
      <c r="H111" s="279"/>
      <c r="I111" s="268"/>
      <c r="J111" s="282">
        <f t="shared" ref="J111" si="15" xml:space="preserve"> J21 + J33</f>
        <v>1.8142545868877058</v>
      </c>
      <c r="K111" s="282">
        <f t="shared" ref="K111:AO111" si="16" xml:space="preserve"> K21 + K33</f>
        <v>1.8142545868877058</v>
      </c>
      <c r="L111" s="282">
        <f t="shared" si="16"/>
        <v>1.9298643949306107</v>
      </c>
      <c r="M111" s="282">
        <f t="shared" si="16"/>
        <v>1.9298643949306107</v>
      </c>
      <c r="N111" s="282">
        <f t="shared" si="16"/>
        <v>1.9298643949306107</v>
      </c>
      <c r="O111" s="282">
        <f t="shared" si="16"/>
        <v>1.9298643949306107</v>
      </c>
      <c r="P111" s="282">
        <f t="shared" si="16"/>
        <v>1.9298643949306107</v>
      </c>
      <c r="Q111" s="282">
        <f t="shared" si="16"/>
        <v>1.9298643949306107</v>
      </c>
      <c r="R111" s="282">
        <f t="shared" si="16"/>
        <v>1.0647017530048353</v>
      </c>
      <c r="S111" s="282">
        <f t="shared" si="16"/>
        <v>1.0647017530048353</v>
      </c>
      <c r="T111" s="282">
        <f t="shared" si="16"/>
        <v>1.0647017530048353</v>
      </c>
      <c r="U111" s="282">
        <f t="shared" si="16"/>
        <v>1.0647017530048353</v>
      </c>
      <c r="V111" s="282">
        <f t="shared" si="16"/>
        <v>1.0647017530048353</v>
      </c>
      <c r="W111" s="282">
        <f t="shared" si="16"/>
        <v>0.49555677768372769</v>
      </c>
      <c r="X111" s="282">
        <f t="shared" si="16"/>
        <v>0.49555677768372769</v>
      </c>
      <c r="Y111" s="282">
        <f t="shared" si="16"/>
        <v>0.49555677768372769</v>
      </c>
      <c r="Z111" s="282">
        <f t="shared" si="16"/>
        <v>0.49555677768372769</v>
      </c>
      <c r="AA111" s="282">
        <f t="shared" si="16"/>
        <v>0.49555677768372769</v>
      </c>
      <c r="AB111" s="282">
        <f t="shared" si="16"/>
        <v>0.30212181510475317</v>
      </c>
      <c r="AC111" s="282">
        <f t="shared" si="16"/>
        <v>0.30212181510475317</v>
      </c>
      <c r="AD111" s="282">
        <f t="shared" si="16"/>
        <v>0.30212181510475317</v>
      </c>
      <c r="AE111" s="282">
        <f t="shared" si="16"/>
        <v>0.30212181510475317</v>
      </c>
      <c r="AF111" s="282">
        <f t="shared" si="16"/>
        <v>0.30212181510475317</v>
      </c>
      <c r="AG111" s="282">
        <f t="shared" si="16"/>
        <v>3.5375929348429973</v>
      </c>
      <c r="AH111" s="282">
        <f t="shared" si="16"/>
        <v>-1.15635645281484</v>
      </c>
      <c r="AI111" s="282">
        <f t="shared" si="16"/>
        <v>-0.93051409035444521</v>
      </c>
      <c r="AJ111" s="282">
        <f t="shared" si="16"/>
        <v>-1.15635645281484</v>
      </c>
      <c r="AK111" s="282">
        <f t="shared" si="16"/>
        <v>-1.15635645281484</v>
      </c>
      <c r="AL111" s="282">
        <f t="shared" si="16"/>
        <v>-0.93051409035444521</v>
      </c>
      <c r="AM111" s="282">
        <f t="shared" si="16"/>
        <v>-0.93051409035444521</v>
      </c>
      <c r="AN111" s="282">
        <f t="shared" si="16"/>
        <v>-0.41164256505858809</v>
      </c>
      <c r="AO111" s="282">
        <f t="shared" si="16"/>
        <v>-0.41164256505858809</v>
      </c>
      <c r="AP111" s="268"/>
      <c r="AQ111" s="268"/>
    </row>
    <row r="112" spans="2:43" x14ac:dyDescent="0.25">
      <c r="D112"/>
      <c r="E112" s="105"/>
      <c r="F112" t="s">
        <v>158</v>
      </c>
      <c r="G112" t="s">
        <v>269</v>
      </c>
      <c r="H112" s="279"/>
      <c r="I112" s="268"/>
      <c r="J112" s="282">
        <f t="shared" ref="J112" si="17" xml:space="preserve"> J22 + J34</f>
        <v>0.1984681748021638</v>
      </c>
      <c r="K112" s="282">
        <f t="shared" ref="K112:AO112" si="18" xml:space="preserve"> K22 + K34</f>
        <v>0.1984681748021638</v>
      </c>
      <c r="L112" s="282">
        <f t="shared" si="18"/>
        <v>0.21111516919718137</v>
      </c>
      <c r="M112" s="282">
        <f t="shared" si="18"/>
        <v>0.21111516919718137</v>
      </c>
      <c r="N112" s="282">
        <f t="shared" si="18"/>
        <v>0.21111516919718137</v>
      </c>
      <c r="O112" s="282">
        <f t="shared" si="18"/>
        <v>0.21111516919718137</v>
      </c>
      <c r="P112" s="282">
        <f t="shared" si="18"/>
        <v>0.21111516919718137</v>
      </c>
      <c r="Q112" s="282">
        <f t="shared" si="18"/>
        <v>0.21111516919718137</v>
      </c>
      <c r="R112" s="282">
        <f t="shared" si="18"/>
        <v>0.11409479114169718</v>
      </c>
      <c r="S112" s="282">
        <f t="shared" si="18"/>
        <v>0.11409479114169718</v>
      </c>
      <c r="T112" s="282">
        <f t="shared" si="18"/>
        <v>0.11409479114169718</v>
      </c>
      <c r="U112" s="282">
        <f t="shared" si="18"/>
        <v>0.11409479114169718</v>
      </c>
      <c r="V112" s="282">
        <f t="shared" si="18"/>
        <v>0.11409479114169718</v>
      </c>
      <c r="W112" s="282">
        <f t="shared" si="18"/>
        <v>4.9137946589288356E-2</v>
      </c>
      <c r="X112" s="282">
        <f t="shared" si="18"/>
        <v>4.9137946589288356E-2</v>
      </c>
      <c r="Y112" s="282">
        <f t="shared" si="18"/>
        <v>4.9137946589288356E-2</v>
      </c>
      <c r="Z112" s="282">
        <f t="shared" si="18"/>
        <v>4.9137946589288356E-2</v>
      </c>
      <c r="AA112" s="282">
        <f t="shared" si="18"/>
        <v>4.9137946589288356E-2</v>
      </c>
      <c r="AB112" s="282">
        <f t="shared" si="18"/>
        <v>2.7504662128690939E-2</v>
      </c>
      <c r="AC112" s="282">
        <f t="shared" si="18"/>
        <v>2.7504662128690939E-2</v>
      </c>
      <c r="AD112" s="282">
        <f t="shared" si="18"/>
        <v>2.7504662128690939E-2</v>
      </c>
      <c r="AE112" s="282">
        <f t="shared" si="18"/>
        <v>2.7504662128690939E-2</v>
      </c>
      <c r="AF112" s="282">
        <f t="shared" si="18"/>
        <v>2.7504662128690939E-2</v>
      </c>
      <c r="AG112" s="282">
        <f t="shared" si="18"/>
        <v>1.5345898099291992</v>
      </c>
      <c r="AH112" s="282">
        <f t="shared" si="18"/>
        <v>-0.12649820828319655</v>
      </c>
      <c r="AI112" s="282">
        <f t="shared" si="18"/>
        <v>-0.10054994344094254</v>
      </c>
      <c r="AJ112" s="282">
        <f t="shared" si="18"/>
        <v>-0.12649820828319655</v>
      </c>
      <c r="AK112" s="282">
        <f t="shared" si="18"/>
        <v>-0.12649820828319655</v>
      </c>
      <c r="AL112" s="282">
        <f t="shared" si="18"/>
        <v>-0.10054994344094254</v>
      </c>
      <c r="AM112" s="282">
        <f t="shared" si="18"/>
        <v>-0.10054994344094254</v>
      </c>
      <c r="AN112" s="282">
        <f t="shared" si="18"/>
        <v>-4.0817261082111422E-2</v>
      </c>
      <c r="AO112" s="282">
        <f t="shared" si="18"/>
        <v>-4.0817261082111422E-2</v>
      </c>
      <c r="AP112" s="268"/>
      <c r="AQ112" s="268"/>
    </row>
    <row r="113" spans="3:43" x14ac:dyDescent="0.25">
      <c r="D113"/>
      <c r="E113" s="105"/>
      <c r="F113" t="s">
        <v>159</v>
      </c>
      <c r="G113" t="s">
        <v>270</v>
      </c>
      <c r="H113" s="78"/>
      <c r="J113" s="168">
        <f t="shared" ref="J113" si="19" xml:space="preserve"> J23 + J35</f>
        <v>12.570106728166373</v>
      </c>
      <c r="K113" s="168">
        <f t="shared" ref="K113:AO113" si="20" xml:space="preserve"> K23 + K35</f>
        <v>0</v>
      </c>
      <c r="L113" s="168">
        <f t="shared" si="20"/>
        <v>17.408191541114306</v>
      </c>
      <c r="M113" s="168">
        <f t="shared" si="20"/>
        <v>18.024392938454298</v>
      </c>
      <c r="N113" s="168">
        <f t="shared" si="20"/>
        <v>19.917020764129731</v>
      </c>
      <c r="O113" s="168">
        <f t="shared" si="20"/>
        <v>22.461513760762816</v>
      </c>
      <c r="P113" s="168">
        <f t="shared" si="20"/>
        <v>29.6912857837589</v>
      </c>
      <c r="Q113" s="168">
        <f t="shared" si="20"/>
        <v>0</v>
      </c>
      <c r="R113" s="168">
        <f t="shared" si="20"/>
        <v>17.311572695706502</v>
      </c>
      <c r="S113" s="168">
        <f t="shared" si="20"/>
        <v>41.509535406849821</v>
      </c>
      <c r="T113" s="168">
        <f t="shared" si="20"/>
        <v>60.79045930213605</v>
      </c>
      <c r="U113" s="168">
        <f t="shared" si="20"/>
        <v>86.836703085163478</v>
      </c>
      <c r="V113" s="168">
        <f t="shared" si="20"/>
        <v>171.29495762571409</v>
      </c>
      <c r="W113" s="168">
        <f t="shared" si="20"/>
        <v>13.513542855749364</v>
      </c>
      <c r="X113" s="168">
        <f t="shared" si="20"/>
        <v>37.711505566892683</v>
      </c>
      <c r="Y113" s="168">
        <f t="shared" si="20"/>
        <v>56.992429462178912</v>
      </c>
      <c r="Z113" s="168">
        <f t="shared" si="20"/>
        <v>83.03867324520634</v>
      </c>
      <c r="AA113" s="168">
        <f t="shared" si="20"/>
        <v>167.49692778575698</v>
      </c>
      <c r="AB113" s="168">
        <f t="shared" si="20"/>
        <v>124.75480667074974</v>
      </c>
      <c r="AC113" s="168">
        <f t="shared" si="20"/>
        <v>298.60972780935435</v>
      </c>
      <c r="AD113" s="168">
        <f t="shared" si="20"/>
        <v>525.10437900555576</v>
      </c>
      <c r="AE113" s="168">
        <f t="shared" si="20"/>
        <v>1016.119070985754</v>
      </c>
      <c r="AF113" s="168">
        <f t="shared" si="20"/>
        <v>1908.1613772236972</v>
      </c>
      <c r="AG113" s="168">
        <f t="shared" si="20"/>
        <v>0</v>
      </c>
      <c r="AH113" s="168">
        <f t="shared" si="20"/>
        <v>0</v>
      </c>
      <c r="AI113" s="168">
        <f t="shared" si="20"/>
        <v>0</v>
      </c>
      <c r="AJ113" s="168">
        <f t="shared" si="20"/>
        <v>0</v>
      </c>
      <c r="AK113" s="168">
        <f t="shared" si="20"/>
        <v>0</v>
      </c>
      <c r="AL113" s="168">
        <f t="shared" si="20"/>
        <v>0</v>
      </c>
      <c r="AM113" s="168">
        <f t="shared" si="20"/>
        <v>0</v>
      </c>
      <c r="AN113" s="168">
        <f t="shared" si="20"/>
        <v>78.076882971343878</v>
      </c>
      <c r="AO113" s="168">
        <f t="shared" si="20"/>
        <v>78.076882971343878</v>
      </c>
    </row>
    <row r="114" spans="3:43" x14ac:dyDescent="0.25">
      <c r="D114"/>
      <c r="E114" s="105"/>
      <c r="F114" t="s">
        <v>160</v>
      </c>
      <c r="G114" t="s">
        <v>271</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12.178555674468734</v>
      </c>
      <c r="S114" s="168">
        <f t="shared" si="22"/>
        <v>12.178555674468734</v>
      </c>
      <c r="T114" s="168">
        <f t="shared" si="22"/>
        <v>12.178555674468734</v>
      </c>
      <c r="U114" s="168">
        <f t="shared" si="22"/>
        <v>12.178555674468734</v>
      </c>
      <c r="V114" s="168">
        <f t="shared" si="22"/>
        <v>12.178555674468734</v>
      </c>
      <c r="W114" s="168">
        <f t="shared" si="22"/>
        <v>10.473387803076831</v>
      </c>
      <c r="X114" s="168">
        <f t="shared" si="22"/>
        <v>10.473387803076831</v>
      </c>
      <c r="Y114" s="168">
        <f t="shared" si="22"/>
        <v>10.473387803076831</v>
      </c>
      <c r="Z114" s="168">
        <f t="shared" si="22"/>
        <v>10.473387803076831</v>
      </c>
      <c r="AA114" s="168">
        <f t="shared" si="22"/>
        <v>10.473387803076831</v>
      </c>
      <c r="AB114" s="168">
        <f t="shared" si="22"/>
        <v>10.058286050368954</v>
      </c>
      <c r="AC114" s="168">
        <f t="shared" si="22"/>
        <v>10.058286050368954</v>
      </c>
      <c r="AD114" s="168">
        <f t="shared" si="22"/>
        <v>10.058286050368954</v>
      </c>
      <c r="AE114" s="168">
        <f t="shared" si="22"/>
        <v>10.058286050368954</v>
      </c>
      <c r="AF114" s="168">
        <f t="shared" si="22"/>
        <v>10.058286050368954</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25">
      <c r="D115"/>
      <c r="E115" s="105"/>
      <c r="F115" t="s">
        <v>161</v>
      </c>
      <c r="G115" t="s">
        <v>271</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12.178555674468734</v>
      </c>
      <c r="S115" s="168">
        <f t="shared" si="24"/>
        <v>12.178555674468734</v>
      </c>
      <c r="T115" s="168">
        <f t="shared" si="24"/>
        <v>12.178555674468734</v>
      </c>
      <c r="U115" s="168">
        <f t="shared" si="24"/>
        <v>12.178555674468734</v>
      </c>
      <c r="V115" s="168">
        <f t="shared" si="24"/>
        <v>12.178555674468734</v>
      </c>
      <c r="W115" s="168">
        <f t="shared" si="24"/>
        <v>10.473387803076831</v>
      </c>
      <c r="X115" s="168">
        <f t="shared" si="24"/>
        <v>10.473387803076831</v>
      </c>
      <c r="Y115" s="168">
        <f t="shared" si="24"/>
        <v>10.473387803076831</v>
      </c>
      <c r="Z115" s="168">
        <f t="shared" si="24"/>
        <v>10.473387803076831</v>
      </c>
      <c r="AA115" s="168">
        <f t="shared" si="24"/>
        <v>10.473387803076831</v>
      </c>
      <c r="AB115" s="168">
        <f t="shared" si="24"/>
        <v>10.058286050368954</v>
      </c>
      <c r="AC115" s="168">
        <f t="shared" si="24"/>
        <v>10.058286050368954</v>
      </c>
      <c r="AD115" s="168">
        <f t="shared" si="24"/>
        <v>10.058286050368954</v>
      </c>
      <c r="AE115" s="168">
        <f t="shared" si="24"/>
        <v>10.058286050368954</v>
      </c>
      <c r="AF115" s="168">
        <f t="shared" si="24"/>
        <v>10.058286050368954</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25">
      <c r="D116"/>
      <c r="E116" s="105"/>
      <c r="F116" s="96" t="s">
        <v>162</v>
      </c>
      <c r="G116" s="96" t="s">
        <v>272</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0.2164864146325251</v>
      </c>
      <c r="S116" s="348">
        <f t="shared" si="26"/>
        <v>0.2164864146325251</v>
      </c>
      <c r="T116" s="348">
        <f t="shared" si="26"/>
        <v>0.2164864146325251</v>
      </c>
      <c r="U116" s="348">
        <f t="shared" si="26"/>
        <v>0.2164864146325251</v>
      </c>
      <c r="V116" s="348">
        <f t="shared" si="26"/>
        <v>0.2164864146325251</v>
      </c>
      <c r="W116" s="348">
        <f t="shared" si="26"/>
        <v>0.11781123493667237</v>
      </c>
      <c r="X116" s="348">
        <f t="shared" si="26"/>
        <v>0.11781123493667237</v>
      </c>
      <c r="Y116" s="348">
        <f t="shared" si="26"/>
        <v>0.11781123493667237</v>
      </c>
      <c r="Z116" s="348">
        <f t="shared" si="26"/>
        <v>0.11781123493667237</v>
      </c>
      <c r="AA116" s="348">
        <f t="shared" si="26"/>
        <v>0.11781123493667237</v>
      </c>
      <c r="AB116" s="348">
        <f t="shared" si="26"/>
        <v>8.1663719751251224E-2</v>
      </c>
      <c r="AC116" s="348">
        <f t="shared" si="26"/>
        <v>8.1663719751251224E-2</v>
      </c>
      <c r="AD116" s="348">
        <f t="shared" si="26"/>
        <v>8.1663719751251224E-2</v>
      </c>
      <c r="AE116" s="348">
        <f t="shared" si="26"/>
        <v>8.1663719751251224E-2</v>
      </c>
      <c r="AF116" s="348">
        <f t="shared" si="26"/>
        <v>8.1663719751251224E-2</v>
      </c>
      <c r="AG116" s="348">
        <f t="shared" si="26"/>
        <v>0</v>
      </c>
      <c r="AH116" s="348">
        <f t="shared" si="26"/>
        <v>0</v>
      </c>
      <c r="AI116" s="348">
        <f t="shared" si="26"/>
        <v>0</v>
      </c>
      <c r="AJ116" s="348">
        <f t="shared" si="26"/>
        <v>0.26363615332089374</v>
      </c>
      <c r="AK116" s="348">
        <f t="shared" si="26"/>
        <v>0</v>
      </c>
      <c r="AL116" s="348">
        <f t="shared" si="26"/>
        <v>0.18939763111613869</v>
      </c>
      <c r="AM116" s="348">
        <f t="shared" si="26"/>
        <v>0</v>
      </c>
      <c r="AN116" s="348">
        <f t="shared" si="26"/>
        <v>0.15857605975235456</v>
      </c>
      <c r="AO116" s="348">
        <f t="shared" si="26"/>
        <v>0</v>
      </c>
      <c r="AP116" s="268"/>
      <c r="AQ116" s="268"/>
    </row>
    <row r="117" spans="3:43" x14ac:dyDescent="0.2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25">
      <c r="C118" s="93" t="str">
        <f ca="1">INDEX('Version control'!$H$41:$H$64,MATCH($A$1,'Version control'!$F$41:$F$64,0),1)&amp;"-G: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2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25">
      <c r="E120" s="75" t="s">
        <v>842</v>
      </c>
      <c r="F120" s="75"/>
      <c r="I120" t="s">
        <v>154</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849</v>
      </c>
    </row>
    <row r="121" spans="3:43" x14ac:dyDescent="0.25">
      <c r="E121" s="105"/>
      <c r="F121" s="95" t="s">
        <v>156</v>
      </c>
      <c r="G121" s="95" t="s">
        <v>269</v>
      </c>
      <c r="H121" s="278"/>
      <c r="I121" s="266"/>
      <c r="J121" s="349">
        <f xml:space="preserve"> J110 + J44</f>
        <v>22.754367788879499</v>
      </c>
      <c r="K121" s="349">
        <f t="shared" ref="K121:AO121" si="27" xml:space="preserve"> K110 + K44</f>
        <v>22.754367788879499</v>
      </c>
      <c r="L121" s="349">
        <f t="shared" si="27"/>
        <v>24.204345157669163</v>
      </c>
      <c r="M121" s="349">
        <f t="shared" si="27"/>
        <v>24.204345157669163</v>
      </c>
      <c r="N121" s="349">
        <f t="shared" si="27"/>
        <v>24.204345157669163</v>
      </c>
      <c r="O121" s="349">
        <f t="shared" si="27"/>
        <v>24.204345157669163</v>
      </c>
      <c r="P121" s="349">
        <f t="shared" si="27"/>
        <v>24.204345157669163</v>
      </c>
      <c r="Q121" s="349">
        <f t="shared" si="27"/>
        <v>24.204345157669163</v>
      </c>
      <c r="R121" s="349">
        <f t="shared" si="27"/>
        <v>14.833378766097514</v>
      </c>
      <c r="S121" s="349">
        <f t="shared" si="27"/>
        <v>14.833378766097514</v>
      </c>
      <c r="T121" s="349">
        <f t="shared" si="27"/>
        <v>14.833378766097514</v>
      </c>
      <c r="U121" s="349">
        <f t="shared" si="27"/>
        <v>14.833378766097514</v>
      </c>
      <c r="V121" s="349">
        <f t="shared" si="27"/>
        <v>14.833378766097514</v>
      </c>
      <c r="W121" s="349">
        <f t="shared" si="27"/>
        <v>9.3736478380256543</v>
      </c>
      <c r="X121" s="349">
        <f t="shared" si="27"/>
        <v>9.3736478380256543</v>
      </c>
      <c r="Y121" s="349">
        <f t="shared" si="27"/>
        <v>9.3736478380256543</v>
      </c>
      <c r="Z121" s="349">
        <f t="shared" si="27"/>
        <v>9.3736478380256543</v>
      </c>
      <c r="AA121" s="349">
        <f t="shared" si="27"/>
        <v>9.3736478380256543</v>
      </c>
      <c r="AB121" s="349">
        <f t="shared" si="27"/>
        <v>7.2418921898197315</v>
      </c>
      <c r="AC121" s="349">
        <f t="shared" si="27"/>
        <v>7.2418921898197315</v>
      </c>
      <c r="AD121" s="349">
        <f t="shared" si="27"/>
        <v>7.2418921898197315</v>
      </c>
      <c r="AE121" s="349">
        <f t="shared" si="27"/>
        <v>7.2418921898197315</v>
      </c>
      <c r="AF121" s="349">
        <f t="shared" si="27"/>
        <v>7.2418921898197315</v>
      </c>
      <c r="AG121" s="349">
        <f t="shared" si="27"/>
        <v>68.251084597691374</v>
      </c>
      <c r="AH121" s="349">
        <f t="shared" si="27"/>
        <v>-14.503014192473726</v>
      </c>
      <c r="AI121" s="349">
        <f t="shared" si="27"/>
        <v>-12.444090350355333</v>
      </c>
      <c r="AJ121" s="349">
        <f t="shared" si="27"/>
        <v>-14.503014192473726</v>
      </c>
      <c r="AK121" s="349">
        <f t="shared" si="27"/>
        <v>-14.503014192473726</v>
      </c>
      <c r="AL121" s="349">
        <f t="shared" si="27"/>
        <v>-12.444090350355333</v>
      </c>
      <c r="AM121" s="349">
        <f t="shared" si="27"/>
        <v>-12.444090350355333</v>
      </c>
      <c r="AN121" s="349">
        <f t="shared" si="27"/>
        <v>-7.7863780978561934</v>
      </c>
      <c r="AO121" s="349">
        <f t="shared" si="27"/>
        <v>-7.7863780978561934</v>
      </c>
      <c r="AP121" s="268"/>
      <c r="AQ121" s="268"/>
    </row>
    <row r="122" spans="3:43" x14ac:dyDescent="0.25">
      <c r="E122" s="105"/>
      <c r="F122" t="s">
        <v>157</v>
      </c>
      <c r="G122" t="s">
        <v>269</v>
      </c>
      <c r="H122" s="279"/>
      <c r="I122" s="268"/>
      <c r="J122" s="350">
        <f t="shared" ref="J122" si="28" xml:space="preserve"> J111 + J45</f>
        <v>1.8142545868877058</v>
      </c>
      <c r="K122" s="350">
        <f t="shared" ref="K122:AO122" si="29" xml:space="preserve"> K111 + K45</f>
        <v>1.8142545868877058</v>
      </c>
      <c r="L122" s="350">
        <f t="shared" si="29"/>
        <v>1.9298643949306107</v>
      </c>
      <c r="M122" s="350">
        <f t="shared" si="29"/>
        <v>1.9298643949306107</v>
      </c>
      <c r="N122" s="350">
        <f t="shared" si="29"/>
        <v>1.9298643949306107</v>
      </c>
      <c r="O122" s="350">
        <f t="shared" si="29"/>
        <v>1.9298643949306107</v>
      </c>
      <c r="P122" s="350">
        <f t="shared" si="29"/>
        <v>1.9298643949306107</v>
      </c>
      <c r="Q122" s="350">
        <f t="shared" si="29"/>
        <v>1.9298643949306107</v>
      </c>
      <c r="R122" s="350">
        <f t="shared" si="29"/>
        <v>1.0647017530048353</v>
      </c>
      <c r="S122" s="350">
        <f t="shared" si="29"/>
        <v>1.0647017530048353</v>
      </c>
      <c r="T122" s="350">
        <f t="shared" si="29"/>
        <v>1.0647017530048353</v>
      </c>
      <c r="U122" s="350">
        <f t="shared" si="29"/>
        <v>1.0647017530048353</v>
      </c>
      <c r="V122" s="350">
        <f t="shared" si="29"/>
        <v>1.0647017530048353</v>
      </c>
      <c r="W122" s="350">
        <f t="shared" si="29"/>
        <v>0.49555677768372769</v>
      </c>
      <c r="X122" s="350">
        <f t="shared" si="29"/>
        <v>0.49555677768372769</v>
      </c>
      <c r="Y122" s="350">
        <f t="shared" si="29"/>
        <v>0.49555677768372769</v>
      </c>
      <c r="Z122" s="350">
        <f t="shared" si="29"/>
        <v>0.49555677768372769</v>
      </c>
      <c r="AA122" s="350">
        <f t="shared" si="29"/>
        <v>0.49555677768372769</v>
      </c>
      <c r="AB122" s="350">
        <f t="shared" si="29"/>
        <v>0.30212181510475317</v>
      </c>
      <c r="AC122" s="350">
        <f t="shared" si="29"/>
        <v>0.30212181510475317</v>
      </c>
      <c r="AD122" s="350">
        <f t="shared" si="29"/>
        <v>0.30212181510475317</v>
      </c>
      <c r="AE122" s="350">
        <f t="shared" si="29"/>
        <v>0.30212181510475317</v>
      </c>
      <c r="AF122" s="350">
        <f t="shared" si="29"/>
        <v>0.30212181510475317</v>
      </c>
      <c r="AG122" s="350">
        <f t="shared" si="29"/>
        <v>3.5375929348429973</v>
      </c>
      <c r="AH122" s="350">
        <f t="shared" si="29"/>
        <v>-1.15635645281484</v>
      </c>
      <c r="AI122" s="350">
        <f t="shared" si="29"/>
        <v>-0.93051409035444521</v>
      </c>
      <c r="AJ122" s="350">
        <f t="shared" si="29"/>
        <v>-1.15635645281484</v>
      </c>
      <c r="AK122" s="350">
        <f t="shared" si="29"/>
        <v>-1.15635645281484</v>
      </c>
      <c r="AL122" s="350">
        <f t="shared" si="29"/>
        <v>-0.93051409035444521</v>
      </c>
      <c r="AM122" s="350">
        <f t="shared" si="29"/>
        <v>-0.93051409035444521</v>
      </c>
      <c r="AN122" s="350">
        <f t="shared" si="29"/>
        <v>-0.41164256505858809</v>
      </c>
      <c r="AO122" s="350">
        <f t="shared" si="29"/>
        <v>-0.41164256505858809</v>
      </c>
      <c r="AP122" s="268"/>
      <c r="AQ122" s="268"/>
    </row>
    <row r="123" spans="3:43" x14ac:dyDescent="0.25">
      <c r="E123" s="105"/>
      <c r="F123" t="s">
        <v>158</v>
      </c>
      <c r="G123" t="s">
        <v>269</v>
      </c>
      <c r="H123" s="279"/>
      <c r="I123" s="268"/>
      <c r="J123" s="350">
        <f t="shared" ref="J123" si="30" xml:space="preserve"> J112 + J46</f>
        <v>0.1984681748021638</v>
      </c>
      <c r="K123" s="350">
        <f t="shared" ref="K123:AO123" si="31" xml:space="preserve"> K112 + K46</f>
        <v>0.1984681748021638</v>
      </c>
      <c r="L123" s="350">
        <f t="shared" si="31"/>
        <v>0.21111516919718137</v>
      </c>
      <c r="M123" s="350">
        <f t="shared" si="31"/>
        <v>0.21111516919718137</v>
      </c>
      <c r="N123" s="350">
        <f t="shared" si="31"/>
        <v>0.21111516919718137</v>
      </c>
      <c r="O123" s="350">
        <f t="shared" si="31"/>
        <v>0.21111516919718137</v>
      </c>
      <c r="P123" s="350">
        <f t="shared" si="31"/>
        <v>0.21111516919718137</v>
      </c>
      <c r="Q123" s="350">
        <f t="shared" si="31"/>
        <v>0.21111516919718137</v>
      </c>
      <c r="R123" s="350">
        <f t="shared" si="31"/>
        <v>0.11409479114169718</v>
      </c>
      <c r="S123" s="350">
        <f t="shared" si="31"/>
        <v>0.11409479114169718</v>
      </c>
      <c r="T123" s="350">
        <f t="shared" si="31"/>
        <v>0.11409479114169718</v>
      </c>
      <c r="U123" s="350">
        <f t="shared" si="31"/>
        <v>0.11409479114169718</v>
      </c>
      <c r="V123" s="350">
        <f t="shared" si="31"/>
        <v>0.11409479114169718</v>
      </c>
      <c r="W123" s="350">
        <f t="shared" si="31"/>
        <v>4.9137946589288356E-2</v>
      </c>
      <c r="X123" s="350">
        <f t="shared" si="31"/>
        <v>4.9137946589288356E-2</v>
      </c>
      <c r="Y123" s="350">
        <f t="shared" si="31"/>
        <v>4.9137946589288356E-2</v>
      </c>
      <c r="Z123" s="350">
        <f t="shared" si="31"/>
        <v>4.9137946589288356E-2</v>
      </c>
      <c r="AA123" s="350">
        <f t="shared" si="31"/>
        <v>4.9137946589288356E-2</v>
      </c>
      <c r="AB123" s="350">
        <f t="shared" si="31"/>
        <v>2.7504662128690939E-2</v>
      </c>
      <c r="AC123" s="350">
        <f t="shared" si="31"/>
        <v>2.7504662128690939E-2</v>
      </c>
      <c r="AD123" s="350">
        <f t="shared" si="31"/>
        <v>2.7504662128690939E-2</v>
      </c>
      <c r="AE123" s="350">
        <f t="shared" si="31"/>
        <v>2.7504662128690939E-2</v>
      </c>
      <c r="AF123" s="350">
        <f t="shared" si="31"/>
        <v>2.7504662128690939E-2</v>
      </c>
      <c r="AG123" s="350">
        <f t="shared" si="31"/>
        <v>1.5345898099291992</v>
      </c>
      <c r="AH123" s="350">
        <f t="shared" si="31"/>
        <v>-0.12649820828319655</v>
      </c>
      <c r="AI123" s="350">
        <f t="shared" si="31"/>
        <v>-0.10054994344094254</v>
      </c>
      <c r="AJ123" s="350">
        <f t="shared" si="31"/>
        <v>-0.12649820828319655</v>
      </c>
      <c r="AK123" s="350">
        <f t="shared" si="31"/>
        <v>-0.12649820828319655</v>
      </c>
      <c r="AL123" s="350">
        <f t="shared" si="31"/>
        <v>-0.10054994344094254</v>
      </c>
      <c r="AM123" s="350">
        <f t="shared" si="31"/>
        <v>-0.10054994344094254</v>
      </c>
      <c r="AN123" s="350">
        <f t="shared" si="31"/>
        <v>-4.0817261082111422E-2</v>
      </c>
      <c r="AO123" s="350">
        <f t="shared" si="31"/>
        <v>-4.0817261082111422E-2</v>
      </c>
      <c r="AP123" s="268"/>
      <c r="AQ123" s="268"/>
    </row>
    <row r="124" spans="3:43" x14ac:dyDescent="0.25">
      <c r="E124" s="105"/>
      <c r="F124" t="s">
        <v>159</v>
      </c>
      <c r="G124" t="s">
        <v>270</v>
      </c>
      <c r="H124" s="78"/>
      <c r="J124" s="194">
        <f t="shared" ref="J124" si="32" xml:space="preserve"> J113 + J47</f>
        <v>12.570106728166373</v>
      </c>
      <c r="K124" s="194">
        <f t="shared" ref="K124:AO124" si="33" xml:space="preserve"> K113 + K47</f>
        <v>0</v>
      </c>
      <c r="L124" s="194">
        <f t="shared" si="33"/>
        <v>17.408191541114306</v>
      </c>
      <c r="M124" s="194">
        <f t="shared" si="33"/>
        <v>18.024392938454298</v>
      </c>
      <c r="N124" s="194">
        <f t="shared" si="33"/>
        <v>19.917020764129731</v>
      </c>
      <c r="O124" s="194">
        <f t="shared" si="33"/>
        <v>22.461513760762816</v>
      </c>
      <c r="P124" s="194">
        <f t="shared" si="33"/>
        <v>29.6912857837589</v>
      </c>
      <c r="Q124" s="194">
        <f t="shared" si="33"/>
        <v>0</v>
      </c>
      <c r="R124" s="194">
        <f t="shared" si="33"/>
        <v>17.311572695706502</v>
      </c>
      <c r="S124" s="194">
        <f t="shared" si="33"/>
        <v>41.509535406849821</v>
      </c>
      <c r="T124" s="194">
        <f t="shared" si="33"/>
        <v>60.79045930213605</v>
      </c>
      <c r="U124" s="194">
        <f t="shared" si="33"/>
        <v>86.836703085163478</v>
      </c>
      <c r="V124" s="194">
        <f t="shared" si="33"/>
        <v>171.29495762571409</v>
      </c>
      <c r="W124" s="194">
        <f t="shared" si="33"/>
        <v>13.513542855749364</v>
      </c>
      <c r="X124" s="194">
        <f t="shared" si="33"/>
        <v>37.711505566892683</v>
      </c>
      <c r="Y124" s="194">
        <f t="shared" si="33"/>
        <v>56.992429462178912</v>
      </c>
      <c r="Z124" s="194">
        <f t="shared" si="33"/>
        <v>83.03867324520634</v>
      </c>
      <c r="AA124" s="194">
        <f t="shared" si="33"/>
        <v>167.49692778575698</v>
      </c>
      <c r="AB124" s="194">
        <f t="shared" si="33"/>
        <v>124.75480667074974</v>
      </c>
      <c r="AC124" s="194">
        <f t="shared" si="33"/>
        <v>298.60972780935435</v>
      </c>
      <c r="AD124" s="194">
        <f t="shared" si="33"/>
        <v>525.10437900555576</v>
      </c>
      <c r="AE124" s="194">
        <f t="shared" si="33"/>
        <v>1016.119070985754</v>
      </c>
      <c r="AF124" s="194">
        <f t="shared" si="33"/>
        <v>1908.1613772236972</v>
      </c>
      <c r="AG124" s="194">
        <f t="shared" si="33"/>
        <v>0</v>
      </c>
      <c r="AH124" s="194">
        <f t="shared" si="33"/>
        <v>0</v>
      </c>
      <c r="AI124" s="194">
        <f t="shared" si="33"/>
        <v>0</v>
      </c>
      <c r="AJ124" s="194">
        <f t="shared" si="33"/>
        <v>0</v>
      </c>
      <c r="AK124" s="194">
        <f t="shared" si="33"/>
        <v>0</v>
      </c>
      <c r="AL124" s="194">
        <f t="shared" si="33"/>
        <v>0</v>
      </c>
      <c r="AM124" s="194">
        <f t="shared" si="33"/>
        <v>0</v>
      </c>
      <c r="AN124" s="194">
        <f t="shared" si="33"/>
        <v>78.076882971343878</v>
      </c>
      <c r="AO124" s="194">
        <f t="shared" si="33"/>
        <v>78.076882971343878</v>
      </c>
    </row>
    <row r="125" spans="3:43" x14ac:dyDescent="0.25">
      <c r="E125" s="105"/>
      <c r="F125" t="s">
        <v>160</v>
      </c>
      <c r="G125" t="s">
        <v>271</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12.178555674468734</v>
      </c>
      <c r="S125" s="194">
        <f t="shared" si="35"/>
        <v>12.178555674468734</v>
      </c>
      <c r="T125" s="194">
        <f t="shared" si="35"/>
        <v>12.178555674468734</v>
      </c>
      <c r="U125" s="194">
        <f t="shared" si="35"/>
        <v>12.178555674468734</v>
      </c>
      <c r="V125" s="194">
        <f t="shared" si="35"/>
        <v>12.178555674468734</v>
      </c>
      <c r="W125" s="194">
        <f t="shared" si="35"/>
        <v>10.473387803076831</v>
      </c>
      <c r="X125" s="194">
        <f t="shared" si="35"/>
        <v>10.473387803076831</v>
      </c>
      <c r="Y125" s="194">
        <f t="shared" si="35"/>
        <v>10.473387803076831</v>
      </c>
      <c r="Z125" s="194">
        <f t="shared" si="35"/>
        <v>10.473387803076831</v>
      </c>
      <c r="AA125" s="194">
        <f t="shared" si="35"/>
        <v>10.473387803076831</v>
      </c>
      <c r="AB125" s="194">
        <f t="shared" si="35"/>
        <v>10.058286050368954</v>
      </c>
      <c r="AC125" s="194">
        <f t="shared" si="35"/>
        <v>10.058286050368954</v>
      </c>
      <c r="AD125" s="194">
        <f t="shared" si="35"/>
        <v>10.058286050368954</v>
      </c>
      <c r="AE125" s="194">
        <f t="shared" si="35"/>
        <v>10.058286050368954</v>
      </c>
      <c r="AF125" s="194">
        <f t="shared" si="35"/>
        <v>10.058286050368954</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25">
      <c r="E126" s="105"/>
      <c r="F126" t="s">
        <v>161</v>
      </c>
      <c r="G126" t="s">
        <v>271</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12.178555674468734</v>
      </c>
      <c r="S126" s="194">
        <f t="shared" si="37"/>
        <v>12.178555674468734</v>
      </c>
      <c r="T126" s="194">
        <f t="shared" si="37"/>
        <v>12.178555674468734</v>
      </c>
      <c r="U126" s="194">
        <f t="shared" si="37"/>
        <v>12.178555674468734</v>
      </c>
      <c r="V126" s="194">
        <f t="shared" si="37"/>
        <v>12.178555674468734</v>
      </c>
      <c r="W126" s="194">
        <f t="shared" si="37"/>
        <v>10.473387803076831</v>
      </c>
      <c r="X126" s="194">
        <f t="shared" si="37"/>
        <v>10.473387803076831</v>
      </c>
      <c r="Y126" s="194">
        <f t="shared" si="37"/>
        <v>10.473387803076831</v>
      </c>
      <c r="Z126" s="194">
        <f t="shared" si="37"/>
        <v>10.473387803076831</v>
      </c>
      <c r="AA126" s="194">
        <f t="shared" si="37"/>
        <v>10.473387803076831</v>
      </c>
      <c r="AB126" s="194">
        <f t="shared" si="37"/>
        <v>10.058286050368954</v>
      </c>
      <c r="AC126" s="194">
        <f t="shared" si="37"/>
        <v>10.058286050368954</v>
      </c>
      <c r="AD126" s="194">
        <f t="shared" si="37"/>
        <v>10.058286050368954</v>
      </c>
      <c r="AE126" s="194">
        <f t="shared" si="37"/>
        <v>10.058286050368954</v>
      </c>
      <c r="AF126" s="194">
        <f t="shared" si="37"/>
        <v>10.058286050368954</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25">
      <c r="E127" s="105"/>
      <c r="F127" s="96" t="s">
        <v>162</v>
      </c>
      <c r="G127" s="96" t="s">
        <v>272</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0.2164864146325251</v>
      </c>
      <c r="S127" s="348">
        <f t="shared" si="39"/>
        <v>0.2164864146325251</v>
      </c>
      <c r="T127" s="348">
        <f t="shared" si="39"/>
        <v>0.2164864146325251</v>
      </c>
      <c r="U127" s="348">
        <f t="shared" si="39"/>
        <v>0.2164864146325251</v>
      </c>
      <c r="V127" s="348">
        <f t="shared" si="39"/>
        <v>0.2164864146325251</v>
      </c>
      <c r="W127" s="348">
        <f t="shared" si="39"/>
        <v>0.11781123493667237</v>
      </c>
      <c r="X127" s="348">
        <f t="shared" si="39"/>
        <v>0.11781123493667237</v>
      </c>
      <c r="Y127" s="348">
        <f t="shared" si="39"/>
        <v>0.11781123493667237</v>
      </c>
      <c r="Z127" s="348">
        <f t="shared" si="39"/>
        <v>0.11781123493667237</v>
      </c>
      <c r="AA127" s="348">
        <f t="shared" si="39"/>
        <v>0.11781123493667237</v>
      </c>
      <c r="AB127" s="348">
        <f t="shared" si="39"/>
        <v>8.1663719751251224E-2</v>
      </c>
      <c r="AC127" s="348">
        <f t="shared" si="39"/>
        <v>8.1663719751251224E-2</v>
      </c>
      <c r="AD127" s="348">
        <f t="shared" si="39"/>
        <v>8.1663719751251224E-2</v>
      </c>
      <c r="AE127" s="348">
        <f t="shared" si="39"/>
        <v>8.1663719751251224E-2</v>
      </c>
      <c r="AF127" s="348">
        <f t="shared" si="39"/>
        <v>8.1663719751251224E-2</v>
      </c>
      <c r="AG127" s="348">
        <f t="shared" si="39"/>
        <v>0</v>
      </c>
      <c r="AH127" s="348">
        <f t="shared" si="39"/>
        <v>0</v>
      </c>
      <c r="AI127" s="348">
        <f t="shared" si="39"/>
        <v>0</v>
      </c>
      <c r="AJ127" s="348">
        <f t="shared" si="39"/>
        <v>0.26363615332089374</v>
      </c>
      <c r="AK127" s="348">
        <f t="shared" si="39"/>
        <v>0</v>
      </c>
      <c r="AL127" s="348">
        <f t="shared" si="39"/>
        <v>0.18939763111613869</v>
      </c>
      <c r="AM127" s="348">
        <f t="shared" si="39"/>
        <v>0</v>
      </c>
      <c r="AN127" s="348">
        <f t="shared" si="39"/>
        <v>0.15857605975235456</v>
      </c>
      <c r="AO127" s="348">
        <f t="shared" si="39"/>
        <v>0</v>
      </c>
      <c r="AP127" s="268"/>
      <c r="AQ127" s="268"/>
    </row>
    <row r="128" spans="3:43" x14ac:dyDescent="0.2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25">
      <c r="E129" s="75" t="s">
        <v>843</v>
      </c>
      <c r="I129" t="s">
        <v>154</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849</v>
      </c>
    </row>
    <row r="130" spans="3:43" x14ac:dyDescent="0.25">
      <c r="E130" s="105"/>
      <c r="F130" s="95" t="s">
        <v>156</v>
      </c>
      <c r="G130" s="95" t="s">
        <v>269</v>
      </c>
      <c r="H130" s="278"/>
      <c r="I130" s="266"/>
      <c r="J130" s="283">
        <f t="shared" ref="J130:J136" si="40" xml:space="preserve"> J110 * (1 - J75) + J44</f>
        <v>14.031444145391575</v>
      </c>
      <c r="K130" s="283">
        <f t="shared" ref="K130:AJ130" si="41" xml:space="preserve"> K110 * (1 - K75) + K44</f>
        <v>14.031444145391575</v>
      </c>
      <c r="L130" s="283">
        <f t="shared" si="41"/>
        <v>14.925570347930901</v>
      </c>
      <c r="M130" s="283">
        <f t="shared" si="41"/>
        <v>14.925570347930901</v>
      </c>
      <c r="N130" s="283">
        <f t="shared" si="41"/>
        <v>14.925570347930901</v>
      </c>
      <c r="O130" s="283">
        <f t="shared" si="41"/>
        <v>14.925570347930901</v>
      </c>
      <c r="P130" s="283">
        <f t="shared" si="41"/>
        <v>14.925570347930901</v>
      </c>
      <c r="Q130" s="283">
        <f t="shared" si="41"/>
        <v>14.925570347930901</v>
      </c>
      <c r="R130" s="283">
        <f t="shared" si="41"/>
        <v>9.146979058045007</v>
      </c>
      <c r="S130" s="283">
        <f t="shared" si="41"/>
        <v>9.146979058045007</v>
      </c>
      <c r="T130" s="283">
        <f t="shared" si="41"/>
        <v>9.146979058045007</v>
      </c>
      <c r="U130" s="283">
        <f t="shared" si="41"/>
        <v>9.146979058045007</v>
      </c>
      <c r="V130" s="283">
        <f t="shared" si="41"/>
        <v>9.146979058045007</v>
      </c>
      <c r="W130" s="280"/>
      <c r="X130" s="280"/>
      <c r="Y130" s="280"/>
      <c r="Z130" s="280"/>
      <c r="AA130" s="280"/>
      <c r="AB130" s="280"/>
      <c r="AC130" s="280"/>
      <c r="AD130" s="280"/>
      <c r="AE130" s="280"/>
      <c r="AF130" s="280"/>
      <c r="AG130" s="283">
        <f t="shared" si="41"/>
        <v>42.086921081715545</v>
      </c>
      <c r="AH130" s="283">
        <f t="shared" si="41"/>
        <v>-14.503014192473726</v>
      </c>
      <c r="AI130" s="280"/>
      <c r="AJ130" s="283">
        <f t="shared" si="41"/>
        <v>-14.503014192473726</v>
      </c>
      <c r="AK130" s="280"/>
      <c r="AL130" s="280"/>
      <c r="AM130" s="280"/>
      <c r="AN130" s="280"/>
      <c r="AO130" s="280"/>
      <c r="AP130" s="268"/>
      <c r="AQ130" s="268"/>
    </row>
    <row r="131" spans="3:43" x14ac:dyDescent="0.25">
      <c r="E131" s="105"/>
      <c r="F131" t="s">
        <v>157</v>
      </c>
      <c r="G131" t="s">
        <v>269</v>
      </c>
      <c r="H131" s="279"/>
      <c r="I131" s="268"/>
      <c r="J131" s="350">
        <f t="shared" si="40"/>
        <v>1.1187571607186753</v>
      </c>
      <c r="K131" s="350">
        <f t="shared" ref="K131:AJ131" si="42" xml:space="preserve"> K111 * (1 - K76) + K45</f>
        <v>1.1187571607186753</v>
      </c>
      <c r="L131" s="350">
        <f t="shared" si="42"/>
        <v>1.1900477621216397</v>
      </c>
      <c r="M131" s="350">
        <f t="shared" si="42"/>
        <v>1.1900477621216397</v>
      </c>
      <c r="N131" s="350">
        <f t="shared" si="42"/>
        <v>1.1900477621216397</v>
      </c>
      <c r="O131" s="350">
        <f t="shared" si="42"/>
        <v>1.1900477621216397</v>
      </c>
      <c r="P131" s="350">
        <f t="shared" si="42"/>
        <v>1.1900477621216397</v>
      </c>
      <c r="Q131" s="350">
        <f t="shared" si="42"/>
        <v>1.1900477621216397</v>
      </c>
      <c r="R131" s="350">
        <f t="shared" si="42"/>
        <v>0.65654661634189504</v>
      </c>
      <c r="S131" s="350">
        <f t="shared" si="42"/>
        <v>0.65654661634189504</v>
      </c>
      <c r="T131" s="350">
        <f t="shared" si="42"/>
        <v>0.65654661634189504</v>
      </c>
      <c r="U131" s="350">
        <f t="shared" si="42"/>
        <v>0.65654661634189504</v>
      </c>
      <c r="V131" s="350">
        <f t="shared" si="42"/>
        <v>0.65654661634189504</v>
      </c>
      <c r="W131" s="294"/>
      <c r="X131" s="294"/>
      <c r="Y131" s="294"/>
      <c r="Z131" s="294"/>
      <c r="AA131" s="294"/>
      <c r="AB131" s="294"/>
      <c r="AC131" s="294"/>
      <c r="AD131" s="294"/>
      <c r="AE131" s="294"/>
      <c r="AF131" s="294"/>
      <c r="AG131" s="350">
        <f t="shared" si="42"/>
        <v>2.1814509695426563</v>
      </c>
      <c r="AH131" s="350">
        <f t="shared" si="42"/>
        <v>-1.15635645281484</v>
      </c>
      <c r="AI131" s="294"/>
      <c r="AJ131" s="350">
        <f t="shared" si="42"/>
        <v>-1.15635645281484</v>
      </c>
      <c r="AK131" s="294"/>
      <c r="AL131" s="294"/>
      <c r="AM131" s="294"/>
      <c r="AN131" s="294"/>
      <c r="AO131" s="294"/>
      <c r="AP131" s="268"/>
      <c r="AQ131" s="268"/>
    </row>
    <row r="132" spans="3:43" x14ac:dyDescent="0.25">
      <c r="E132" s="105"/>
      <c r="F132" t="s">
        <v>158</v>
      </c>
      <c r="G132" t="s">
        <v>269</v>
      </c>
      <c r="H132" s="279"/>
      <c r="I132" s="268"/>
      <c r="J132" s="350">
        <f t="shared" si="40"/>
        <v>0.12238507943672056</v>
      </c>
      <c r="K132" s="350">
        <f t="shared" ref="K132:AJ132" si="43" xml:space="preserve"> K112 * (1 - K77) + K46</f>
        <v>0.12238507943672056</v>
      </c>
      <c r="L132" s="350">
        <f t="shared" si="43"/>
        <v>0.13018382810366858</v>
      </c>
      <c r="M132" s="350">
        <f t="shared" si="43"/>
        <v>0.13018382810366858</v>
      </c>
      <c r="N132" s="350">
        <f t="shared" si="43"/>
        <v>0.13018382810366858</v>
      </c>
      <c r="O132" s="350">
        <f t="shared" si="43"/>
        <v>0.13018382810366858</v>
      </c>
      <c r="P132" s="350">
        <f t="shared" si="43"/>
        <v>0.13018382810366858</v>
      </c>
      <c r="Q132" s="350">
        <f t="shared" si="43"/>
        <v>0.13018382810366858</v>
      </c>
      <c r="R132" s="350">
        <f t="shared" si="43"/>
        <v>7.0356368677807854E-2</v>
      </c>
      <c r="S132" s="350">
        <f t="shared" si="43"/>
        <v>7.0356368677807854E-2</v>
      </c>
      <c r="T132" s="350">
        <f t="shared" si="43"/>
        <v>7.0356368677807854E-2</v>
      </c>
      <c r="U132" s="350">
        <f t="shared" si="43"/>
        <v>7.0356368677807854E-2</v>
      </c>
      <c r="V132" s="350">
        <f t="shared" si="43"/>
        <v>7.0356368677807854E-2</v>
      </c>
      <c r="W132" s="294"/>
      <c r="X132" s="294"/>
      <c r="Y132" s="294"/>
      <c r="Z132" s="294"/>
      <c r="AA132" s="294"/>
      <c r="AB132" s="294"/>
      <c r="AC132" s="294"/>
      <c r="AD132" s="294"/>
      <c r="AE132" s="294"/>
      <c r="AF132" s="294"/>
      <c r="AG132" s="350">
        <f t="shared" si="43"/>
        <v>0.94630232770659473</v>
      </c>
      <c r="AH132" s="350">
        <f t="shared" si="43"/>
        <v>-0.12649820828319655</v>
      </c>
      <c r="AI132" s="294"/>
      <c r="AJ132" s="350">
        <f t="shared" si="43"/>
        <v>-0.12649820828319655</v>
      </c>
      <c r="AK132" s="294"/>
      <c r="AL132" s="294"/>
      <c r="AM132" s="294"/>
      <c r="AN132" s="294"/>
      <c r="AO132" s="294"/>
      <c r="AP132" s="268"/>
      <c r="AQ132" s="268"/>
    </row>
    <row r="133" spans="3:43" x14ac:dyDescent="0.25">
      <c r="E133" s="105"/>
      <c r="F133" t="s">
        <v>159</v>
      </c>
      <c r="G133" t="s">
        <v>270</v>
      </c>
      <c r="H133" s="78"/>
      <c r="J133" s="194">
        <f t="shared" si="40"/>
        <v>7.7513360113690357</v>
      </c>
      <c r="K133" s="194">
        <f t="shared" ref="K133:AJ133" si="44" xml:space="preserve"> K113 * (1 - K78) + K47</f>
        <v>0</v>
      </c>
      <c r="L133" s="194">
        <f t="shared" si="44"/>
        <v>10.734733197061141</v>
      </c>
      <c r="M133" s="194">
        <f t="shared" si="44"/>
        <v>11.114712793475764</v>
      </c>
      <c r="N133" s="194">
        <f t="shared" si="44"/>
        <v>12.281798685308685</v>
      </c>
      <c r="O133" s="194">
        <f t="shared" si="44"/>
        <v>13.850856181955368</v>
      </c>
      <c r="P133" s="194">
        <f t="shared" si="44"/>
        <v>18.309083422800175</v>
      </c>
      <c r="Q133" s="194">
        <f t="shared" si="44"/>
        <v>0</v>
      </c>
      <c r="R133" s="194">
        <f t="shared" si="44"/>
        <v>10.675153342093937</v>
      </c>
      <c r="S133" s="194">
        <f t="shared" si="44"/>
        <v>25.596787964683259</v>
      </c>
      <c r="T133" s="194">
        <f t="shared" si="44"/>
        <v>37.486338543208767</v>
      </c>
      <c r="U133" s="194">
        <f t="shared" si="44"/>
        <v>53.547712703532063</v>
      </c>
      <c r="V133" s="194">
        <f t="shared" si="44"/>
        <v>105.62875895356972</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25">
      <c r="E134" s="105"/>
      <c r="F134" t="s">
        <v>160</v>
      </c>
      <c r="G134" t="s">
        <v>271</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7.5098866865184171</v>
      </c>
      <c r="S134" s="194">
        <f t="shared" si="45"/>
        <v>7.5098866865184171</v>
      </c>
      <c r="T134" s="194">
        <f t="shared" si="45"/>
        <v>7.5098866865184171</v>
      </c>
      <c r="U134" s="194">
        <f t="shared" si="45"/>
        <v>7.5098866865184171</v>
      </c>
      <c r="V134" s="194">
        <f t="shared" si="45"/>
        <v>7.5098866865184171</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25">
      <c r="E135" s="105"/>
      <c r="F135" t="s">
        <v>161</v>
      </c>
      <c r="G135" t="s">
        <v>271</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7.5098866865184171</v>
      </c>
      <c r="S135" s="194">
        <f t="shared" si="46"/>
        <v>7.5098866865184171</v>
      </c>
      <c r="T135" s="194">
        <f t="shared" si="46"/>
        <v>7.5098866865184171</v>
      </c>
      <c r="U135" s="194">
        <f t="shared" si="46"/>
        <v>7.5098866865184171</v>
      </c>
      <c r="V135" s="194">
        <f t="shared" si="46"/>
        <v>7.5098866865184171</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25">
      <c r="E136" s="105"/>
      <c r="F136" s="96" t="s">
        <v>162</v>
      </c>
      <c r="G136" s="96" t="s">
        <v>272</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0.13349599792602893</v>
      </c>
      <c r="S136" s="348">
        <f t="shared" si="47"/>
        <v>0.13349599792602893</v>
      </c>
      <c r="T136" s="348">
        <f t="shared" si="47"/>
        <v>0.13349599792602893</v>
      </c>
      <c r="U136" s="348">
        <f t="shared" si="47"/>
        <v>0.13349599792602893</v>
      </c>
      <c r="V136" s="348">
        <f t="shared" si="47"/>
        <v>0.13349599792602893</v>
      </c>
      <c r="W136" s="276"/>
      <c r="X136" s="276"/>
      <c r="Y136" s="276"/>
      <c r="Z136" s="276"/>
      <c r="AA136" s="276"/>
      <c r="AB136" s="276"/>
      <c r="AC136" s="276"/>
      <c r="AD136" s="276"/>
      <c r="AE136" s="276"/>
      <c r="AF136" s="276"/>
      <c r="AG136" s="348">
        <f t="shared" si="47"/>
        <v>0</v>
      </c>
      <c r="AH136" s="348">
        <f t="shared" si="47"/>
        <v>0</v>
      </c>
      <c r="AI136" s="276"/>
      <c r="AJ136" s="348">
        <f t="shared" si="47"/>
        <v>0.26363615332089374</v>
      </c>
      <c r="AK136" s="276"/>
      <c r="AL136" s="276"/>
      <c r="AM136" s="276"/>
      <c r="AN136" s="276"/>
      <c r="AO136" s="276"/>
      <c r="AP136" s="268"/>
      <c r="AQ136" s="268"/>
    </row>
    <row r="137" spans="3:43" x14ac:dyDescent="0.2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E138" s="75" t="s">
        <v>844</v>
      </c>
      <c r="I138" t="s">
        <v>154</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849</v>
      </c>
    </row>
    <row r="139" spans="3:43" x14ac:dyDescent="0.25">
      <c r="C139" s="105"/>
      <c r="F139" s="95" t="s">
        <v>156</v>
      </c>
      <c r="G139" s="95" t="s">
        <v>269</v>
      </c>
      <c r="H139" s="278"/>
      <c r="I139" s="266"/>
      <c r="J139" s="283">
        <f t="shared" ref="J139:J145" si="48">J110 * (1 - J84) + J44</f>
        <v>9.3688410275987604</v>
      </c>
      <c r="K139" s="283">
        <f t="shared" ref="K139:AN139" si="49">K110 * (1 - K84) + K44</f>
        <v>9.3688410275987604</v>
      </c>
      <c r="L139" s="283">
        <f t="shared" si="49"/>
        <v>9.9658520097472234</v>
      </c>
      <c r="M139" s="283">
        <f t="shared" si="49"/>
        <v>9.9658520097472234</v>
      </c>
      <c r="N139" s="283">
        <f t="shared" si="49"/>
        <v>9.9658520097472234</v>
      </c>
      <c r="O139" s="283">
        <f t="shared" si="49"/>
        <v>9.9658520097472234</v>
      </c>
      <c r="P139" s="283">
        <f t="shared" si="49"/>
        <v>9.9658520097472234</v>
      </c>
      <c r="Q139" s="283">
        <f t="shared" si="49"/>
        <v>9.9658520097472234</v>
      </c>
      <c r="R139" s="283">
        <f t="shared" si="49"/>
        <v>6.1074677552520162</v>
      </c>
      <c r="S139" s="283">
        <f t="shared" si="49"/>
        <v>6.1074677552520162</v>
      </c>
      <c r="T139" s="283">
        <f t="shared" si="49"/>
        <v>6.1074677552520162</v>
      </c>
      <c r="U139" s="283">
        <f t="shared" si="49"/>
        <v>6.1074677552520162</v>
      </c>
      <c r="V139" s="283">
        <f t="shared" si="49"/>
        <v>6.1074677552520162</v>
      </c>
      <c r="W139" s="283">
        <f t="shared" si="49"/>
        <v>6.4584221159187329</v>
      </c>
      <c r="X139" s="283">
        <f t="shared" si="49"/>
        <v>6.4584221159187329</v>
      </c>
      <c r="Y139" s="283">
        <f t="shared" si="49"/>
        <v>6.4584221159187329</v>
      </c>
      <c r="Z139" s="283">
        <f t="shared" si="49"/>
        <v>6.4584221159187329</v>
      </c>
      <c r="AA139" s="283">
        <f t="shared" si="49"/>
        <v>6.4584221159187329</v>
      </c>
      <c r="AB139" s="283">
        <f t="shared" si="49"/>
        <v>5.9383662498723355</v>
      </c>
      <c r="AC139" s="283">
        <f t="shared" si="49"/>
        <v>5.9383662498723355</v>
      </c>
      <c r="AD139" s="283">
        <f t="shared" si="49"/>
        <v>5.9383662498723355</v>
      </c>
      <c r="AE139" s="283">
        <f t="shared" si="49"/>
        <v>5.9383662498723355</v>
      </c>
      <c r="AF139" s="283">
        <f t="shared" si="49"/>
        <v>5.9383662498723355</v>
      </c>
      <c r="AG139" s="283">
        <f t="shared" si="49"/>
        <v>28.101574497247437</v>
      </c>
      <c r="AH139" s="283">
        <f t="shared" si="49"/>
        <v>-14.503014192473726</v>
      </c>
      <c r="AI139" s="283">
        <f t="shared" si="49"/>
        <v>-12.444090350355333</v>
      </c>
      <c r="AJ139" s="283">
        <f t="shared" si="49"/>
        <v>-14.503014192473726</v>
      </c>
      <c r="AK139" s="280"/>
      <c r="AL139" s="283">
        <f t="shared" si="49"/>
        <v>-12.444090350355333</v>
      </c>
      <c r="AM139" s="280"/>
      <c r="AN139" s="283">
        <f t="shared" si="49"/>
        <v>-7.7863780978561934</v>
      </c>
      <c r="AO139" s="280"/>
      <c r="AP139" s="268"/>
      <c r="AQ139" s="268"/>
    </row>
    <row r="140" spans="3:43" x14ac:dyDescent="0.25">
      <c r="C140" s="105"/>
      <c r="F140" t="s">
        <v>157</v>
      </c>
      <c r="G140" t="s">
        <v>269</v>
      </c>
      <c r="H140" s="279"/>
      <c r="I140" s="268"/>
      <c r="J140" s="350">
        <f t="shared" si="48"/>
        <v>0.74699780568940999</v>
      </c>
      <c r="K140" s="350">
        <f t="shared" ref="K140:AN140" si="50">K111 * (1 - K85) + K45</f>
        <v>0.74699780568940999</v>
      </c>
      <c r="L140" s="350">
        <f t="shared" si="50"/>
        <v>0.79459877280195401</v>
      </c>
      <c r="M140" s="350">
        <f t="shared" si="50"/>
        <v>0.79459877280195401</v>
      </c>
      <c r="N140" s="350">
        <f t="shared" si="50"/>
        <v>0.79459877280195401</v>
      </c>
      <c r="O140" s="350">
        <f t="shared" si="50"/>
        <v>0.79459877280195401</v>
      </c>
      <c r="P140" s="350">
        <f t="shared" si="50"/>
        <v>0.79459877280195401</v>
      </c>
      <c r="Q140" s="350">
        <f t="shared" si="50"/>
        <v>0.79459877280195401</v>
      </c>
      <c r="R140" s="350">
        <f t="shared" si="50"/>
        <v>0.43837831744035571</v>
      </c>
      <c r="S140" s="350">
        <f t="shared" si="50"/>
        <v>0.43837831744035571</v>
      </c>
      <c r="T140" s="350">
        <f t="shared" si="50"/>
        <v>0.43837831744035571</v>
      </c>
      <c r="U140" s="350">
        <f t="shared" si="50"/>
        <v>0.43837831744035571</v>
      </c>
      <c r="V140" s="350">
        <f t="shared" si="50"/>
        <v>0.43837831744035571</v>
      </c>
      <c r="W140" s="350">
        <f t="shared" si="50"/>
        <v>0.3414374966918029</v>
      </c>
      <c r="X140" s="350">
        <f t="shared" si="50"/>
        <v>0.3414374966918029</v>
      </c>
      <c r="Y140" s="350">
        <f t="shared" si="50"/>
        <v>0.3414374966918029</v>
      </c>
      <c r="Z140" s="350">
        <f t="shared" si="50"/>
        <v>0.3414374966918029</v>
      </c>
      <c r="AA140" s="350">
        <f t="shared" si="50"/>
        <v>0.3414374966918029</v>
      </c>
      <c r="AB140" s="350">
        <f t="shared" si="50"/>
        <v>0.24774049973987475</v>
      </c>
      <c r="AC140" s="350">
        <f t="shared" si="50"/>
        <v>0.24774049973987475</v>
      </c>
      <c r="AD140" s="350">
        <f t="shared" si="50"/>
        <v>0.24774049973987475</v>
      </c>
      <c r="AE140" s="350">
        <f t="shared" si="50"/>
        <v>0.24774049973987475</v>
      </c>
      <c r="AF140" s="350">
        <f t="shared" si="50"/>
        <v>0.24774049973987475</v>
      </c>
      <c r="AG140" s="350">
        <f t="shared" si="50"/>
        <v>1.4565619284354838</v>
      </c>
      <c r="AH140" s="350">
        <f t="shared" si="50"/>
        <v>-1.15635645281484</v>
      </c>
      <c r="AI140" s="350">
        <f t="shared" si="50"/>
        <v>-0.93051409035444521</v>
      </c>
      <c r="AJ140" s="350">
        <f t="shared" si="50"/>
        <v>-1.15635645281484</v>
      </c>
      <c r="AK140" s="294"/>
      <c r="AL140" s="350">
        <f t="shared" si="50"/>
        <v>-0.93051409035444521</v>
      </c>
      <c r="AM140" s="294"/>
      <c r="AN140" s="350">
        <f t="shared" si="50"/>
        <v>-0.41164256505858809</v>
      </c>
      <c r="AO140" s="294"/>
      <c r="AP140" s="268"/>
      <c r="AQ140" s="268"/>
    </row>
    <row r="141" spans="3:43" x14ac:dyDescent="0.25">
      <c r="C141" s="105"/>
      <c r="F141" t="s">
        <v>158</v>
      </c>
      <c r="G141" t="s">
        <v>269</v>
      </c>
      <c r="H141" s="279"/>
      <c r="I141" s="268"/>
      <c r="J141" s="350">
        <f t="shared" si="48"/>
        <v>8.171691677005799E-2</v>
      </c>
      <c r="K141" s="350">
        <f t="shared" ref="K141:AN141" si="51">K112 * (1 - K86) + K46</f>
        <v>8.171691677005799E-2</v>
      </c>
      <c r="L141" s="350">
        <f t="shared" si="51"/>
        <v>8.6924166695136529E-2</v>
      </c>
      <c r="M141" s="350">
        <f t="shared" si="51"/>
        <v>8.6924166695136529E-2</v>
      </c>
      <c r="N141" s="350">
        <f t="shared" si="51"/>
        <v>8.6924166695136529E-2</v>
      </c>
      <c r="O141" s="350">
        <f t="shared" si="51"/>
        <v>8.6924166695136529E-2</v>
      </c>
      <c r="P141" s="350">
        <f t="shared" si="51"/>
        <v>8.6924166695136529E-2</v>
      </c>
      <c r="Q141" s="350">
        <f t="shared" si="51"/>
        <v>8.6924166695136529E-2</v>
      </c>
      <c r="R141" s="350">
        <f t="shared" si="51"/>
        <v>4.6977176874413266E-2</v>
      </c>
      <c r="S141" s="350">
        <f t="shared" si="51"/>
        <v>4.6977176874413266E-2</v>
      </c>
      <c r="T141" s="350">
        <f t="shared" si="51"/>
        <v>4.6977176874413266E-2</v>
      </c>
      <c r="U141" s="350">
        <f t="shared" si="51"/>
        <v>4.6977176874413266E-2</v>
      </c>
      <c r="V141" s="350">
        <f t="shared" si="51"/>
        <v>4.6977176874413266E-2</v>
      </c>
      <c r="W141" s="350">
        <f t="shared" si="51"/>
        <v>3.3855933833539104E-2</v>
      </c>
      <c r="X141" s="350">
        <f t="shared" si="51"/>
        <v>3.3855933833539104E-2</v>
      </c>
      <c r="Y141" s="350">
        <f t="shared" si="51"/>
        <v>3.3855933833539104E-2</v>
      </c>
      <c r="Z141" s="350">
        <f t="shared" si="51"/>
        <v>3.3855933833539104E-2</v>
      </c>
      <c r="AA141" s="350">
        <f t="shared" si="51"/>
        <v>3.3855933833539104E-2</v>
      </c>
      <c r="AB141" s="350">
        <f t="shared" si="51"/>
        <v>2.2553878602164859E-2</v>
      </c>
      <c r="AC141" s="350">
        <f t="shared" si="51"/>
        <v>2.2553878602164859E-2</v>
      </c>
      <c r="AD141" s="350">
        <f t="shared" si="51"/>
        <v>2.2553878602164859E-2</v>
      </c>
      <c r="AE141" s="350">
        <f t="shared" si="51"/>
        <v>2.2553878602164859E-2</v>
      </c>
      <c r="AF141" s="350">
        <f t="shared" si="51"/>
        <v>2.2553878602164859E-2</v>
      </c>
      <c r="AG141" s="350">
        <f t="shared" si="51"/>
        <v>0.63184915112544426</v>
      </c>
      <c r="AH141" s="350">
        <f t="shared" si="51"/>
        <v>-0.12649820828319655</v>
      </c>
      <c r="AI141" s="350">
        <f t="shared" si="51"/>
        <v>-0.10054994344094254</v>
      </c>
      <c r="AJ141" s="350">
        <f t="shared" si="51"/>
        <v>-0.12649820828319655</v>
      </c>
      <c r="AK141" s="294"/>
      <c r="AL141" s="350">
        <f t="shared" si="51"/>
        <v>-0.10054994344094254</v>
      </c>
      <c r="AM141" s="294"/>
      <c r="AN141" s="350">
        <f t="shared" si="51"/>
        <v>-4.0817261082111422E-2</v>
      </c>
      <c r="AO141" s="294"/>
      <c r="AP141" s="268"/>
      <c r="AQ141" s="268"/>
    </row>
    <row r="142" spans="3:43" x14ac:dyDescent="0.25">
      <c r="C142" s="105"/>
      <c r="F142" t="s">
        <v>159</v>
      </c>
      <c r="G142" t="s">
        <v>270</v>
      </c>
      <c r="H142" s="78"/>
      <c r="J142" s="194">
        <f t="shared" si="48"/>
        <v>5.1755923402844664</v>
      </c>
      <c r="K142" s="194">
        <f t="shared" ref="K142:AN142" si="52">K113 * (1 - K87) + K47</f>
        <v>0</v>
      </c>
      <c r="L142" s="194">
        <f t="shared" si="52"/>
        <v>7.1676163732572205</v>
      </c>
      <c r="M142" s="194">
        <f t="shared" si="52"/>
        <v>7.4213299893078508</v>
      </c>
      <c r="N142" s="194">
        <f t="shared" si="52"/>
        <v>8.2005970464145239</v>
      </c>
      <c r="O142" s="194">
        <f t="shared" si="52"/>
        <v>9.2482618553196669</v>
      </c>
      <c r="P142" s="194">
        <f t="shared" si="52"/>
        <v>12.225034727134396</v>
      </c>
      <c r="Q142" s="194">
        <f t="shared" si="52"/>
        <v>0</v>
      </c>
      <c r="R142" s="194">
        <f t="shared" si="52"/>
        <v>7.1278347097412489</v>
      </c>
      <c r="S142" s="194">
        <f t="shared" si="52"/>
        <v>17.091058822839241</v>
      </c>
      <c r="T142" s="194">
        <f t="shared" si="52"/>
        <v>25.029750528809167</v>
      </c>
      <c r="U142" s="194">
        <f t="shared" si="52"/>
        <v>35.753982449175915</v>
      </c>
      <c r="V142" s="194">
        <f t="shared" si="52"/>
        <v>70.528666922967432</v>
      </c>
      <c r="W142" s="194">
        <f t="shared" si="52"/>
        <v>9.310800400452214</v>
      </c>
      <c r="X142" s="194">
        <f t="shared" si="52"/>
        <v>25.983141866049859</v>
      </c>
      <c r="Y142" s="194">
        <f t="shared" si="52"/>
        <v>39.267654731522597</v>
      </c>
      <c r="Z142" s="194">
        <f t="shared" si="52"/>
        <v>57.213457666695206</v>
      </c>
      <c r="AA142" s="194">
        <f t="shared" si="52"/>
        <v>115.4050036285367</v>
      </c>
      <c r="AB142" s="194">
        <f t="shared" si="52"/>
        <v>102.29919391569535</v>
      </c>
      <c r="AC142" s="194">
        <f t="shared" si="52"/>
        <v>244.86058105081722</v>
      </c>
      <c r="AD142" s="194">
        <f t="shared" si="52"/>
        <v>430.58665335148891</v>
      </c>
      <c r="AE142" s="194">
        <f t="shared" si="52"/>
        <v>833.21969436051995</v>
      </c>
      <c r="AF142" s="194">
        <f t="shared" si="52"/>
        <v>1564.6961905541959</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25">
      <c r="C143" s="105"/>
      <c r="F143" t="s">
        <v>160</v>
      </c>
      <c r="G143" t="s">
        <v>271</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5.014375838454221</v>
      </c>
      <c r="S143" s="194">
        <f t="shared" si="53"/>
        <v>5.014375838454221</v>
      </c>
      <c r="T143" s="194">
        <f t="shared" si="53"/>
        <v>5.014375838454221</v>
      </c>
      <c r="U143" s="194">
        <f t="shared" si="53"/>
        <v>5.014375838454221</v>
      </c>
      <c r="V143" s="194">
        <f t="shared" si="53"/>
        <v>5.014375838454221</v>
      </c>
      <c r="W143" s="194">
        <f t="shared" si="53"/>
        <v>7.2161404593830003</v>
      </c>
      <c r="X143" s="194">
        <f t="shared" si="53"/>
        <v>7.2161404593830003</v>
      </c>
      <c r="Y143" s="194">
        <f t="shared" si="53"/>
        <v>7.2161404593830003</v>
      </c>
      <c r="Z143" s="194">
        <f t="shared" si="53"/>
        <v>7.2161404593830003</v>
      </c>
      <c r="AA143" s="194">
        <f t="shared" si="53"/>
        <v>7.2161404593830003</v>
      </c>
      <c r="AB143" s="194">
        <f t="shared" si="53"/>
        <v>8.2478149145934108</v>
      </c>
      <c r="AC143" s="194">
        <f t="shared" si="53"/>
        <v>8.2478149145934108</v>
      </c>
      <c r="AD143" s="194">
        <f t="shared" si="53"/>
        <v>8.2478149145934108</v>
      </c>
      <c r="AE143" s="194">
        <f t="shared" si="53"/>
        <v>8.2478149145934108</v>
      </c>
      <c r="AF143" s="194">
        <f t="shared" si="53"/>
        <v>8.2478149145934108</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25">
      <c r="C144" s="105"/>
      <c r="F144" t="s">
        <v>161</v>
      </c>
      <c r="G144" t="s">
        <v>271</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5.014375838454221</v>
      </c>
      <c r="S144" s="194">
        <f t="shared" si="54"/>
        <v>5.014375838454221</v>
      </c>
      <c r="T144" s="194">
        <f t="shared" si="54"/>
        <v>5.014375838454221</v>
      </c>
      <c r="U144" s="194">
        <f t="shared" si="54"/>
        <v>5.014375838454221</v>
      </c>
      <c r="V144" s="194">
        <f t="shared" si="54"/>
        <v>5.014375838454221</v>
      </c>
      <c r="W144" s="194">
        <f t="shared" si="54"/>
        <v>7.2161404593830003</v>
      </c>
      <c r="X144" s="194">
        <f t="shared" si="54"/>
        <v>7.2161404593830003</v>
      </c>
      <c r="Y144" s="194">
        <f t="shared" si="54"/>
        <v>7.2161404593830003</v>
      </c>
      <c r="Z144" s="194">
        <f t="shared" si="54"/>
        <v>7.2161404593830003</v>
      </c>
      <c r="AA144" s="194">
        <f t="shared" si="54"/>
        <v>7.2161404593830003</v>
      </c>
      <c r="AB144" s="194">
        <f t="shared" si="54"/>
        <v>8.2478149145934108</v>
      </c>
      <c r="AC144" s="194">
        <f t="shared" si="54"/>
        <v>8.2478149145934108</v>
      </c>
      <c r="AD144" s="194">
        <f t="shared" si="54"/>
        <v>8.2478149145934108</v>
      </c>
      <c r="AE144" s="194">
        <f t="shared" si="54"/>
        <v>8.2478149145934108</v>
      </c>
      <c r="AF144" s="194">
        <f t="shared" si="54"/>
        <v>8.2478149145934108</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25">
      <c r="C145" s="105"/>
      <c r="F145" s="96" t="s">
        <v>162</v>
      </c>
      <c r="G145" s="96" t="s">
        <v>272</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8.9135713290095953E-2</v>
      </c>
      <c r="S145" s="348">
        <f t="shared" si="55"/>
        <v>8.9135713290095953E-2</v>
      </c>
      <c r="T145" s="348">
        <f t="shared" si="55"/>
        <v>8.9135713290095953E-2</v>
      </c>
      <c r="U145" s="348">
        <f t="shared" si="55"/>
        <v>8.9135713290095953E-2</v>
      </c>
      <c r="V145" s="348">
        <f t="shared" si="55"/>
        <v>8.9135713290095953E-2</v>
      </c>
      <c r="W145" s="348">
        <f t="shared" si="55"/>
        <v>8.1171673863412758E-2</v>
      </c>
      <c r="X145" s="348">
        <f t="shared" si="55"/>
        <v>8.1171673863412758E-2</v>
      </c>
      <c r="Y145" s="348">
        <f t="shared" si="55"/>
        <v>8.1171673863412758E-2</v>
      </c>
      <c r="Z145" s="348">
        <f t="shared" si="55"/>
        <v>8.1171673863412758E-2</v>
      </c>
      <c r="AA145" s="348">
        <f t="shared" si="55"/>
        <v>8.1171673863412758E-2</v>
      </c>
      <c r="AB145" s="348">
        <f t="shared" si="55"/>
        <v>6.696441544539683E-2</v>
      </c>
      <c r="AC145" s="348">
        <f t="shared" si="55"/>
        <v>6.696441544539683E-2</v>
      </c>
      <c r="AD145" s="348">
        <f t="shared" si="55"/>
        <v>6.696441544539683E-2</v>
      </c>
      <c r="AE145" s="348">
        <f t="shared" si="55"/>
        <v>6.696441544539683E-2</v>
      </c>
      <c r="AF145" s="348">
        <f t="shared" si="55"/>
        <v>6.696441544539683E-2</v>
      </c>
      <c r="AG145" s="348">
        <f t="shared" si="55"/>
        <v>0</v>
      </c>
      <c r="AH145" s="348">
        <f t="shared" si="55"/>
        <v>0</v>
      </c>
      <c r="AI145" s="348">
        <f t="shared" si="55"/>
        <v>0</v>
      </c>
      <c r="AJ145" s="348">
        <f t="shared" si="55"/>
        <v>0.26363615332089374</v>
      </c>
      <c r="AK145" s="276"/>
      <c r="AL145" s="348">
        <f t="shared" si="55"/>
        <v>0.18939763111613869</v>
      </c>
      <c r="AM145" s="276"/>
      <c r="AN145" s="348">
        <f t="shared" si="55"/>
        <v>0.15857605975235456</v>
      </c>
      <c r="AO145" s="276"/>
      <c r="AP145" s="268"/>
      <c r="AQ145" s="268"/>
    </row>
    <row r="146" spans="1:43" x14ac:dyDescent="0.2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25">
      <c r="C147" s="93" t="str">
        <f ca="1">INDEX('Version control'!$H$41:$H$64,MATCH($A$1,'Version control'!$F$41:$F$64,0),1)&amp;"-H: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2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25">
      <c r="E149" s="75" t="s">
        <v>711</v>
      </c>
      <c r="F149" s="75"/>
      <c r="I149" t="s">
        <v>154</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155</v>
      </c>
    </row>
    <row r="150" spans="1:43" x14ac:dyDescent="0.25">
      <c r="E150" s="105"/>
      <c r="F150" s="95" t="s">
        <v>156</v>
      </c>
      <c r="G150" s="95" t="s">
        <v>269</v>
      </c>
      <c r="H150" s="278"/>
      <c r="I150" s="266"/>
      <c r="J150" s="346">
        <f t="shared" ref="J150" si="56">ROUND(J121, $H95)</f>
        <v>22.754000000000001</v>
      </c>
      <c r="K150" s="346">
        <f t="shared" ref="K150:AO150" si="57">ROUND(K121, $H95)</f>
        <v>22.754000000000001</v>
      </c>
      <c r="L150" s="346">
        <f t="shared" si="57"/>
        <v>24.204000000000001</v>
      </c>
      <c r="M150" s="346">
        <f t="shared" si="57"/>
        <v>24.204000000000001</v>
      </c>
      <c r="N150" s="346">
        <f t="shared" si="57"/>
        <v>24.204000000000001</v>
      </c>
      <c r="O150" s="346">
        <f t="shared" si="57"/>
        <v>24.204000000000001</v>
      </c>
      <c r="P150" s="346">
        <f t="shared" si="57"/>
        <v>24.204000000000001</v>
      </c>
      <c r="Q150" s="346">
        <f t="shared" si="57"/>
        <v>24.204000000000001</v>
      </c>
      <c r="R150" s="346">
        <f t="shared" si="57"/>
        <v>14.833</v>
      </c>
      <c r="S150" s="346">
        <f t="shared" si="57"/>
        <v>14.833</v>
      </c>
      <c r="T150" s="346">
        <f t="shared" si="57"/>
        <v>14.833</v>
      </c>
      <c r="U150" s="346">
        <f t="shared" si="57"/>
        <v>14.833</v>
      </c>
      <c r="V150" s="346">
        <f t="shared" si="57"/>
        <v>14.833</v>
      </c>
      <c r="W150" s="346">
        <f t="shared" si="57"/>
        <v>9.3740000000000006</v>
      </c>
      <c r="X150" s="346">
        <f t="shared" si="57"/>
        <v>9.3740000000000006</v>
      </c>
      <c r="Y150" s="346">
        <f t="shared" si="57"/>
        <v>9.3740000000000006</v>
      </c>
      <c r="Z150" s="346">
        <f t="shared" si="57"/>
        <v>9.3740000000000006</v>
      </c>
      <c r="AA150" s="346">
        <f t="shared" si="57"/>
        <v>9.3740000000000006</v>
      </c>
      <c r="AB150" s="346">
        <f t="shared" si="57"/>
        <v>7.242</v>
      </c>
      <c r="AC150" s="346">
        <f t="shared" si="57"/>
        <v>7.242</v>
      </c>
      <c r="AD150" s="346">
        <f t="shared" si="57"/>
        <v>7.242</v>
      </c>
      <c r="AE150" s="346">
        <f t="shared" si="57"/>
        <v>7.242</v>
      </c>
      <c r="AF150" s="346">
        <f t="shared" si="57"/>
        <v>7.242</v>
      </c>
      <c r="AG150" s="346">
        <f t="shared" si="57"/>
        <v>68.251000000000005</v>
      </c>
      <c r="AH150" s="346">
        <f t="shared" si="57"/>
        <v>-14.503</v>
      </c>
      <c r="AI150" s="346">
        <f t="shared" si="57"/>
        <v>-12.444000000000001</v>
      </c>
      <c r="AJ150" s="346">
        <f t="shared" si="57"/>
        <v>-14.503</v>
      </c>
      <c r="AK150" s="346">
        <f t="shared" si="57"/>
        <v>-14.503</v>
      </c>
      <c r="AL150" s="346">
        <f t="shared" si="57"/>
        <v>-12.444000000000001</v>
      </c>
      <c r="AM150" s="346">
        <f t="shared" si="57"/>
        <v>-12.444000000000001</v>
      </c>
      <c r="AN150" s="346">
        <f t="shared" si="57"/>
        <v>-7.7859999999999996</v>
      </c>
      <c r="AO150" s="346">
        <f t="shared" si="57"/>
        <v>-7.7859999999999996</v>
      </c>
      <c r="AP150" s="268"/>
      <c r="AQ150" s="268"/>
    </row>
    <row r="151" spans="1:43" x14ac:dyDescent="0.25">
      <c r="E151" s="105"/>
      <c r="F151" t="s">
        <v>157</v>
      </c>
      <c r="G151" t="s">
        <v>269</v>
      </c>
      <c r="H151" s="279"/>
      <c r="I151" s="268"/>
      <c r="J151" s="297">
        <f t="shared" ref="J151:J156" si="58">ROUND(J122, $H96)</f>
        <v>1.8140000000000001</v>
      </c>
      <c r="K151" s="297">
        <f t="shared" ref="K151:AO151" si="59">ROUND(K122, $H96)</f>
        <v>1.8140000000000001</v>
      </c>
      <c r="L151" s="297">
        <f t="shared" si="59"/>
        <v>1.93</v>
      </c>
      <c r="M151" s="297">
        <f t="shared" si="59"/>
        <v>1.93</v>
      </c>
      <c r="N151" s="297">
        <f t="shared" si="59"/>
        <v>1.93</v>
      </c>
      <c r="O151" s="297">
        <f t="shared" si="59"/>
        <v>1.93</v>
      </c>
      <c r="P151" s="297">
        <f t="shared" si="59"/>
        <v>1.93</v>
      </c>
      <c r="Q151" s="297">
        <f t="shared" si="59"/>
        <v>1.93</v>
      </c>
      <c r="R151" s="297">
        <f t="shared" si="59"/>
        <v>1.0649999999999999</v>
      </c>
      <c r="S151" s="297">
        <f t="shared" si="59"/>
        <v>1.0649999999999999</v>
      </c>
      <c r="T151" s="297">
        <f t="shared" si="59"/>
        <v>1.0649999999999999</v>
      </c>
      <c r="U151" s="297">
        <f t="shared" si="59"/>
        <v>1.0649999999999999</v>
      </c>
      <c r="V151" s="297">
        <f t="shared" si="59"/>
        <v>1.0649999999999999</v>
      </c>
      <c r="W151" s="297">
        <f t="shared" si="59"/>
        <v>0.496</v>
      </c>
      <c r="X151" s="297">
        <f t="shared" si="59"/>
        <v>0.496</v>
      </c>
      <c r="Y151" s="297">
        <f t="shared" si="59"/>
        <v>0.496</v>
      </c>
      <c r="Z151" s="297">
        <f t="shared" si="59"/>
        <v>0.496</v>
      </c>
      <c r="AA151" s="297">
        <f t="shared" si="59"/>
        <v>0.496</v>
      </c>
      <c r="AB151" s="297">
        <f t="shared" si="59"/>
        <v>0.30199999999999999</v>
      </c>
      <c r="AC151" s="297">
        <f t="shared" si="59"/>
        <v>0.30199999999999999</v>
      </c>
      <c r="AD151" s="297">
        <f t="shared" si="59"/>
        <v>0.30199999999999999</v>
      </c>
      <c r="AE151" s="297">
        <f t="shared" si="59"/>
        <v>0.30199999999999999</v>
      </c>
      <c r="AF151" s="297">
        <f t="shared" si="59"/>
        <v>0.30199999999999999</v>
      </c>
      <c r="AG151" s="297">
        <f t="shared" si="59"/>
        <v>3.5379999999999998</v>
      </c>
      <c r="AH151" s="297">
        <f t="shared" si="59"/>
        <v>-1.1559999999999999</v>
      </c>
      <c r="AI151" s="297">
        <f t="shared" si="59"/>
        <v>-0.93100000000000005</v>
      </c>
      <c r="AJ151" s="297">
        <f t="shared" si="59"/>
        <v>-1.1559999999999999</v>
      </c>
      <c r="AK151" s="297">
        <f t="shared" si="59"/>
        <v>-1.1559999999999999</v>
      </c>
      <c r="AL151" s="297">
        <f t="shared" si="59"/>
        <v>-0.93100000000000005</v>
      </c>
      <c r="AM151" s="297">
        <f t="shared" si="59"/>
        <v>-0.93100000000000005</v>
      </c>
      <c r="AN151" s="297">
        <f t="shared" si="59"/>
        <v>-0.41199999999999998</v>
      </c>
      <c r="AO151" s="297">
        <f t="shared" si="59"/>
        <v>-0.41199999999999998</v>
      </c>
      <c r="AP151" s="268"/>
      <c r="AQ151" s="268"/>
    </row>
    <row r="152" spans="1:43" x14ac:dyDescent="0.25">
      <c r="E152" s="105"/>
      <c r="F152" t="s">
        <v>158</v>
      </c>
      <c r="G152" t="s">
        <v>269</v>
      </c>
      <c r="H152" s="279"/>
      <c r="I152" s="268"/>
      <c r="J152" s="297">
        <f t="shared" si="58"/>
        <v>0.19800000000000001</v>
      </c>
      <c r="K152" s="297">
        <f t="shared" ref="K152:AO152" si="60">ROUND(K123, $H97)</f>
        <v>0.19800000000000001</v>
      </c>
      <c r="L152" s="297">
        <f t="shared" si="60"/>
        <v>0.21099999999999999</v>
      </c>
      <c r="M152" s="297">
        <f t="shared" si="60"/>
        <v>0.21099999999999999</v>
      </c>
      <c r="N152" s="297">
        <f t="shared" si="60"/>
        <v>0.21099999999999999</v>
      </c>
      <c r="O152" s="297">
        <f t="shared" si="60"/>
        <v>0.21099999999999999</v>
      </c>
      <c r="P152" s="297">
        <f t="shared" si="60"/>
        <v>0.21099999999999999</v>
      </c>
      <c r="Q152" s="297">
        <f t="shared" si="60"/>
        <v>0.21099999999999999</v>
      </c>
      <c r="R152" s="297">
        <f t="shared" si="60"/>
        <v>0.114</v>
      </c>
      <c r="S152" s="297">
        <f t="shared" si="60"/>
        <v>0.114</v>
      </c>
      <c r="T152" s="297">
        <f t="shared" si="60"/>
        <v>0.114</v>
      </c>
      <c r="U152" s="297">
        <f t="shared" si="60"/>
        <v>0.114</v>
      </c>
      <c r="V152" s="297">
        <f t="shared" si="60"/>
        <v>0.114</v>
      </c>
      <c r="W152" s="297">
        <f t="shared" si="60"/>
        <v>4.9000000000000002E-2</v>
      </c>
      <c r="X152" s="297">
        <f t="shared" si="60"/>
        <v>4.9000000000000002E-2</v>
      </c>
      <c r="Y152" s="297">
        <f t="shared" si="60"/>
        <v>4.9000000000000002E-2</v>
      </c>
      <c r="Z152" s="297">
        <f t="shared" si="60"/>
        <v>4.9000000000000002E-2</v>
      </c>
      <c r="AA152" s="297">
        <f t="shared" si="60"/>
        <v>4.9000000000000002E-2</v>
      </c>
      <c r="AB152" s="297">
        <f t="shared" si="60"/>
        <v>2.8000000000000001E-2</v>
      </c>
      <c r="AC152" s="297">
        <f t="shared" si="60"/>
        <v>2.8000000000000001E-2</v>
      </c>
      <c r="AD152" s="297">
        <f t="shared" si="60"/>
        <v>2.8000000000000001E-2</v>
      </c>
      <c r="AE152" s="297">
        <f t="shared" si="60"/>
        <v>2.8000000000000001E-2</v>
      </c>
      <c r="AF152" s="297">
        <f t="shared" si="60"/>
        <v>2.8000000000000001E-2</v>
      </c>
      <c r="AG152" s="297">
        <f t="shared" si="60"/>
        <v>1.5349999999999999</v>
      </c>
      <c r="AH152" s="297">
        <f t="shared" si="60"/>
        <v>-0.126</v>
      </c>
      <c r="AI152" s="297">
        <f t="shared" si="60"/>
        <v>-0.10100000000000001</v>
      </c>
      <c r="AJ152" s="297">
        <f t="shared" si="60"/>
        <v>-0.126</v>
      </c>
      <c r="AK152" s="297">
        <f t="shared" si="60"/>
        <v>-0.126</v>
      </c>
      <c r="AL152" s="297">
        <f t="shared" si="60"/>
        <v>-0.10100000000000001</v>
      </c>
      <c r="AM152" s="297">
        <f t="shared" si="60"/>
        <v>-0.10100000000000001</v>
      </c>
      <c r="AN152" s="297">
        <f t="shared" si="60"/>
        <v>-4.1000000000000002E-2</v>
      </c>
      <c r="AO152" s="297">
        <f t="shared" si="60"/>
        <v>-4.1000000000000002E-2</v>
      </c>
      <c r="AP152" s="268"/>
      <c r="AQ152" s="268"/>
    </row>
    <row r="153" spans="1:43" x14ac:dyDescent="0.25">
      <c r="E153" s="105"/>
      <c r="F153" t="s">
        <v>159</v>
      </c>
      <c r="G153" t="s">
        <v>270</v>
      </c>
      <c r="H153" s="78"/>
      <c r="J153" s="151">
        <f t="shared" si="58"/>
        <v>12.57</v>
      </c>
      <c r="K153" s="151">
        <f t="shared" ref="K153:AO153" si="61">ROUND(K124, $H98)</f>
        <v>0</v>
      </c>
      <c r="L153" s="151">
        <f t="shared" si="61"/>
        <v>17.41</v>
      </c>
      <c r="M153" s="151">
        <f t="shared" si="61"/>
        <v>18.02</v>
      </c>
      <c r="N153" s="151">
        <f t="shared" si="61"/>
        <v>19.920000000000002</v>
      </c>
      <c r="O153" s="151">
        <f t="shared" si="61"/>
        <v>22.46</v>
      </c>
      <c r="P153" s="151">
        <f t="shared" si="61"/>
        <v>29.69</v>
      </c>
      <c r="Q153" s="151">
        <f t="shared" si="61"/>
        <v>0</v>
      </c>
      <c r="R153" s="151">
        <f t="shared" si="61"/>
        <v>17.309999999999999</v>
      </c>
      <c r="S153" s="151">
        <f t="shared" si="61"/>
        <v>41.51</v>
      </c>
      <c r="T153" s="151">
        <f t="shared" si="61"/>
        <v>60.79</v>
      </c>
      <c r="U153" s="151">
        <f t="shared" si="61"/>
        <v>86.84</v>
      </c>
      <c r="V153" s="151">
        <f t="shared" si="61"/>
        <v>171.29</v>
      </c>
      <c r="W153" s="151">
        <f t="shared" si="61"/>
        <v>13.51</v>
      </c>
      <c r="X153" s="151">
        <f t="shared" si="61"/>
        <v>37.71</v>
      </c>
      <c r="Y153" s="151">
        <f t="shared" si="61"/>
        <v>56.99</v>
      </c>
      <c r="Z153" s="151">
        <f t="shared" si="61"/>
        <v>83.04</v>
      </c>
      <c r="AA153" s="151">
        <f t="shared" si="61"/>
        <v>167.5</v>
      </c>
      <c r="AB153" s="151">
        <f t="shared" si="61"/>
        <v>124.75</v>
      </c>
      <c r="AC153" s="151">
        <f t="shared" si="61"/>
        <v>298.61</v>
      </c>
      <c r="AD153" s="151">
        <f t="shared" si="61"/>
        <v>525.1</v>
      </c>
      <c r="AE153" s="151">
        <f t="shared" si="61"/>
        <v>1016.12</v>
      </c>
      <c r="AF153" s="151">
        <f t="shared" si="61"/>
        <v>1908.16</v>
      </c>
      <c r="AG153" s="151">
        <f t="shared" si="61"/>
        <v>0</v>
      </c>
      <c r="AH153" s="151">
        <f t="shared" si="61"/>
        <v>0</v>
      </c>
      <c r="AI153" s="151">
        <f t="shared" si="61"/>
        <v>0</v>
      </c>
      <c r="AJ153" s="151">
        <f t="shared" si="61"/>
        <v>0</v>
      </c>
      <c r="AK153" s="151">
        <f t="shared" si="61"/>
        <v>0</v>
      </c>
      <c r="AL153" s="151">
        <f t="shared" si="61"/>
        <v>0</v>
      </c>
      <c r="AM153" s="151">
        <f t="shared" si="61"/>
        <v>0</v>
      </c>
      <c r="AN153" s="151">
        <f t="shared" si="61"/>
        <v>78.08</v>
      </c>
      <c r="AO153" s="151">
        <f t="shared" si="61"/>
        <v>78.08</v>
      </c>
    </row>
    <row r="154" spans="1:43" x14ac:dyDescent="0.25">
      <c r="E154" s="105"/>
      <c r="F154" t="s">
        <v>160</v>
      </c>
      <c r="G154" t="s">
        <v>271</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12.18</v>
      </c>
      <c r="S154" s="151">
        <f t="shared" si="62"/>
        <v>12.18</v>
      </c>
      <c r="T154" s="151">
        <f t="shared" si="62"/>
        <v>12.18</v>
      </c>
      <c r="U154" s="151">
        <f t="shared" si="62"/>
        <v>12.18</v>
      </c>
      <c r="V154" s="151">
        <f t="shared" si="62"/>
        <v>12.18</v>
      </c>
      <c r="W154" s="151">
        <f t="shared" si="62"/>
        <v>10.47</v>
      </c>
      <c r="X154" s="151">
        <f t="shared" si="62"/>
        <v>10.47</v>
      </c>
      <c r="Y154" s="151">
        <f t="shared" si="62"/>
        <v>10.47</v>
      </c>
      <c r="Z154" s="151">
        <f t="shared" si="62"/>
        <v>10.47</v>
      </c>
      <c r="AA154" s="151">
        <f t="shared" si="62"/>
        <v>10.47</v>
      </c>
      <c r="AB154" s="151">
        <f t="shared" si="62"/>
        <v>10.06</v>
      </c>
      <c r="AC154" s="151">
        <f t="shared" si="62"/>
        <v>10.06</v>
      </c>
      <c r="AD154" s="151">
        <f t="shared" si="62"/>
        <v>10.06</v>
      </c>
      <c r="AE154" s="151">
        <f t="shared" si="62"/>
        <v>10.06</v>
      </c>
      <c r="AF154" s="151">
        <f t="shared" si="62"/>
        <v>10.06</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25">
      <c r="E155" s="105"/>
      <c r="F155" t="s">
        <v>161</v>
      </c>
      <c r="G155" t="s">
        <v>271</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12.18</v>
      </c>
      <c r="S155" s="151">
        <f t="shared" si="63"/>
        <v>12.18</v>
      </c>
      <c r="T155" s="151">
        <f t="shared" si="63"/>
        <v>12.18</v>
      </c>
      <c r="U155" s="151">
        <f t="shared" si="63"/>
        <v>12.18</v>
      </c>
      <c r="V155" s="151">
        <f t="shared" si="63"/>
        <v>12.18</v>
      </c>
      <c r="W155" s="151">
        <f t="shared" si="63"/>
        <v>10.47</v>
      </c>
      <c r="X155" s="151">
        <f t="shared" si="63"/>
        <v>10.47</v>
      </c>
      <c r="Y155" s="151">
        <f t="shared" si="63"/>
        <v>10.47</v>
      </c>
      <c r="Z155" s="151">
        <f t="shared" si="63"/>
        <v>10.47</v>
      </c>
      <c r="AA155" s="151">
        <f t="shared" si="63"/>
        <v>10.47</v>
      </c>
      <c r="AB155" s="151">
        <f t="shared" si="63"/>
        <v>10.06</v>
      </c>
      <c r="AC155" s="151">
        <f t="shared" si="63"/>
        <v>10.06</v>
      </c>
      <c r="AD155" s="151">
        <f t="shared" si="63"/>
        <v>10.06</v>
      </c>
      <c r="AE155" s="151">
        <f t="shared" si="63"/>
        <v>10.06</v>
      </c>
      <c r="AF155" s="151">
        <f t="shared" si="63"/>
        <v>10.06</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25">
      <c r="E156" s="105"/>
      <c r="F156" s="96" t="s">
        <v>162</v>
      </c>
      <c r="G156" s="96" t="s">
        <v>272</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0.216</v>
      </c>
      <c r="S156" s="285">
        <f t="shared" si="64"/>
        <v>0.216</v>
      </c>
      <c r="T156" s="285">
        <f t="shared" si="64"/>
        <v>0.216</v>
      </c>
      <c r="U156" s="285">
        <f t="shared" si="64"/>
        <v>0.216</v>
      </c>
      <c r="V156" s="285">
        <f t="shared" si="64"/>
        <v>0.216</v>
      </c>
      <c r="W156" s="285">
        <f t="shared" si="64"/>
        <v>0.11799999999999999</v>
      </c>
      <c r="X156" s="285">
        <f t="shared" si="64"/>
        <v>0.11799999999999999</v>
      </c>
      <c r="Y156" s="285">
        <f t="shared" si="64"/>
        <v>0.11799999999999999</v>
      </c>
      <c r="Z156" s="285">
        <f t="shared" si="64"/>
        <v>0.11799999999999999</v>
      </c>
      <c r="AA156" s="285">
        <f t="shared" si="64"/>
        <v>0.11799999999999999</v>
      </c>
      <c r="AB156" s="285">
        <f t="shared" si="64"/>
        <v>8.2000000000000003E-2</v>
      </c>
      <c r="AC156" s="285">
        <f t="shared" si="64"/>
        <v>8.2000000000000003E-2</v>
      </c>
      <c r="AD156" s="285">
        <f t="shared" si="64"/>
        <v>8.2000000000000003E-2</v>
      </c>
      <c r="AE156" s="285">
        <f t="shared" si="64"/>
        <v>8.2000000000000003E-2</v>
      </c>
      <c r="AF156" s="285">
        <f t="shared" si="64"/>
        <v>8.2000000000000003E-2</v>
      </c>
      <c r="AG156" s="285">
        <f t="shared" si="64"/>
        <v>0</v>
      </c>
      <c r="AH156" s="285">
        <f t="shared" si="64"/>
        <v>0</v>
      </c>
      <c r="AI156" s="285">
        <f t="shared" si="64"/>
        <v>0</v>
      </c>
      <c r="AJ156" s="285">
        <f t="shared" si="64"/>
        <v>0.26400000000000001</v>
      </c>
      <c r="AK156" s="285">
        <f t="shared" si="64"/>
        <v>0</v>
      </c>
      <c r="AL156" s="285">
        <f t="shared" si="64"/>
        <v>0.189</v>
      </c>
      <c r="AM156" s="285">
        <f t="shared" si="64"/>
        <v>0</v>
      </c>
      <c r="AN156" s="285">
        <f t="shared" si="64"/>
        <v>0.159</v>
      </c>
      <c r="AO156" s="285">
        <f t="shared" si="64"/>
        <v>0</v>
      </c>
      <c r="AP156" s="268"/>
      <c r="AQ156" s="268"/>
    </row>
    <row r="157" spans="1:43" x14ac:dyDescent="0.2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25">
      <c r="E158" s="75" t="s">
        <v>712</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155</v>
      </c>
    </row>
    <row r="159" spans="1:43" x14ac:dyDescent="0.25">
      <c r="E159" s="105"/>
      <c r="F159" s="95" t="s">
        <v>156</v>
      </c>
      <c r="G159" s="95" t="s">
        <v>269</v>
      </c>
      <c r="H159" s="278"/>
      <c r="I159" s="266"/>
      <c r="J159" s="346">
        <f>ROUND(J130, $H95)</f>
        <v>14.031000000000001</v>
      </c>
      <c r="K159" s="346">
        <f t="shared" ref="K159:AO159" si="65">ROUND(K130, $H95)</f>
        <v>14.031000000000001</v>
      </c>
      <c r="L159" s="346">
        <f t="shared" si="65"/>
        <v>14.926</v>
      </c>
      <c r="M159" s="346">
        <f t="shared" si="65"/>
        <v>14.926</v>
      </c>
      <c r="N159" s="346">
        <f t="shared" si="65"/>
        <v>14.926</v>
      </c>
      <c r="O159" s="346">
        <f t="shared" si="65"/>
        <v>14.926</v>
      </c>
      <c r="P159" s="346">
        <f t="shared" si="65"/>
        <v>14.926</v>
      </c>
      <c r="Q159" s="346">
        <f t="shared" si="65"/>
        <v>14.926</v>
      </c>
      <c r="R159" s="346">
        <f t="shared" si="65"/>
        <v>9.1470000000000002</v>
      </c>
      <c r="S159" s="346">
        <f t="shared" si="65"/>
        <v>9.1470000000000002</v>
      </c>
      <c r="T159" s="346">
        <f t="shared" si="65"/>
        <v>9.1470000000000002</v>
      </c>
      <c r="U159" s="346">
        <f t="shared" si="65"/>
        <v>9.1470000000000002</v>
      </c>
      <c r="V159" s="346">
        <f t="shared" si="65"/>
        <v>9.1470000000000002</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42.087000000000003</v>
      </c>
      <c r="AH159" s="346">
        <f t="shared" si="65"/>
        <v>-14.503</v>
      </c>
      <c r="AI159" s="280">
        <f t="shared" si="65"/>
        <v>0</v>
      </c>
      <c r="AJ159" s="346">
        <f t="shared" si="65"/>
        <v>-14.503</v>
      </c>
      <c r="AK159" s="280">
        <f t="shared" si="65"/>
        <v>0</v>
      </c>
      <c r="AL159" s="280">
        <f t="shared" si="65"/>
        <v>0</v>
      </c>
      <c r="AM159" s="280">
        <f t="shared" si="65"/>
        <v>0</v>
      </c>
      <c r="AN159" s="280">
        <f t="shared" si="65"/>
        <v>0</v>
      </c>
      <c r="AO159" s="280">
        <f t="shared" si="65"/>
        <v>0</v>
      </c>
      <c r="AP159" s="268"/>
      <c r="AQ159" s="268"/>
    </row>
    <row r="160" spans="1:43" x14ac:dyDescent="0.25">
      <c r="E160" s="105"/>
      <c r="F160" t="s">
        <v>157</v>
      </c>
      <c r="G160" t="s">
        <v>269</v>
      </c>
      <c r="H160" s="279"/>
      <c r="I160" s="268"/>
      <c r="J160" s="297">
        <f t="shared" ref="J160:J165" si="66">ROUND(J131, $H96)</f>
        <v>1.119</v>
      </c>
      <c r="K160" s="297">
        <f t="shared" ref="K160:AO160" si="67">ROUND(K131, $H96)</f>
        <v>1.119</v>
      </c>
      <c r="L160" s="297">
        <f t="shared" si="67"/>
        <v>1.19</v>
      </c>
      <c r="M160" s="297">
        <f t="shared" si="67"/>
        <v>1.19</v>
      </c>
      <c r="N160" s="297">
        <f t="shared" si="67"/>
        <v>1.19</v>
      </c>
      <c r="O160" s="297">
        <f t="shared" si="67"/>
        <v>1.19</v>
      </c>
      <c r="P160" s="297">
        <f t="shared" si="67"/>
        <v>1.19</v>
      </c>
      <c r="Q160" s="297">
        <f t="shared" si="67"/>
        <v>1.19</v>
      </c>
      <c r="R160" s="297">
        <f t="shared" si="67"/>
        <v>0.65700000000000003</v>
      </c>
      <c r="S160" s="297">
        <f t="shared" si="67"/>
        <v>0.65700000000000003</v>
      </c>
      <c r="T160" s="297">
        <f t="shared" si="67"/>
        <v>0.65700000000000003</v>
      </c>
      <c r="U160" s="297">
        <f t="shared" si="67"/>
        <v>0.65700000000000003</v>
      </c>
      <c r="V160" s="297">
        <f t="shared" si="67"/>
        <v>0.65700000000000003</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2.181</v>
      </c>
      <c r="AH160" s="297">
        <f t="shared" si="67"/>
        <v>-1.1559999999999999</v>
      </c>
      <c r="AI160" s="294">
        <f t="shared" si="67"/>
        <v>0</v>
      </c>
      <c r="AJ160" s="297">
        <f t="shared" si="67"/>
        <v>-1.1559999999999999</v>
      </c>
      <c r="AK160" s="294">
        <f t="shared" si="67"/>
        <v>0</v>
      </c>
      <c r="AL160" s="294">
        <f t="shared" si="67"/>
        <v>0</v>
      </c>
      <c r="AM160" s="294">
        <f t="shared" si="67"/>
        <v>0</v>
      </c>
      <c r="AN160" s="294">
        <f t="shared" si="67"/>
        <v>0</v>
      </c>
      <c r="AO160" s="294">
        <f t="shared" si="67"/>
        <v>0</v>
      </c>
      <c r="AP160" s="268"/>
      <c r="AQ160" s="268"/>
    </row>
    <row r="161" spans="2:43" x14ac:dyDescent="0.25">
      <c r="E161" s="105"/>
      <c r="F161" t="s">
        <v>158</v>
      </c>
      <c r="G161" t="s">
        <v>269</v>
      </c>
      <c r="H161" s="279"/>
      <c r="I161" s="268"/>
      <c r="J161" s="297">
        <f t="shared" si="66"/>
        <v>0.122</v>
      </c>
      <c r="K161" s="297">
        <f t="shared" ref="K161:AO161" si="68">ROUND(K132, $H97)</f>
        <v>0.122</v>
      </c>
      <c r="L161" s="297">
        <f t="shared" si="68"/>
        <v>0.13</v>
      </c>
      <c r="M161" s="297">
        <f t="shared" si="68"/>
        <v>0.13</v>
      </c>
      <c r="N161" s="297">
        <f t="shared" si="68"/>
        <v>0.13</v>
      </c>
      <c r="O161" s="297">
        <f t="shared" si="68"/>
        <v>0.13</v>
      </c>
      <c r="P161" s="297">
        <f t="shared" si="68"/>
        <v>0.13</v>
      </c>
      <c r="Q161" s="297">
        <f t="shared" si="68"/>
        <v>0.13</v>
      </c>
      <c r="R161" s="297">
        <f t="shared" si="68"/>
        <v>7.0000000000000007E-2</v>
      </c>
      <c r="S161" s="297">
        <f t="shared" si="68"/>
        <v>7.0000000000000007E-2</v>
      </c>
      <c r="T161" s="297">
        <f t="shared" si="68"/>
        <v>7.0000000000000007E-2</v>
      </c>
      <c r="U161" s="297">
        <f t="shared" si="68"/>
        <v>7.0000000000000007E-2</v>
      </c>
      <c r="V161" s="297">
        <f t="shared" si="68"/>
        <v>7.0000000000000007E-2</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0.94599999999999995</v>
      </c>
      <c r="AH161" s="297">
        <f t="shared" si="68"/>
        <v>-0.126</v>
      </c>
      <c r="AI161" s="294">
        <f t="shared" si="68"/>
        <v>0</v>
      </c>
      <c r="AJ161" s="297">
        <f t="shared" si="68"/>
        <v>-0.126</v>
      </c>
      <c r="AK161" s="294">
        <f t="shared" si="68"/>
        <v>0</v>
      </c>
      <c r="AL161" s="294">
        <f t="shared" si="68"/>
        <v>0</v>
      </c>
      <c r="AM161" s="294">
        <f t="shared" si="68"/>
        <v>0</v>
      </c>
      <c r="AN161" s="294">
        <f t="shared" si="68"/>
        <v>0</v>
      </c>
      <c r="AO161" s="294">
        <f t="shared" si="68"/>
        <v>0</v>
      </c>
      <c r="AP161" s="268"/>
      <c r="AQ161" s="268"/>
    </row>
    <row r="162" spans="2:43" x14ac:dyDescent="0.25">
      <c r="E162" s="105"/>
      <c r="F162" t="s">
        <v>159</v>
      </c>
      <c r="G162" t="s">
        <v>270</v>
      </c>
      <c r="H162" s="78"/>
      <c r="J162" s="151">
        <f t="shared" si="66"/>
        <v>7.75</v>
      </c>
      <c r="K162" s="151">
        <f t="shared" ref="K162:AO162" si="69">ROUND(K133, $H98)</f>
        <v>0</v>
      </c>
      <c r="L162" s="151">
        <f t="shared" si="69"/>
        <v>10.73</v>
      </c>
      <c r="M162" s="151">
        <f t="shared" si="69"/>
        <v>11.11</v>
      </c>
      <c r="N162" s="151">
        <f t="shared" si="69"/>
        <v>12.28</v>
      </c>
      <c r="O162" s="151">
        <f t="shared" si="69"/>
        <v>13.85</v>
      </c>
      <c r="P162" s="151">
        <f t="shared" si="69"/>
        <v>18.309999999999999</v>
      </c>
      <c r="Q162" s="151">
        <f t="shared" si="69"/>
        <v>0</v>
      </c>
      <c r="R162" s="151">
        <f t="shared" si="69"/>
        <v>10.68</v>
      </c>
      <c r="S162" s="151">
        <f t="shared" si="69"/>
        <v>25.6</v>
      </c>
      <c r="T162" s="151">
        <f t="shared" si="69"/>
        <v>37.49</v>
      </c>
      <c r="U162" s="151">
        <f t="shared" si="69"/>
        <v>53.55</v>
      </c>
      <c r="V162" s="151">
        <f t="shared" si="69"/>
        <v>105.63</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25">
      <c r="E163" s="105"/>
      <c r="F163" t="s">
        <v>160</v>
      </c>
      <c r="G163" t="s">
        <v>271</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7.51</v>
      </c>
      <c r="S163" s="151">
        <f t="shared" si="70"/>
        <v>7.51</v>
      </c>
      <c r="T163" s="151">
        <f t="shared" si="70"/>
        <v>7.51</v>
      </c>
      <c r="U163" s="151">
        <f t="shared" si="70"/>
        <v>7.51</v>
      </c>
      <c r="V163" s="151">
        <f t="shared" si="70"/>
        <v>7.51</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25">
      <c r="E164" s="105"/>
      <c r="F164" t="s">
        <v>161</v>
      </c>
      <c r="G164" t="s">
        <v>271</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7.51</v>
      </c>
      <c r="S164" s="151">
        <f t="shared" si="71"/>
        <v>7.51</v>
      </c>
      <c r="T164" s="151">
        <f t="shared" si="71"/>
        <v>7.51</v>
      </c>
      <c r="U164" s="151">
        <f t="shared" si="71"/>
        <v>7.51</v>
      </c>
      <c r="V164" s="151">
        <f t="shared" si="71"/>
        <v>7.51</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25">
      <c r="E165" s="105"/>
      <c r="F165" s="96" t="s">
        <v>162</v>
      </c>
      <c r="G165" s="96" t="s">
        <v>272</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0.13300000000000001</v>
      </c>
      <c r="S165" s="285">
        <f t="shared" si="72"/>
        <v>0.13300000000000001</v>
      </c>
      <c r="T165" s="285">
        <f t="shared" si="72"/>
        <v>0.13300000000000001</v>
      </c>
      <c r="U165" s="285">
        <f t="shared" si="72"/>
        <v>0.13300000000000001</v>
      </c>
      <c r="V165" s="285">
        <f t="shared" si="72"/>
        <v>0.13300000000000001</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0.26400000000000001</v>
      </c>
      <c r="AK165" s="276">
        <f t="shared" si="72"/>
        <v>0</v>
      </c>
      <c r="AL165" s="276">
        <f t="shared" si="72"/>
        <v>0</v>
      </c>
      <c r="AM165" s="276">
        <f t="shared" si="72"/>
        <v>0</v>
      </c>
      <c r="AN165" s="276">
        <f t="shared" si="72"/>
        <v>0</v>
      </c>
      <c r="AO165" s="276">
        <f t="shared" si="72"/>
        <v>0</v>
      </c>
      <c r="AP165" s="268"/>
      <c r="AQ165" s="268"/>
    </row>
    <row r="166" spans="2:43" x14ac:dyDescent="0.2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E167" s="75" t="s">
        <v>713</v>
      </c>
      <c r="I167" t="s">
        <v>154</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155</v>
      </c>
    </row>
    <row r="168" spans="2:43" x14ac:dyDescent="0.25">
      <c r="C168" s="105"/>
      <c r="F168" s="95" t="s">
        <v>156</v>
      </c>
      <c r="G168" s="95" t="s">
        <v>269</v>
      </c>
      <c r="H168" s="278"/>
      <c r="I168" s="266"/>
      <c r="J168" s="346">
        <f t="shared" ref="J168" si="73">ROUND( J139, $H95)</f>
        <v>9.3689999999999998</v>
      </c>
      <c r="K168" s="346">
        <f t="shared" ref="K168:AO168" si="74">ROUND( K139, $H95)</f>
        <v>9.3689999999999998</v>
      </c>
      <c r="L168" s="346">
        <f t="shared" si="74"/>
        <v>9.9659999999999993</v>
      </c>
      <c r="M168" s="346">
        <f t="shared" si="74"/>
        <v>9.9659999999999993</v>
      </c>
      <c r="N168" s="346">
        <f t="shared" si="74"/>
        <v>9.9659999999999993</v>
      </c>
      <c r="O168" s="346">
        <f t="shared" si="74"/>
        <v>9.9659999999999993</v>
      </c>
      <c r="P168" s="346">
        <f t="shared" si="74"/>
        <v>9.9659999999999993</v>
      </c>
      <c r="Q168" s="346">
        <f t="shared" si="74"/>
        <v>9.9659999999999993</v>
      </c>
      <c r="R168" s="346">
        <f t="shared" si="74"/>
        <v>6.1070000000000002</v>
      </c>
      <c r="S168" s="346">
        <f t="shared" si="74"/>
        <v>6.1070000000000002</v>
      </c>
      <c r="T168" s="346">
        <f t="shared" si="74"/>
        <v>6.1070000000000002</v>
      </c>
      <c r="U168" s="346">
        <f t="shared" si="74"/>
        <v>6.1070000000000002</v>
      </c>
      <c r="V168" s="346">
        <f t="shared" si="74"/>
        <v>6.1070000000000002</v>
      </c>
      <c r="W168" s="346">
        <f t="shared" si="74"/>
        <v>6.4580000000000002</v>
      </c>
      <c r="X168" s="346">
        <f t="shared" si="74"/>
        <v>6.4580000000000002</v>
      </c>
      <c r="Y168" s="346">
        <f t="shared" si="74"/>
        <v>6.4580000000000002</v>
      </c>
      <c r="Z168" s="346">
        <f t="shared" si="74"/>
        <v>6.4580000000000002</v>
      </c>
      <c r="AA168" s="346">
        <f t="shared" si="74"/>
        <v>6.4580000000000002</v>
      </c>
      <c r="AB168" s="346">
        <f t="shared" si="74"/>
        <v>5.9379999999999997</v>
      </c>
      <c r="AC168" s="346">
        <f t="shared" si="74"/>
        <v>5.9379999999999997</v>
      </c>
      <c r="AD168" s="346">
        <f t="shared" si="74"/>
        <v>5.9379999999999997</v>
      </c>
      <c r="AE168" s="346">
        <f t="shared" si="74"/>
        <v>5.9379999999999997</v>
      </c>
      <c r="AF168" s="346">
        <f t="shared" si="74"/>
        <v>5.9379999999999997</v>
      </c>
      <c r="AG168" s="346">
        <f t="shared" si="74"/>
        <v>28.102</v>
      </c>
      <c r="AH168" s="346">
        <f t="shared" si="74"/>
        <v>-14.503</v>
      </c>
      <c r="AI168" s="346">
        <f t="shared" si="74"/>
        <v>-12.444000000000001</v>
      </c>
      <c r="AJ168" s="346">
        <f t="shared" si="74"/>
        <v>-14.503</v>
      </c>
      <c r="AK168" s="280">
        <f t="shared" si="74"/>
        <v>0</v>
      </c>
      <c r="AL168" s="346">
        <f t="shared" si="74"/>
        <v>-12.444000000000001</v>
      </c>
      <c r="AM168" s="280">
        <f t="shared" si="74"/>
        <v>0</v>
      </c>
      <c r="AN168" s="346">
        <f t="shared" si="74"/>
        <v>-7.7859999999999996</v>
      </c>
      <c r="AO168" s="280">
        <f t="shared" si="74"/>
        <v>0</v>
      </c>
      <c r="AP168" s="268"/>
      <c r="AQ168" s="268"/>
    </row>
    <row r="169" spans="2:43" x14ac:dyDescent="0.25">
      <c r="C169" s="105"/>
      <c r="F169" t="s">
        <v>157</v>
      </c>
      <c r="G169" t="s">
        <v>269</v>
      </c>
      <c r="H169" s="279"/>
      <c r="I169" s="268"/>
      <c r="J169" s="297">
        <f t="shared" ref="J169:J174" si="75">ROUND( J140, $H96)</f>
        <v>0.747</v>
      </c>
      <c r="K169" s="297">
        <f t="shared" ref="K169:AO169" si="76">ROUND( K140, $H96)</f>
        <v>0.747</v>
      </c>
      <c r="L169" s="297">
        <f t="shared" si="76"/>
        <v>0.79500000000000004</v>
      </c>
      <c r="M169" s="297">
        <f t="shared" si="76"/>
        <v>0.79500000000000004</v>
      </c>
      <c r="N169" s="297">
        <f t="shared" si="76"/>
        <v>0.79500000000000004</v>
      </c>
      <c r="O169" s="297">
        <f t="shared" si="76"/>
        <v>0.79500000000000004</v>
      </c>
      <c r="P169" s="297">
        <f t="shared" si="76"/>
        <v>0.79500000000000004</v>
      </c>
      <c r="Q169" s="297">
        <f t="shared" si="76"/>
        <v>0.79500000000000004</v>
      </c>
      <c r="R169" s="297">
        <f t="shared" si="76"/>
        <v>0.438</v>
      </c>
      <c r="S169" s="297">
        <f t="shared" si="76"/>
        <v>0.438</v>
      </c>
      <c r="T169" s="297">
        <f t="shared" si="76"/>
        <v>0.438</v>
      </c>
      <c r="U169" s="297">
        <f t="shared" si="76"/>
        <v>0.438</v>
      </c>
      <c r="V169" s="297">
        <f t="shared" si="76"/>
        <v>0.438</v>
      </c>
      <c r="W169" s="297">
        <f t="shared" si="76"/>
        <v>0.34100000000000003</v>
      </c>
      <c r="X169" s="297">
        <f t="shared" si="76"/>
        <v>0.34100000000000003</v>
      </c>
      <c r="Y169" s="297">
        <f t="shared" si="76"/>
        <v>0.34100000000000003</v>
      </c>
      <c r="Z169" s="297">
        <f t="shared" si="76"/>
        <v>0.34100000000000003</v>
      </c>
      <c r="AA169" s="297">
        <f t="shared" si="76"/>
        <v>0.34100000000000003</v>
      </c>
      <c r="AB169" s="297">
        <f t="shared" si="76"/>
        <v>0.248</v>
      </c>
      <c r="AC169" s="297">
        <f t="shared" si="76"/>
        <v>0.248</v>
      </c>
      <c r="AD169" s="297">
        <f t="shared" si="76"/>
        <v>0.248</v>
      </c>
      <c r="AE169" s="297">
        <f t="shared" si="76"/>
        <v>0.248</v>
      </c>
      <c r="AF169" s="297">
        <f t="shared" si="76"/>
        <v>0.248</v>
      </c>
      <c r="AG169" s="297">
        <f t="shared" si="76"/>
        <v>1.4570000000000001</v>
      </c>
      <c r="AH169" s="297">
        <f t="shared" si="76"/>
        <v>-1.1559999999999999</v>
      </c>
      <c r="AI169" s="297">
        <f t="shared" si="76"/>
        <v>-0.93100000000000005</v>
      </c>
      <c r="AJ169" s="297">
        <f t="shared" si="76"/>
        <v>-1.1559999999999999</v>
      </c>
      <c r="AK169" s="294">
        <f t="shared" si="76"/>
        <v>0</v>
      </c>
      <c r="AL169" s="297">
        <f t="shared" si="76"/>
        <v>-0.93100000000000005</v>
      </c>
      <c r="AM169" s="294">
        <f t="shared" si="76"/>
        <v>0</v>
      </c>
      <c r="AN169" s="297">
        <f t="shared" si="76"/>
        <v>-0.41199999999999998</v>
      </c>
      <c r="AO169" s="294">
        <f t="shared" si="76"/>
        <v>0</v>
      </c>
      <c r="AP169" s="268"/>
      <c r="AQ169" s="268"/>
    </row>
    <row r="170" spans="2:43" x14ac:dyDescent="0.25">
      <c r="C170" s="105"/>
      <c r="F170" t="s">
        <v>158</v>
      </c>
      <c r="G170" t="s">
        <v>269</v>
      </c>
      <c r="H170" s="279"/>
      <c r="I170" s="268"/>
      <c r="J170" s="297">
        <f t="shared" si="75"/>
        <v>8.2000000000000003E-2</v>
      </c>
      <c r="K170" s="297">
        <f t="shared" ref="K170:AO170" si="77">ROUND( K141, $H97)</f>
        <v>8.2000000000000003E-2</v>
      </c>
      <c r="L170" s="297">
        <f t="shared" si="77"/>
        <v>8.6999999999999994E-2</v>
      </c>
      <c r="M170" s="297">
        <f t="shared" si="77"/>
        <v>8.6999999999999994E-2</v>
      </c>
      <c r="N170" s="297">
        <f t="shared" si="77"/>
        <v>8.6999999999999994E-2</v>
      </c>
      <c r="O170" s="297">
        <f t="shared" si="77"/>
        <v>8.6999999999999994E-2</v>
      </c>
      <c r="P170" s="297">
        <f t="shared" si="77"/>
        <v>8.6999999999999994E-2</v>
      </c>
      <c r="Q170" s="297">
        <f t="shared" si="77"/>
        <v>8.6999999999999994E-2</v>
      </c>
      <c r="R170" s="297">
        <f t="shared" si="77"/>
        <v>4.7E-2</v>
      </c>
      <c r="S170" s="297">
        <f t="shared" si="77"/>
        <v>4.7E-2</v>
      </c>
      <c r="T170" s="297">
        <f t="shared" si="77"/>
        <v>4.7E-2</v>
      </c>
      <c r="U170" s="297">
        <f t="shared" si="77"/>
        <v>4.7E-2</v>
      </c>
      <c r="V170" s="297">
        <f t="shared" si="77"/>
        <v>4.7E-2</v>
      </c>
      <c r="W170" s="297">
        <f t="shared" si="77"/>
        <v>3.4000000000000002E-2</v>
      </c>
      <c r="X170" s="297">
        <f t="shared" si="77"/>
        <v>3.4000000000000002E-2</v>
      </c>
      <c r="Y170" s="297">
        <f t="shared" si="77"/>
        <v>3.4000000000000002E-2</v>
      </c>
      <c r="Z170" s="297">
        <f t="shared" si="77"/>
        <v>3.4000000000000002E-2</v>
      </c>
      <c r="AA170" s="297">
        <f t="shared" si="77"/>
        <v>3.4000000000000002E-2</v>
      </c>
      <c r="AB170" s="297">
        <f t="shared" si="77"/>
        <v>2.3E-2</v>
      </c>
      <c r="AC170" s="297">
        <f t="shared" si="77"/>
        <v>2.3E-2</v>
      </c>
      <c r="AD170" s="297">
        <f t="shared" si="77"/>
        <v>2.3E-2</v>
      </c>
      <c r="AE170" s="297">
        <f t="shared" si="77"/>
        <v>2.3E-2</v>
      </c>
      <c r="AF170" s="297">
        <f t="shared" si="77"/>
        <v>2.3E-2</v>
      </c>
      <c r="AG170" s="297">
        <f t="shared" si="77"/>
        <v>0.63200000000000001</v>
      </c>
      <c r="AH170" s="297">
        <f t="shared" si="77"/>
        <v>-0.126</v>
      </c>
      <c r="AI170" s="297">
        <f t="shared" si="77"/>
        <v>-0.10100000000000001</v>
      </c>
      <c r="AJ170" s="297">
        <f t="shared" si="77"/>
        <v>-0.126</v>
      </c>
      <c r="AK170" s="294">
        <f t="shared" si="77"/>
        <v>0</v>
      </c>
      <c r="AL170" s="297">
        <f t="shared" si="77"/>
        <v>-0.10100000000000001</v>
      </c>
      <c r="AM170" s="294">
        <f t="shared" si="77"/>
        <v>0</v>
      </c>
      <c r="AN170" s="297">
        <f t="shared" si="77"/>
        <v>-4.1000000000000002E-2</v>
      </c>
      <c r="AO170" s="294">
        <f t="shared" si="77"/>
        <v>0</v>
      </c>
      <c r="AP170" s="268"/>
      <c r="AQ170" s="268"/>
    </row>
    <row r="171" spans="2:43" x14ac:dyDescent="0.25">
      <c r="C171" s="105"/>
      <c r="F171" t="s">
        <v>159</v>
      </c>
      <c r="G171" t="s">
        <v>270</v>
      </c>
      <c r="H171" s="78"/>
      <c r="J171" s="151">
        <f t="shared" si="75"/>
        <v>5.18</v>
      </c>
      <c r="K171" s="151">
        <f t="shared" ref="K171:AO171" si="78">ROUND( K142, $H98)</f>
        <v>0</v>
      </c>
      <c r="L171" s="151">
        <f t="shared" si="78"/>
        <v>7.17</v>
      </c>
      <c r="M171" s="151">
        <f t="shared" si="78"/>
        <v>7.42</v>
      </c>
      <c r="N171" s="151">
        <f t="shared" si="78"/>
        <v>8.1999999999999993</v>
      </c>
      <c r="O171" s="151">
        <f t="shared" si="78"/>
        <v>9.25</v>
      </c>
      <c r="P171" s="151">
        <f t="shared" si="78"/>
        <v>12.23</v>
      </c>
      <c r="Q171" s="151">
        <f t="shared" si="78"/>
        <v>0</v>
      </c>
      <c r="R171" s="151">
        <f t="shared" si="78"/>
        <v>7.13</v>
      </c>
      <c r="S171" s="151">
        <f t="shared" si="78"/>
        <v>17.09</v>
      </c>
      <c r="T171" s="151">
        <f t="shared" si="78"/>
        <v>25.03</v>
      </c>
      <c r="U171" s="151">
        <f t="shared" si="78"/>
        <v>35.75</v>
      </c>
      <c r="V171" s="151">
        <f t="shared" si="78"/>
        <v>70.53</v>
      </c>
      <c r="W171" s="151">
        <f t="shared" si="78"/>
        <v>9.31</v>
      </c>
      <c r="X171" s="151">
        <f t="shared" si="78"/>
        <v>25.98</v>
      </c>
      <c r="Y171" s="151">
        <f t="shared" si="78"/>
        <v>39.270000000000003</v>
      </c>
      <c r="Z171" s="151">
        <f t="shared" si="78"/>
        <v>57.21</v>
      </c>
      <c r="AA171" s="151">
        <f t="shared" si="78"/>
        <v>115.41</v>
      </c>
      <c r="AB171" s="151">
        <f t="shared" si="78"/>
        <v>102.3</v>
      </c>
      <c r="AC171" s="151">
        <f t="shared" si="78"/>
        <v>244.86</v>
      </c>
      <c r="AD171" s="151">
        <f t="shared" si="78"/>
        <v>430.59</v>
      </c>
      <c r="AE171" s="151">
        <f t="shared" si="78"/>
        <v>833.22</v>
      </c>
      <c r="AF171" s="151">
        <f t="shared" si="78"/>
        <v>1564.7</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25">
      <c r="C172" s="105"/>
      <c r="F172" t="s">
        <v>160</v>
      </c>
      <c r="G172" t="s">
        <v>271</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5.01</v>
      </c>
      <c r="S172" s="151">
        <f t="shared" si="79"/>
        <v>5.01</v>
      </c>
      <c r="T172" s="151">
        <f t="shared" si="79"/>
        <v>5.01</v>
      </c>
      <c r="U172" s="151">
        <f t="shared" si="79"/>
        <v>5.01</v>
      </c>
      <c r="V172" s="151">
        <f t="shared" si="79"/>
        <v>5.01</v>
      </c>
      <c r="W172" s="151">
        <f t="shared" si="79"/>
        <v>7.22</v>
      </c>
      <c r="X172" s="151">
        <f t="shared" si="79"/>
        <v>7.22</v>
      </c>
      <c r="Y172" s="151">
        <f t="shared" si="79"/>
        <v>7.22</v>
      </c>
      <c r="Z172" s="151">
        <f t="shared" si="79"/>
        <v>7.22</v>
      </c>
      <c r="AA172" s="151">
        <f t="shared" si="79"/>
        <v>7.22</v>
      </c>
      <c r="AB172" s="151">
        <f t="shared" si="79"/>
        <v>8.25</v>
      </c>
      <c r="AC172" s="151">
        <f t="shared" si="79"/>
        <v>8.25</v>
      </c>
      <c r="AD172" s="151">
        <f t="shared" si="79"/>
        <v>8.25</v>
      </c>
      <c r="AE172" s="151">
        <f t="shared" si="79"/>
        <v>8.25</v>
      </c>
      <c r="AF172" s="151">
        <f t="shared" si="79"/>
        <v>8.25</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25">
      <c r="C173" s="105"/>
      <c r="F173" t="s">
        <v>161</v>
      </c>
      <c r="G173" t="s">
        <v>271</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5.01</v>
      </c>
      <c r="S173" s="151">
        <f t="shared" si="80"/>
        <v>5.01</v>
      </c>
      <c r="T173" s="151">
        <f t="shared" si="80"/>
        <v>5.01</v>
      </c>
      <c r="U173" s="151">
        <f t="shared" si="80"/>
        <v>5.01</v>
      </c>
      <c r="V173" s="151">
        <f t="shared" si="80"/>
        <v>5.01</v>
      </c>
      <c r="W173" s="151">
        <f t="shared" si="80"/>
        <v>7.22</v>
      </c>
      <c r="X173" s="151">
        <f t="shared" si="80"/>
        <v>7.22</v>
      </c>
      <c r="Y173" s="151">
        <f t="shared" si="80"/>
        <v>7.22</v>
      </c>
      <c r="Z173" s="151">
        <f t="shared" si="80"/>
        <v>7.22</v>
      </c>
      <c r="AA173" s="151">
        <f t="shared" si="80"/>
        <v>7.22</v>
      </c>
      <c r="AB173" s="151">
        <f t="shared" si="80"/>
        <v>8.25</v>
      </c>
      <c r="AC173" s="151">
        <f t="shared" si="80"/>
        <v>8.25</v>
      </c>
      <c r="AD173" s="151">
        <f t="shared" si="80"/>
        <v>8.25</v>
      </c>
      <c r="AE173" s="151">
        <f t="shared" si="80"/>
        <v>8.25</v>
      </c>
      <c r="AF173" s="151">
        <f t="shared" si="80"/>
        <v>8.25</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25">
      <c r="C174" s="105"/>
      <c r="F174" s="96" t="s">
        <v>162</v>
      </c>
      <c r="G174" s="96" t="s">
        <v>272</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8.8999999999999996E-2</v>
      </c>
      <c r="S174" s="285">
        <f t="shared" si="81"/>
        <v>8.8999999999999996E-2</v>
      </c>
      <c r="T174" s="285">
        <f t="shared" si="81"/>
        <v>8.8999999999999996E-2</v>
      </c>
      <c r="U174" s="285">
        <f t="shared" si="81"/>
        <v>8.8999999999999996E-2</v>
      </c>
      <c r="V174" s="285">
        <f t="shared" si="81"/>
        <v>8.8999999999999996E-2</v>
      </c>
      <c r="W174" s="285">
        <f t="shared" si="81"/>
        <v>8.1000000000000003E-2</v>
      </c>
      <c r="X174" s="285">
        <f t="shared" si="81"/>
        <v>8.1000000000000003E-2</v>
      </c>
      <c r="Y174" s="285">
        <f t="shared" si="81"/>
        <v>8.1000000000000003E-2</v>
      </c>
      <c r="Z174" s="285">
        <f t="shared" si="81"/>
        <v>8.1000000000000003E-2</v>
      </c>
      <c r="AA174" s="285">
        <f t="shared" si="81"/>
        <v>8.1000000000000003E-2</v>
      </c>
      <c r="AB174" s="285">
        <f t="shared" si="81"/>
        <v>6.7000000000000004E-2</v>
      </c>
      <c r="AC174" s="285">
        <f t="shared" si="81"/>
        <v>6.7000000000000004E-2</v>
      </c>
      <c r="AD174" s="285">
        <f t="shared" si="81"/>
        <v>6.7000000000000004E-2</v>
      </c>
      <c r="AE174" s="285">
        <f t="shared" si="81"/>
        <v>6.7000000000000004E-2</v>
      </c>
      <c r="AF174" s="285">
        <f t="shared" si="81"/>
        <v>6.7000000000000004E-2</v>
      </c>
      <c r="AG174" s="285">
        <f t="shared" si="81"/>
        <v>0</v>
      </c>
      <c r="AH174" s="285">
        <f t="shared" si="81"/>
        <v>0</v>
      </c>
      <c r="AI174" s="285">
        <f t="shared" si="81"/>
        <v>0</v>
      </c>
      <c r="AJ174" s="285">
        <f t="shared" si="81"/>
        <v>0.26400000000000001</v>
      </c>
      <c r="AK174" s="276">
        <f t="shared" si="81"/>
        <v>0</v>
      </c>
      <c r="AL174" s="285">
        <f t="shared" si="81"/>
        <v>0.189</v>
      </c>
      <c r="AM174" s="276">
        <f t="shared" si="81"/>
        <v>0</v>
      </c>
      <c r="AN174" s="285">
        <f t="shared" si="81"/>
        <v>0.159</v>
      </c>
      <c r="AO174" s="276">
        <f t="shared" si="81"/>
        <v>0</v>
      </c>
      <c r="AP174" s="268"/>
      <c r="AQ174" s="268"/>
    </row>
    <row r="175" spans="2:43" x14ac:dyDescent="0.25">
      <c r="C175" s="105"/>
    </row>
    <row r="176" spans="2:43" x14ac:dyDescent="0.25">
      <c r="B176" s="85" t="s">
        <v>231</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25">
      <c r="E178" t="s">
        <v>232</v>
      </c>
      <c r="G178" s="6" t="s">
        <v>56</v>
      </c>
      <c r="H178" s="113">
        <f t="array" ref="H178">SUM(IF(ISERROR(H20:AO174), 1))</f>
        <v>0</v>
      </c>
    </row>
    <row r="180" spans="2:43" x14ac:dyDescent="0.25">
      <c r="B180" s="85" t="s">
        <v>107</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H211 &amp; IF(H211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714</v>
      </c>
    </row>
    <row r="10" spans="1:43" x14ac:dyDescent="0.25">
      <c r="C10" s="94"/>
    </row>
    <row r="11" spans="1:43" x14ac:dyDescent="0.25">
      <c r="B11" s="85" t="s">
        <v>715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2"/>
      <c r="E12" s="2"/>
    </row>
    <row r="13" spans="1:43" x14ac:dyDescent="0.25">
      <c r="C13" s="93" t="str">
        <f ca="1">INDEX('Version control'!$H$41:$H$64,MATCH($A$1,'Version control'!$F$41:$F$64,0),1)&amp;"-A: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25">
      <c r="D14" s="75"/>
    </row>
    <row r="15" spans="1:43" x14ac:dyDescent="0.25">
      <c r="C15" s="78"/>
      <c r="D15" s="78"/>
      <c r="E15" s="347" t="s">
        <v>953</v>
      </c>
      <c r="G15" s="347" t="s">
        <v>149</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25">
      <c r="E16" s="94"/>
      <c r="G16" s="94"/>
    </row>
    <row r="17" spans="3:43" x14ac:dyDescent="0.25">
      <c r="C17" s="78"/>
      <c r="D17" s="78"/>
      <c r="E17" s="347" t="s">
        <v>887</v>
      </c>
      <c r="G17" s="347" t="s">
        <v>149</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25">
      <c r="D18" s="75"/>
    </row>
    <row r="19" spans="3:43" x14ac:dyDescent="0.25">
      <c r="E19" s="75" t="s">
        <v>245</v>
      </c>
      <c r="I19" t="s">
        <v>154</v>
      </c>
      <c r="AQ19" t="s">
        <v>246</v>
      </c>
    </row>
    <row r="20" spans="3:43" x14ac:dyDescent="0.25">
      <c r="E20" s="75"/>
      <c r="F20" s="86" t="s">
        <v>982</v>
      </c>
    </row>
    <row r="21" spans="3:43" x14ac:dyDescent="0.25">
      <c r="E21" s="75"/>
      <c r="F21" s="86" t="s">
        <v>978</v>
      </c>
    </row>
    <row r="22" spans="3:43" x14ac:dyDescent="0.25">
      <c r="F22" s="116" t="s">
        <v>247</v>
      </c>
      <c r="G22" s="116" t="s">
        <v>207</v>
      </c>
      <c r="H22" s="8">
        <v>0</v>
      </c>
      <c r="I22" s="95"/>
      <c r="J22" s="260">
        <f>INDEX('Volume adjustments'!$J$527:$Y$567,J$17 + 1 + $H22*$H$28, J$15)</f>
        <v>414037.19304487581</v>
      </c>
      <c r="K22" s="260">
        <f>INDEX('Volume adjustments'!$J$527:$Y$567,K$17 + 1 + $H22*$H$28, K$15)</f>
        <v>42.949716657044405</v>
      </c>
      <c r="L22" s="260">
        <f>INDEX('Volume adjustments'!$J$527:$Y$567,L$17 + 1 + $H22*$H$28, L$15)</f>
        <v>51.394728769453245</v>
      </c>
      <c r="M22" s="260">
        <f>INDEX('Volume adjustments'!$J$527:$Y$567,M$17 + 1 + $H22*$H$28, M$15)</f>
        <v>8842.1747639928744</v>
      </c>
      <c r="N22" s="260">
        <f>INDEX('Volume adjustments'!$J$527:$Y$567,N$17 + 1 + $H22*$H$28, N$15)</f>
        <v>26083.400569970734</v>
      </c>
      <c r="O22" s="260">
        <f>INDEX('Volume adjustments'!$J$527:$Y$567,O$17 + 1 + $H22*$H$28, O$15)</f>
        <v>21294.252059385202</v>
      </c>
      <c r="P22" s="260">
        <f>INDEX('Volume adjustments'!$J$527:$Y$567,P$17 + 1 + $H22*$H$28, P$15)</f>
        <v>53816.784649668458</v>
      </c>
      <c r="Q22" s="260">
        <f>INDEX('Volume adjustments'!$J$527:$Y$567,Q$17 + 1 + $H22*$H$28, Q$15)</f>
        <v>25.765928672816155</v>
      </c>
      <c r="R22" s="260">
        <f>INDEX('Volume adjustments'!$J$527:$Y$567,R$17 + 1 + $H22*$H$28, R$15)</f>
        <v>124.03234502112436</v>
      </c>
      <c r="S22" s="260">
        <f>INDEX('Volume adjustments'!$J$527:$Y$567,S$17 + 1 + $H22*$H$28, S$15)</f>
        <v>28368.276777796113</v>
      </c>
      <c r="T22" s="260">
        <f>INDEX('Volume adjustments'!$J$527:$Y$567,T$17 + 1 + $H22*$H$28, T$15)</f>
        <v>24543.099162264127</v>
      </c>
      <c r="U22" s="260">
        <f>INDEX('Volume adjustments'!$J$527:$Y$567,U$17 + 1 + $H22*$H$28, U$15)</f>
        <v>17628.221372373271</v>
      </c>
      <c r="V22" s="260">
        <f>INDEX('Volume adjustments'!$J$527:$Y$567,V$17 + 1 + $H22*$H$28, V$15)</f>
        <v>14538.641677991591</v>
      </c>
      <c r="W22" s="260">
        <f>INDEX('Volume adjustments'!$J$527:$Y$567,W$17 + 1 + $H22*$H$28, W$15)</f>
        <v>32.524509406872198</v>
      </c>
      <c r="X22" s="260">
        <f>INDEX('Volume adjustments'!$J$527:$Y$567,X$17 + 1 + $H22*$H$28, X$15)</f>
        <v>3068.499121163622</v>
      </c>
      <c r="Y22" s="260">
        <f>INDEX('Volume adjustments'!$J$527:$Y$567,Y$17 + 1 + $H22*$H$28, Y$15)</f>
        <v>5626.8294164921617</v>
      </c>
      <c r="Z22" s="260">
        <f>INDEX('Volume adjustments'!$J$527:$Y$567,Z$17 + 1 + $H22*$H$28, Z$15)</f>
        <v>8552.0900117834626</v>
      </c>
      <c r="AA22" s="260">
        <f>INDEX('Volume adjustments'!$J$527:$Y$567,AA$17 + 1 + $H22*$H$28, AA$15)</f>
        <v>24482.974530545041</v>
      </c>
      <c r="AB22" s="260">
        <f>INDEX('Volume adjustments'!$J$527:$Y$567,AB$17 + 1 + $H22*$H$28, AB$15)</f>
        <v>442.05271467460517</v>
      </c>
      <c r="AC22" s="260">
        <f>INDEX('Volume adjustments'!$J$527:$Y$567,AC$17 + 1 + $H22*$H$28, AC$15)</f>
        <v>16832.080446901444</v>
      </c>
      <c r="AD22" s="260">
        <f>INDEX('Volume adjustments'!$J$527:$Y$567,AD$17 + 1 + $H22*$H$28, AD$15)</f>
        <v>31044.745987401129</v>
      </c>
      <c r="AE22" s="260">
        <f>INDEX('Volume adjustments'!$J$527:$Y$567,AE$17 + 1 + $H22*$H$28, AE$15)</f>
        <v>28627.87739438835</v>
      </c>
      <c r="AF22" s="260">
        <f>INDEX('Volume adjustments'!$J$527:$Y$567,AF$17 + 1 + $H22*$H$28, AF$15)</f>
        <v>50215.462316398218</v>
      </c>
      <c r="AG22" s="260">
        <f>INDEX('Volume adjustments'!$J$527:$Y$567,AG$17 + 1 + $H22*$H$28, AG$15)</f>
        <v>3120.7676206896554</v>
      </c>
      <c r="AH22" s="260">
        <f>INDEX('Volume adjustments'!$J$527:$Y$567,AH$17 + 1 + $H22*$H$28, AH$15)</f>
        <v>8383.1643992456902</v>
      </c>
      <c r="AI22" s="260">
        <f>INDEX('Volume adjustments'!$J$527:$Y$567,AI$17 + 1 + $H22*$H$28, AI$15)</f>
        <v>1036.7343209799037</v>
      </c>
      <c r="AJ22" s="260">
        <f>INDEX('Volume adjustments'!$J$527:$Y$567,AJ$17 + 1 + $H22*$H$28, AJ$15)</f>
        <v>4622.4246135079247</v>
      </c>
      <c r="AK22" s="260">
        <f>INDEX('Volume adjustments'!$J$527:$Y$567,AK$17 + 1 + $H22*$H$28, AK$15)</f>
        <v>0</v>
      </c>
      <c r="AL22" s="260">
        <f>INDEX('Volume adjustments'!$J$527:$Y$567,AL$17 + 1 + $H22*$H$28, AL$15)</f>
        <v>0</v>
      </c>
      <c r="AM22" s="260">
        <f>INDEX('Volume adjustments'!$J$527:$Y$567,AM$17 + 1 + $H22*$H$28, AM$15)</f>
        <v>0</v>
      </c>
      <c r="AN22" s="260">
        <f>INDEX('Volume adjustments'!$J$527:$Y$567,AN$17 + 1 + $H22*$H$28, AN$15)</f>
        <v>53814.546731455142</v>
      </c>
      <c r="AO22" s="260">
        <f>INDEX('Volume adjustments'!$J$527:$Y$567,AO$17 + 1 + $H22*$H$28, AO$15)</f>
        <v>0</v>
      </c>
    </row>
    <row r="23" spans="3:43" x14ac:dyDescent="0.25">
      <c r="E23" s="94"/>
      <c r="F23" s="118" t="s">
        <v>248</v>
      </c>
      <c r="G23" s="118" t="s">
        <v>207</v>
      </c>
      <c r="H23" s="7">
        <v>1</v>
      </c>
      <c r="J23" s="312">
        <f>INDEX('Volume adjustments'!$J$527:$Y$567,J$17 + 1 + $H23*$H$28, J$15)</f>
        <v>2220877.655844843</v>
      </c>
      <c r="K23" s="312">
        <f>INDEX('Volume adjustments'!$J$527:$Y$567,K$17 + 1 + $H23*$H$28, K$15)</f>
        <v>3119.337000290659</v>
      </c>
      <c r="L23" s="312">
        <f>INDEX('Volume adjustments'!$J$527:$Y$567,L$17 + 1 + $H23*$H$28, L$15)</f>
        <v>429.90214636273004</v>
      </c>
      <c r="M23" s="312">
        <f>INDEX('Volume adjustments'!$J$527:$Y$567,M$17 + 1 + $H23*$H$28, M$15)</f>
        <v>74327.869750998958</v>
      </c>
      <c r="N23" s="312">
        <f>INDEX('Volume adjustments'!$J$527:$Y$567,N$17 + 1 + $H23*$H$28, N$15)</f>
        <v>219258.68374857187</v>
      </c>
      <c r="O23" s="312">
        <f>INDEX('Volume adjustments'!$J$527:$Y$567,O$17 + 1 + $H23*$H$28, O$15)</f>
        <v>179000.8041867968</v>
      </c>
      <c r="P23" s="312">
        <f>INDEX('Volume adjustments'!$J$527:$Y$567,P$17 + 1 + $H23*$H$28, P$15)</f>
        <v>452387.23126659752</v>
      </c>
      <c r="Q23" s="312">
        <f>INDEX('Volume adjustments'!$J$527:$Y$567,Q$17 + 1 + $H23*$H$28, Q$15)</f>
        <v>1609.0521821484306</v>
      </c>
      <c r="R23" s="312">
        <f>INDEX('Volume adjustments'!$J$527:$Y$567,R$17 + 1 + $H23*$H$28, R$15)</f>
        <v>849.34780499680642</v>
      </c>
      <c r="S23" s="312">
        <f>INDEX('Volume adjustments'!$J$527:$Y$567,S$17 + 1 + $H23*$H$28, S$15)</f>
        <v>204974.47121884814</v>
      </c>
      <c r="T23" s="312">
        <f>INDEX('Volume adjustments'!$J$527:$Y$567,T$17 + 1 + $H23*$H$28, T$15)</f>
        <v>177335.7194820655</v>
      </c>
      <c r="U23" s="312">
        <f>INDEX('Volume adjustments'!$J$527:$Y$567,U$17 + 1 + $H23*$H$28, U$15)</f>
        <v>127372.39496898772</v>
      </c>
      <c r="V23" s="312">
        <f>INDEX('Volume adjustments'!$J$527:$Y$567,V$17 + 1 + $H23*$H$28, V$15)</f>
        <v>105048.69271859061</v>
      </c>
      <c r="W23" s="312">
        <f>INDEX('Volume adjustments'!$J$527:$Y$567,W$17 + 1 + $H23*$H$28, W$15)</f>
        <v>340.94829159017985</v>
      </c>
      <c r="X23" s="312">
        <f>INDEX('Volume adjustments'!$J$527:$Y$567,X$17 + 1 + $H23*$H$28, X$15)</f>
        <v>22166.959347146436</v>
      </c>
      <c r="Y23" s="312">
        <f>INDEX('Volume adjustments'!$J$527:$Y$567,Y$17 + 1 + $H23*$H$28, Y$15)</f>
        <v>40648.438863300071</v>
      </c>
      <c r="Z23" s="312">
        <f>INDEX('Volume adjustments'!$J$527:$Y$567,Z$17 + 1 + $H23*$H$28, Z$15)</f>
        <v>61780.637418742961</v>
      </c>
      <c r="AA23" s="312">
        <f>INDEX('Volume adjustments'!$J$527:$Y$567,AA$17 + 1 + $H23*$H$28, AA$15)</f>
        <v>176865.97899692686</v>
      </c>
      <c r="AB23" s="312">
        <f>INDEX('Volume adjustments'!$J$527:$Y$567,AB$17 + 1 + $H23*$H$28, AB$15)</f>
        <v>5891.1463199191348</v>
      </c>
      <c r="AC23" s="312">
        <f>INDEX('Volume adjustments'!$J$527:$Y$567,AC$17 + 1 + $H23*$H$28, AC$15)</f>
        <v>118085.4722621204</v>
      </c>
      <c r="AD23" s="312">
        <f>INDEX('Volume adjustments'!$J$527:$Y$567,AD$17 + 1 + $H23*$H$28, AD$15)</f>
        <v>217794.43739853788</v>
      </c>
      <c r="AE23" s="312">
        <f>INDEX('Volume adjustments'!$J$527:$Y$567,AE$17 + 1 + $H23*$H$28, AE$15)</f>
        <v>200838.89407745432</v>
      </c>
      <c r="AF23" s="312">
        <f>INDEX('Volume adjustments'!$J$527:$Y$567,AF$17 + 1 + $H23*$H$28, AF$15)</f>
        <v>352286.61134305428</v>
      </c>
      <c r="AG23" s="312">
        <f>INDEX('Volume adjustments'!$J$527:$Y$567,AG$17 + 1 + $H23*$H$28, AG$15)</f>
        <v>32439.529862068968</v>
      </c>
      <c r="AH23" s="312">
        <f>INDEX('Volume adjustments'!$J$527:$Y$567,AH$17 + 1 + $H23*$H$28, AH$15)</f>
        <v>76699.786920797414</v>
      </c>
      <c r="AI23" s="312">
        <f>INDEX('Volume adjustments'!$J$527:$Y$567,AI$17 + 1 + $H23*$H$28, AI$15)</f>
        <v>8528.2795750860623</v>
      </c>
      <c r="AJ23" s="312">
        <f>INDEX('Volume adjustments'!$J$527:$Y$567,AJ$17 + 1 + $H23*$H$28, AJ$15)</f>
        <v>38095.306630822713</v>
      </c>
      <c r="AK23" s="312">
        <f>INDEX('Volume adjustments'!$J$527:$Y$567,AK$17 + 1 + $H23*$H$28, AK$15)</f>
        <v>0</v>
      </c>
      <c r="AL23" s="312">
        <f>INDEX('Volume adjustments'!$J$527:$Y$567,AL$17 + 1 + $H23*$H$28, AL$15)</f>
        <v>0</v>
      </c>
      <c r="AM23" s="312">
        <f>INDEX('Volume adjustments'!$J$527:$Y$567,AM$17 + 1 + $H23*$H$28, AM$15)</f>
        <v>0</v>
      </c>
      <c r="AN23" s="312">
        <f>INDEX('Volume adjustments'!$J$527:$Y$567,AN$17 + 1 + $H23*$H$28, AN$15)</f>
        <v>302507.33246507391</v>
      </c>
      <c r="AO23" s="312">
        <f>INDEX('Volume adjustments'!$J$527:$Y$567,AO$17 + 1 + $H23*$H$28, AO$15)</f>
        <v>0</v>
      </c>
    </row>
    <row r="24" spans="3:43" x14ac:dyDescent="0.25">
      <c r="E24" s="94"/>
      <c r="F24" s="118" t="s">
        <v>249</v>
      </c>
      <c r="G24" s="118" t="s">
        <v>207</v>
      </c>
      <c r="H24" s="7">
        <v>2</v>
      </c>
      <c r="J24" s="312">
        <f>INDEX('Volume adjustments'!$J$527:$Y$567,J$17 + 1 + $H24*$H$28, J$15)</f>
        <v>2541068.4625321021</v>
      </c>
      <c r="K24" s="312">
        <f>INDEX('Volume adjustments'!$J$527:$Y$567,K$17 + 1 + $H24*$H$28, K$15)</f>
        <v>24081.62170271924</v>
      </c>
      <c r="L24" s="312">
        <f>INDEX('Volume adjustments'!$J$527:$Y$567,L$17 + 1 + $H24*$H$28, L$15)</f>
        <v>443.07069877940268</v>
      </c>
      <c r="M24" s="312">
        <f>INDEX('Volume adjustments'!$J$527:$Y$567,M$17 + 1 + $H24*$H$28, M$15)</f>
        <v>61486.265517629632</v>
      </c>
      <c r="N24" s="312">
        <f>INDEX('Volume adjustments'!$J$527:$Y$567,N$17 + 1 + $H24*$H$28, N$15)</f>
        <v>181377.42533418277</v>
      </c>
      <c r="O24" s="312">
        <f>INDEX('Volume adjustments'!$J$527:$Y$567,O$17 + 1 + $H24*$H$28, O$15)</f>
        <v>148074.88780412273</v>
      </c>
      <c r="P24" s="312">
        <f>INDEX('Volume adjustments'!$J$527:$Y$567,P$17 + 1 + $H24*$H$28, P$15)</f>
        <v>374228.4221467211</v>
      </c>
      <c r="Q24" s="312">
        <f>INDEX('Volume adjustments'!$J$527:$Y$567,Q$17 + 1 + $H24*$H$28, Q$15)</f>
        <v>11325.873677164167</v>
      </c>
      <c r="R24" s="312">
        <f>INDEX('Volume adjustments'!$J$527:$Y$567,R$17 + 1 + $H24*$H$28, R$15)</f>
        <v>933.78525142692774</v>
      </c>
      <c r="S24" s="312">
        <f>INDEX('Volume adjustments'!$J$527:$Y$567,S$17 + 1 + $H24*$H$28, S$15)</f>
        <v>182800.08330807119</v>
      </c>
      <c r="T24" s="312">
        <f>INDEX('Volume adjustments'!$J$527:$Y$567,T$17 + 1 + $H24*$H$28, T$15)</f>
        <v>158151.32539216164</v>
      </c>
      <c r="U24" s="312">
        <f>INDEX('Volume adjustments'!$J$527:$Y$567,U$17 + 1 + $H24*$H$28, U$15)</f>
        <v>113593.09416937035</v>
      </c>
      <c r="V24" s="312">
        <f>INDEX('Volume adjustments'!$J$527:$Y$567,V$17 + 1 + $H24*$H$28, V$15)</f>
        <v>93684.397213834891</v>
      </c>
      <c r="W24" s="312">
        <f>INDEX('Volume adjustments'!$J$527:$Y$567,W$17 + 1 + $H24*$H$28, W$15)</f>
        <v>235.83839931765723</v>
      </c>
      <c r="X24" s="312">
        <f>INDEX('Volume adjustments'!$J$527:$Y$567,X$17 + 1 + $H24*$H$28, X$15)</f>
        <v>22105.819031526087</v>
      </c>
      <c r="Y24" s="312">
        <f>INDEX('Volume adjustments'!$J$527:$Y$567,Y$17 + 1 + $H24*$H$28, Y$15)</f>
        <v>40536.323424161295</v>
      </c>
      <c r="Z24" s="312">
        <f>INDEX('Volume adjustments'!$J$527:$Y$567,Z$17 + 1 + $H24*$H$28, Z$15)</f>
        <v>61610.235713581053</v>
      </c>
      <c r="AA24" s="312">
        <f>INDEX('Volume adjustments'!$J$527:$Y$567,AA$17 + 1 + $H24*$H$28, AA$15)</f>
        <v>176378.15197432862</v>
      </c>
      <c r="AB24" s="312">
        <f>INDEX('Volume adjustments'!$J$527:$Y$567,AB$17 + 1 + $H24*$H$28, AB$15)</f>
        <v>7972.5156271940859</v>
      </c>
      <c r="AC24" s="312">
        <f>INDEX('Volume adjustments'!$J$527:$Y$567,AC$17 + 1 + $H24*$H$28, AC$15)</f>
        <v>134606.7008119339</v>
      </c>
      <c r="AD24" s="312">
        <f>INDEX('Volume adjustments'!$J$527:$Y$567,AD$17 + 1 + $H24*$H$28, AD$15)</f>
        <v>248265.8544849015</v>
      </c>
      <c r="AE24" s="312">
        <f>INDEX('Volume adjustments'!$J$527:$Y$567,AE$17 + 1 + $H24*$H$28, AE$15)</f>
        <v>228938.076874302</v>
      </c>
      <c r="AF24" s="312">
        <f>INDEX('Volume adjustments'!$J$527:$Y$567,AF$17 + 1 + $H24*$H$28, AF$15)</f>
        <v>401574.70334575651</v>
      </c>
      <c r="AG24" s="312">
        <f>INDEX('Volume adjustments'!$J$527:$Y$567,AG$17 + 1 + $H24*$H$28, AG$15)</f>
        <v>72051.073000000004</v>
      </c>
      <c r="AH24" s="312">
        <f>INDEX('Volume adjustments'!$J$527:$Y$567,AH$17 + 1 + $H24*$H$28, AH$15)</f>
        <v>33364.652963362067</v>
      </c>
      <c r="AI24" s="312">
        <f>INDEX('Volume adjustments'!$J$527:$Y$567,AI$17 + 1 + $H24*$H$28, AI$15)</f>
        <v>8832.4293538785987</v>
      </c>
      <c r="AJ24" s="312">
        <f>INDEX('Volume adjustments'!$J$527:$Y$567,AJ$17 + 1 + $H24*$H$28, AJ$15)</f>
        <v>44866.446029929481</v>
      </c>
      <c r="AK24" s="312">
        <f>INDEX('Volume adjustments'!$J$527:$Y$567,AK$17 + 1 + $H24*$H$28, AK$15)</f>
        <v>0</v>
      </c>
      <c r="AL24" s="312">
        <f>INDEX('Volume adjustments'!$J$527:$Y$567,AL$17 + 1 + $H24*$H$28, AL$15)</f>
        <v>0</v>
      </c>
      <c r="AM24" s="312">
        <f>INDEX('Volume adjustments'!$J$527:$Y$567,AM$17 + 1 + $H24*$H$28, AM$15)</f>
        <v>0</v>
      </c>
      <c r="AN24" s="312">
        <f>INDEX('Volume adjustments'!$J$527:$Y$567,AN$17 + 1 + $H24*$H$28, AN$15)</f>
        <v>259913.71528039253</v>
      </c>
      <c r="AO24" s="312">
        <f>INDEX('Volume adjustments'!$J$527:$Y$567,AO$17 + 1 + $H24*$H$28, AO$15)</f>
        <v>0</v>
      </c>
    </row>
    <row r="25" spans="3:43" x14ac:dyDescent="0.25">
      <c r="E25" s="94"/>
      <c r="F25" s="118" t="s">
        <v>212</v>
      </c>
      <c r="G25" s="118" t="s">
        <v>212</v>
      </c>
      <c r="H25" s="7">
        <v>3</v>
      </c>
      <c r="J25" s="312">
        <f>INDEX('Volume adjustments'!$J$527:$Y$567,J$17 + 1 + $H25*$H$28, J$15)</f>
        <v>1518684.7490630394</v>
      </c>
      <c r="K25" s="312">
        <f>INDEX('Volume adjustments'!$J$527:$Y$567,K$17 + 1 + $H25*$H$28, K$15)</f>
        <v>0</v>
      </c>
      <c r="L25" s="312">
        <f>INDEX('Volume adjustments'!$J$527:$Y$567,L$17 + 1 + $H25*$H$28, L$15)</f>
        <v>59.530590717299575</v>
      </c>
      <c r="M25" s="312">
        <f>INDEX('Volume adjustments'!$J$527:$Y$567,M$17 + 1 + $H25*$H$28, M$15)</f>
        <v>61383.441806114555</v>
      </c>
      <c r="N25" s="312">
        <f>INDEX('Volume adjustments'!$J$527:$Y$567,N$17 + 1 + $H25*$H$28, N$15)</f>
        <v>44141.630274513212</v>
      </c>
      <c r="O25" s="312">
        <f>INDEX('Volume adjustments'!$J$527:$Y$567,O$17 + 1 + $H25*$H$28, O$15)</f>
        <v>17853.539337351296</v>
      </c>
      <c r="P25" s="312">
        <f>INDEX('Volume adjustments'!$J$527:$Y$567,P$17 + 1 + $H25*$H$28, P$15)</f>
        <v>18593.892029409602</v>
      </c>
      <c r="Q25" s="312">
        <f>INDEX('Volume adjustments'!$J$527:$Y$567,Q$17 + 1 + $H25*$H$28, Q$15)</f>
        <v>0</v>
      </c>
      <c r="R25" s="312">
        <f>INDEX('Volume adjustments'!$J$527:$Y$567,R$17 + 1 + $H25*$H$28, R$15)</f>
        <v>65.03566608829766</v>
      </c>
      <c r="S25" s="312">
        <f>INDEX('Volume adjustments'!$J$527:$Y$567,S$17 + 1 + $H25*$H$28, S$15)</f>
        <v>4555.404967032785</v>
      </c>
      <c r="T25" s="312">
        <f>INDEX('Volume adjustments'!$J$527:$Y$567,T$17 + 1 + $H25*$H$28, T$15)</f>
        <v>2200.2778045610471</v>
      </c>
      <c r="U25" s="312">
        <f>INDEX('Volume adjustments'!$J$527:$Y$567,U$17 + 1 + $H25*$H$28, U$15)</f>
        <v>1028.2807035115104</v>
      </c>
      <c r="V25" s="312">
        <f>INDEX('Volume adjustments'!$J$527:$Y$567,V$17 + 1 + $H25*$H$28, V$15)</f>
        <v>461.51181181225269</v>
      </c>
      <c r="W25" s="312">
        <f>INDEX('Volume adjustments'!$J$527:$Y$567,W$17 + 1 + $H25*$H$28, W$15)</f>
        <v>9.0043923865300144</v>
      </c>
      <c r="X25" s="312">
        <f>INDEX('Volume adjustments'!$J$527:$Y$567,X$17 + 1 + $H25*$H$28, X$15)</f>
        <v>384.75674552999504</v>
      </c>
      <c r="Y25" s="312">
        <f>INDEX('Volume adjustments'!$J$527:$Y$567,Y$17 + 1 + $H25*$H$28, Y$15)</f>
        <v>411.53105514161842</v>
      </c>
      <c r="Z25" s="312">
        <f>INDEX('Volume adjustments'!$J$527:$Y$567,Z$17 + 1 + $H25*$H$28, Z$15)</f>
        <v>385.74838662672181</v>
      </c>
      <c r="AA25" s="312">
        <f>INDEX('Volume adjustments'!$J$527:$Y$567,AA$17 + 1 + $H25*$H$28, AA$15)</f>
        <v>514.66172920120471</v>
      </c>
      <c r="AB25" s="312">
        <f>INDEX('Volume adjustments'!$J$527:$Y$567,AB$17 + 1 + $H25*$H$28, AB$15)</f>
        <v>154.99570053535271</v>
      </c>
      <c r="AC25" s="312">
        <f>INDEX('Volume adjustments'!$J$527:$Y$567,AC$17 + 1 + $H25*$H$28, AC$15)</f>
        <v>400.05973308576057</v>
      </c>
      <c r="AD25" s="312">
        <f>INDEX('Volume adjustments'!$J$527:$Y$567,AD$17 + 1 + $H25*$H$28, AD$15)</f>
        <v>319.08378711177534</v>
      </c>
      <c r="AE25" s="312">
        <f>INDEX('Volume adjustments'!$J$527:$Y$567,AE$17 + 1 + $H25*$H$28, AE$15)</f>
        <v>130.13991317247633</v>
      </c>
      <c r="AF25" s="312">
        <f>INDEX('Volume adjustments'!$J$527:$Y$567,AF$17 + 1 + $H25*$H$28, AF$15)</f>
        <v>114.7159234631458</v>
      </c>
      <c r="AG25" s="312">
        <f>INDEX('Volume adjustments'!$J$527:$Y$567,AG$17 + 1 + $H25*$H$28, AG$15)</f>
        <v>2437</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304.24933518428963</v>
      </c>
      <c r="AO25" s="312">
        <f>INDEX('Volume adjustments'!$J$527:$Y$567,AO$17 + 1 + $H25*$H$28, AO$15)</f>
        <v>0</v>
      </c>
    </row>
    <row r="26" spans="3:43" x14ac:dyDescent="0.25">
      <c r="E26" s="94"/>
      <c r="F26" s="118" t="s">
        <v>250</v>
      </c>
      <c r="G26" s="118" t="s">
        <v>251</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2128.9961389961395</v>
      </c>
      <c r="S26" s="312">
        <f>INDEX('Volume adjustments'!$J$527:$Y$567,S$17 + 1 + $H26*$H$28, S$15)</f>
        <v>209089.92052076876</v>
      </c>
      <c r="T26" s="312">
        <f>INDEX('Volume adjustments'!$J$527:$Y$567,T$17 + 1 + $H26*$H$28, T$15)</f>
        <v>263936.77954765828</v>
      </c>
      <c r="U26" s="312">
        <f>INDEX('Volume adjustments'!$J$527:$Y$567,U$17 + 1 + $H26*$H$28, U$15)</f>
        <v>200020.16249079138</v>
      </c>
      <c r="V26" s="312">
        <f>INDEX('Volume adjustments'!$J$527:$Y$567,V$17 + 1 + $H26*$H$28, V$15)</f>
        <v>172872.07566471983</v>
      </c>
      <c r="W26" s="312">
        <f>INDEX('Volume adjustments'!$J$527:$Y$567,W$17 + 1 + $H26*$H$28, W$15)</f>
        <v>704.99999999999989</v>
      </c>
      <c r="X26" s="312">
        <f>INDEX('Volume adjustments'!$J$527:$Y$567,X$17 + 1 + $H26*$H$28, X$15)</f>
        <v>20989.350003962496</v>
      </c>
      <c r="Y26" s="312">
        <f>INDEX('Volume adjustments'!$J$527:$Y$567,Y$17 + 1 + $H26*$H$28, Y$15)</f>
        <v>51384.079521085798</v>
      </c>
      <c r="Z26" s="312">
        <f>INDEX('Volume adjustments'!$J$527:$Y$567,Z$17 + 1 + $H26*$H$28, Z$15)</f>
        <v>79194.96827633612</v>
      </c>
      <c r="AA26" s="312">
        <f>INDEX('Volume adjustments'!$J$527:$Y$567,AA$17 + 1 + $H26*$H$28, AA$15)</f>
        <v>225197.40466775131</v>
      </c>
      <c r="AB26" s="312">
        <f>INDEX('Volume adjustments'!$J$527:$Y$567,AB$17 + 1 + $H26*$H$28, AB$15)</f>
        <v>25636.18581907091</v>
      </c>
      <c r="AC26" s="312">
        <f>INDEX('Volume adjustments'!$J$527:$Y$567,AC$17 + 1 + $H26*$H$28, AC$15)</f>
        <v>109776.54037156513</v>
      </c>
      <c r="AD26" s="312">
        <f>INDEX('Volume adjustments'!$J$527:$Y$567,AD$17 + 1 + $H26*$H$28, AD$15)</f>
        <v>229387.05456338989</v>
      </c>
      <c r="AE26" s="312">
        <f>INDEX('Volume adjustments'!$J$527:$Y$567,AE$17 + 1 + $H26*$H$28, AE$15)</f>
        <v>185918.38503155162</v>
      </c>
      <c r="AF26" s="312">
        <f>INDEX('Volume adjustments'!$J$527:$Y$567,AF$17 + 1 + $H26*$H$28, AF$15)</f>
        <v>412552.31506201811</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25">
      <c r="E27" s="94"/>
      <c r="F27" s="118" t="s">
        <v>252</v>
      </c>
      <c r="G27" s="118" t="s">
        <v>251</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190.2821917808219</v>
      </c>
      <c r="S27" s="312">
        <f>INDEX('Volume adjustments'!$J$527:$Y$567,S$17 + 1 + $H27*$H$28, S$15)</f>
        <v>6016.9356846772953</v>
      </c>
      <c r="T27" s="312">
        <f>INDEX('Volume adjustments'!$J$527:$Y$567,T$17 + 1 + $H27*$H$28, T$15)</f>
        <v>7595.2519538184324</v>
      </c>
      <c r="U27" s="312">
        <f>INDEX('Volume adjustments'!$J$527:$Y$567,U$17 + 1 + $H27*$H$28, U$15)</f>
        <v>5755.9372080121384</v>
      </c>
      <c r="V27" s="312">
        <f>INDEX('Volume adjustments'!$J$527:$Y$567,V$17 + 1 + $H27*$H$28, V$15)</f>
        <v>4974.7025507524068</v>
      </c>
      <c r="W27" s="312">
        <f>INDEX('Volume adjustments'!$J$527:$Y$567,W$17 + 1 + $H27*$H$28, W$15)</f>
        <v>22.958904109589042</v>
      </c>
      <c r="X27" s="312">
        <f>INDEX('Volume adjustments'!$J$527:$Y$567,X$17 + 1 + $H27*$H$28, X$15)</f>
        <v>255.34567876429412</v>
      </c>
      <c r="Y27" s="312">
        <f>INDEX('Volume adjustments'!$J$527:$Y$567,Y$17 + 1 + $H27*$H$28, Y$15)</f>
        <v>625.11238606784434</v>
      </c>
      <c r="Z27" s="312">
        <f>INDEX('Volume adjustments'!$J$527:$Y$567,Z$17 + 1 + $H27*$H$28, Z$15)</f>
        <v>963.44541043053403</v>
      </c>
      <c r="AA27" s="312">
        <f>INDEX('Volume adjustments'!$J$527:$Y$567,AA$17 + 1 + $H27*$H$28, AA$15)</f>
        <v>2739.6362507647245</v>
      </c>
      <c r="AB27" s="312">
        <f>INDEX('Volume adjustments'!$J$527:$Y$567,AB$17 + 1 + $H27*$H$28, AB$15)</f>
        <v>5912.7863013698634</v>
      </c>
      <c r="AC27" s="312">
        <f>INDEX('Volume adjustments'!$J$527:$Y$567,AC$17 + 1 + $H27*$H$28, AC$15)</f>
        <v>715.30805909984042</v>
      </c>
      <c r="AD27" s="312">
        <f>INDEX('Volume adjustments'!$J$527:$Y$567,AD$17 + 1 + $H27*$H$28, AD$15)</f>
        <v>1494.6946608719054</v>
      </c>
      <c r="AE27" s="312">
        <f>INDEX('Volume adjustments'!$J$527:$Y$567,AE$17 + 1 + $H27*$H$28, AE$15)</f>
        <v>1211.4511779817706</v>
      </c>
      <c r="AF27" s="312">
        <f>INDEX('Volume adjustments'!$J$527:$Y$567,AF$17 + 1 + $H27*$H$28, AF$15)</f>
        <v>2688.2063760190863</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25">
      <c r="E28" s="94"/>
      <c r="F28" s="120" t="s">
        <v>253</v>
      </c>
      <c r="G28" s="120" t="s">
        <v>254</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381.02899999999994</v>
      </c>
      <c r="S28" s="259">
        <f>INDEX('Volume adjustments'!$J$527:$Y$567,S$17 + 1 + $H28*$H$28, S$15)</f>
        <v>33282.248170907609</v>
      </c>
      <c r="T28" s="259">
        <f>INDEX('Volume adjustments'!$J$527:$Y$567,T$17 + 1 + $H28*$H$28, T$15)</f>
        <v>28794.470795667741</v>
      </c>
      <c r="U28" s="259">
        <f>INDEX('Volume adjustments'!$J$527:$Y$567,U$17 + 1 + $H28*$H$28, U$15)</f>
        <v>20681.793368085051</v>
      </c>
      <c r="V28" s="259">
        <f>INDEX('Volume adjustments'!$J$527:$Y$567,V$17 + 1 + $H28*$H$28, V$15)</f>
        <v>17057.034665339608</v>
      </c>
      <c r="W28" s="259">
        <f>INDEX('Volume adjustments'!$J$527:$Y$567,W$17 + 1 + $H28*$H$28, W$15)</f>
        <v>146.43099999999998</v>
      </c>
      <c r="X28" s="259">
        <f>INDEX('Volume adjustments'!$J$527:$Y$567,X$17 + 1 + $H28*$H$28, X$15)</f>
        <v>4331.7769063989854</v>
      </c>
      <c r="Y28" s="259">
        <f>INDEX('Volume adjustments'!$J$527:$Y$567,Y$17 + 1 + $H28*$H$28, Y$15)</f>
        <v>7943.3523557159006</v>
      </c>
      <c r="Z28" s="259">
        <f>INDEX('Volume adjustments'!$J$527:$Y$567,Z$17 + 1 + $H28*$H$28, Z$15)</f>
        <v>12072.920522930024</v>
      </c>
      <c r="AA28" s="259">
        <f>INDEX('Volume adjustments'!$J$527:$Y$567,AA$17 + 1 + $H28*$H$28, AA$15)</f>
        <v>34562.429214955082</v>
      </c>
      <c r="AB28" s="259">
        <f>INDEX('Volume adjustments'!$J$527:$Y$567,AB$17 + 1 + $H28*$H$28, AB$15)</f>
        <v>4654.5249999999996</v>
      </c>
      <c r="AC28" s="259">
        <f>INDEX('Volume adjustments'!$J$527:$Y$567,AC$17 + 1 + $H28*$H$28, AC$15)</f>
        <v>19591.499015199184</v>
      </c>
      <c r="AD28" s="259">
        <f>INDEX('Volume adjustments'!$J$527:$Y$567,AD$17 + 1 + $H28*$H$28, AD$15)</f>
        <v>36134.16133305386</v>
      </c>
      <c r="AE28" s="259">
        <f>INDEX('Volume adjustments'!$J$527:$Y$567,AE$17 + 1 + $H28*$H$28, AE$15)</f>
        <v>33321.075998222761</v>
      </c>
      <c r="AF28" s="259">
        <f>INDEX('Volume adjustments'!$J$527:$Y$567,AF$17 + 1 + $H28*$H$28, AF$15)</f>
        <v>58447.68765352419</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6042.679000000001</v>
      </c>
      <c r="AK28" s="259">
        <f>INDEX('Volume adjustments'!$J$527:$Y$567,AK$17 + 1 + $H28*$H$28, AK$15)</f>
        <v>0</v>
      </c>
      <c r="AL28" s="259">
        <f>INDEX('Volume adjustments'!$J$527:$Y$567,AL$17 + 1 + $H28*$H$28, AL$15)</f>
        <v>0</v>
      </c>
      <c r="AM28" s="259">
        <f>INDEX('Volume adjustments'!$J$527:$Y$567,AM$17 + 1 + $H28*$H$28, AM$15)</f>
        <v>0</v>
      </c>
      <c r="AN28" s="259">
        <f>INDEX('Volume adjustments'!$J$527:$Y$567,AN$17 + 1 + $H28*$H$28, AN$15)</f>
        <v>8398.768</v>
      </c>
      <c r="AO28" s="259">
        <f>INDEX('Volume adjustments'!$J$527:$Y$567,AO$17 + 1 + $H28*$H$28, AO$15)</f>
        <v>0</v>
      </c>
    </row>
    <row r="29" spans="3:43" s="14" customFormat="1" x14ac:dyDescent="0.2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25">
      <c r="E30" s="75" t="s">
        <v>255</v>
      </c>
      <c r="F30" s="129"/>
      <c r="G30" s="129"/>
      <c r="I30" t="s">
        <v>154</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246</v>
      </c>
    </row>
    <row r="31" spans="3:43" x14ac:dyDescent="0.25">
      <c r="E31" s="75"/>
      <c r="F31" s="86" t="s">
        <v>982</v>
      </c>
    </row>
    <row r="32" spans="3:43" x14ac:dyDescent="0.25">
      <c r="E32" s="75"/>
      <c r="F32" s="353" t="s">
        <v>978</v>
      </c>
      <c r="G32" s="96"/>
    </row>
    <row r="33" spans="5:43" x14ac:dyDescent="0.25">
      <c r="F33" s="118" t="s">
        <v>247</v>
      </c>
      <c r="G33" s="118" t="s">
        <v>207</v>
      </c>
      <c r="H33" s="8">
        <v>0</v>
      </c>
      <c r="I33" s="95"/>
      <c r="J33" s="260">
        <f>INDEX('Volume adjustments'!$J$571:$Y$611,J$17 + 1 + $H33*$H$39, J$15)</f>
        <v>4412.0021358793929</v>
      </c>
      <c r="K33" s="260">
        <f>INDEX('Volume adjustments'!$J$571:$Y$611,K$17 + 1 + $H33*$H$39, K$15)</f>
        <v>0</v>
      </c>
      <c r="L33" s="260">
        <f>INDEX('Volume adjustments'!$J$571:$Y$611,L$17 + 1 + $H33*$H$39, L$15)</f>
        <v>51.692430869477775</v>
      </c>
      <c r="M33" s="260">
        <f>INDEX('Volume adjustments'!$J$571:$Y$611,M$17 + 1 + $H33*$H$39, M$15)</f>
        <v>20.320998460550786</v>
      </c>
      <c r="N33" s="260">
        <f>INDEX('Volume adjustments'!$J$571:$Y$611,N$17 + 1 + $H33*$H$39, N$15)</f>
        <v>13.132501934538336</v>
      </c>
      <c r="O33" s="260">
        <f>INDEX('Volume adjustments'!$J$571:$Y$611,O$17 + 1 + $H33*$H$39, O$15)</f>
        <v>39.771044721190137</v>
      </c>
      <c r="P33" s="260">
        <f>INDEX('Volume adjustments'!$J$571:$Y$611,P$17 + 1 + $H33*$H$39, P$15)</f>
        <v>78.185999999999993</v>
      </c>
      <c r="Q33" s="260">
        <f>INDEX('Volume adjustments'!$J$571:$Y$611,Q$17 + 1 + $H33*$H$39, Q$15)</f>
        <v>0</v>
      </c>
      <c r="R33" s="260">
        <f>INDEX('Volume adjustments'!$J$571:$Y$611,R$17 + 1 + $H33*$H$39, R$15)</f>
        <v>0</v>
      </c>
      <c r="S33" s="260">
        <f>INDEX('Volume adjustments'!$J$571:$Y$611,S$17 + 1 + $H33*$H$39, S$15)</f>
        <v>44.33554237575418</v>
      </c>
      <c r="T33" s="260">
        <f>INDEX('Volume adjustments'!$J$571:$Y$611,T$17 + 1 + $H33*$H$39, T$15)</f>
        <v>207.52325554001433</v>
      </c>
      <c r="U33" s="260">
        <f>INDEX('Volume adjustments'!$J$571:$Y$611,U$17 + 1 + $H33*$H$39, U$15)</f>
        <v>361.66914295819572</v>
      </c>
      <c r="V33" s="260">
        <f>INDEX('Volume adjustments'!$J$571:$Y$611,V$17 + 1 + $H33*$H$39, V$15)</f>
        <v>231.60900000000001</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3.5402788970786112</v>
      </c>
      <c r="AH33" s="260">
        <f>INDEX('Volume adjustments'!$J$571:$Y$611,AH$17 + 1 + $H33*$H$39, AH$15)</f>
        <v>135.12309960616332</v>
      </c>
      <c r="AI33" s="260">
        <f>INDEX('Volume adjustments'!$J$571:$Y$611,AI$17 + 1 + $H33*$H$39, AI$15)</f>
        <v>0</v>
      </c>
      <c r="AJ33" s="260">
        <f>INDEX('Volume adjustments'!$J$571:$Y$611,AJ$17 + 1 + $H33*$H$39, AJ$15)</f>
        <v>0</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25">
      <c r="E34" s="94"/>
      <c r="F34" s="118" t="s">
        <v>248</v>
      </c>
      <c r="G34" s="118" t="s">
        <v>207</v>
      </c>
      <c r="H34" s="7">
        <v>1</v>
      </c>
      <c r="J34" s="312">
        <f>INDEX('Volume adjustments'!$J$571:$Y$611,J$17 + 1 + $H34*$H$39, J$15)</f>
        <v>23560.34322446982</v>
      </c>
      <c r="K34" s="312">
        <f>INDEX('Volume adjustments'!$J$571:$Y$611,K$17 + 1 + $H34*$H$39, K$15)</f>
        <v>0</v>
      </c>
      <c r="L34" s="312">
        <f>INDEX('Volume adjustments'!$J$571:$Y$611,L$17 + 1 + $H34*$H$39, L$15)</f>
        <v>442.11414250627473</v>
      </c>
      <c r="M34" s="312">
        <f>INDEX('Volume adjustments'!$J$571:$Y$611,M$17 + 1 + $H34*$H$39, M$15)</f>
        <v>157.93698075487379</v>
      </c>
      <c r="N34" s="312">
        <f>INDEX('Volume adjustments'!$J$571:$Y$611,N$17 + 1 + $H34*$H$39, N$15)</f>
        <v>111.83354950922403</v>
      </c>
      <c r="O34" s="312">
        <f>INDEX('Volume adjustments'!$J$571:$Y$611,O$17 + 1 + $H34*$H$39, O$15)</f>
        <v>329.60005765008896</v>
      </c>
      <c r="P34" s="312">
        <f>INDEX('Volume adjustments'!$J$571:$Y$611,P$17 + 1 + $H34*$H$39, P$15)</f>
        <v>656.98</v>
      </c>
      <c r="Q34" s="312">
        <f>INDEX('Volume adjustments'!$J$571:$Y$611,Q$17 + 1 + $H34*$H$39, Q$15)</f>
        <v>0</v>
      </c>
      <c r="R34" s="312">
        <f>INDEX('Volume adjustments'!$J$571:$Y$611,R$17 + 1 + $H34*$H$39, R$15)</f>
        <v>0</v>
      </c>
      <c r="S34" s="312">
        <f>INDEX('Volume adjustments'!$J$571:$Y$611,S$17 + 1 + $H34*$H$39, S$15)</f>
        <v>310.49047756649685</v>
      </c>
      <c r="T34" s="312">
        <f>INDEX('Volume adjustments'!$J$571:$Y$611,T$17 + 1 + $H34*$H$39, T$15)</f>
        <v>1478.0079161369983</v>
      </c>
      <c r="U34" s="312">
        <f>INDEX('Volume adjustments'!$J$571:$Y$611,U$17 + 1 + $H34*$H$39, U$15)</f>
        <v>2411.8183069223987</v>
      </c>
      <c r="V34" s="312">
        <f>INDEX('Volume adjustments'!$J$571:$Y$611,V$17 + 1 + $H34*$H$39, V$15)</f>
        <v>1557.96</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54.762000803164575</v>
      </c>
      <c r="AH34" s="312">
        <f>INDEX('Volume adjustments'!$J$571:$Y$611,AH$17 + 1 + $H34*$H$39, AH$15)</f>
        <v>1233.0122325268569</v>
      </c>
      <c r="AI34" s="312">
        <f>INDEX('Volume adjustments'!$J$571:$Y$611,AI$17 + 1 + $H34*$H$39, AI$15)</f>
        <v>0</v>
      </c>
      <c r="AJ34" s="312">
        <f>INDEX('Volume adjustments'!$J$571:$Y$611,AJ$17 + 1 + $H34*$H$39, AJ$15)</f>
        <v>0</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25">
      <c r="E35" s="94"/>
      <c r="F35" s="118" t="s">
        <v>249</v>
      </c>
      <c r="G35" s="118" t="s">
        <v>207</v>
      </c>
      <c r="H35" s="7">
        <v>2</v>
      </c>
      <c r="J35" s="312">
        <f>INDEX('Volume adjustments'!$J$571:$Y$611,J$17 + 1 + $H35*$H$39, J$15)</f>
        <v>24322.859805914686</v>
      </c>
      <c r="K35" s="312">
        <f>INDEX('Volume adjustments'!$J$571:$Y$611,K$17 + 1 + $H35*$H$39, K$15)</f>
        <v>0</v>
      </c>
      <c r="L35" s="312">
        <f>INDEX('Volume adjustments'!$J$571:$Y$611,L$17 + 1 + $H35*$H$39, L$15)</f>
        <v>329.96533050226304</v>
      </c>
      <c r="M35" s="312">
        <f>INDEX('Volume adjustments'!$J$571:$Y$611,M$17 + 1 + $H35*$H$39, M$15)</f>
        <v>131.34784029174614</v>
      </c>
      <c r="N35" s="312">
        <f>INDEX('Volume adjustments'!$J$571:$Y$611,N$17 + 1 + $H35*$H$39, N$15)</f>
        <v>82.843993643226185</v>
      </c>
      <c r="O35" s="312">
        <f>INDEX('Volume adjustments'!$J$571:$Y$611,O$17 + 1 + $H35*$H$39, O$15)</f>
        <v>250.75606649996607</v>
      </c>
      <c r="P35" s="312">
        <f>INDEX('Volume adjustments'!$J$571:$Y$611,P$17 + 1 + $H35*$H$39, P$15)</f>
        <v>496.58699999999999</v>
      </c>
      <c r="Q35" s="312">
        <f>INDEX('Volume adjustments'!$J$571:$Y$611,Q$17 + 1 + $H35*$H$39, Q$15)</f>
        <v>0</v>
      </c>
      <c r="R35" s="312">
        <f>INDEX('Volume adjustments'!$J$571:$Y$611,R$17 + 1 + $H35*$H$39, R$15)</f>
        <v>0</v>
      </c>
      <c r="S35" s="312">
        <f>INDEX('Volume adjustments'!$J$571:$Y$611,S$17 + 1 + $H35*$H$39, S$15)</f>
        <v>302.06266107949341</v>
      </c>
      <c r="T35" s="312">
        <f>INDEX('Volume adjustments'!$J$571:$Y$611,T$17 + 1 + $H35*$H$39, T$15)</f>
        <v>1194.9359803241844</v>
      </c>
      <c r="U35" s="312">
        <f>INDEX('Volume adjustments'!$J$571:$Y$611,U$17 + 1 + $H35*$H$39, U$15)</f>
        <v>1347.8960152201341</v>
      </c>
      <c r="V35" s="312">
        <f>INDEX('Volume adjustments'!$J$571:$Y$611,V$17 + 1 + $H35*$H$39, V$15)</f>
        <v>1215.3820000000001</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78.61836209396057</v>
      </c>
      <c r="AH35" s="312">
        <f>INDEX('Volume adjustments'!$J$571:$Y$611,AH$17 + 1 + $H35*$H$39, AH$15)</f>
        <v>536.82082476268477</v>
      </c>
      <c r="AI35" s="312">
        <f>INDEX('Volume adjustments'!$J$571:$Y$611,AI$17 + 1 + $H35*$H$39, AI$15)</f>
        <v>0</v>
      </c>
      <c r="AJ35" s="312">
        <f>INDEX('Volume adjustments'!$J$571:$Y$611,AJ$17 + 1 + $H35*$H$39, AJ$15)</f>
        <v>0</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25">
      <c r="E36" s="94"/>
      <c r="F36" s="118" t="s">
        <v>212</v>
      </c>
      <c r="G36" s="118" t="s">
        <v>212</v>
      </c>
      <c r="H36" s="7">
        <v>3</v>
      </c>
      <c r="J36" s="312">
        <f>INDEX('Volume adjustments'!$J$571:$Y$611,J$17 + 1 + $H36*$H$39, J$15)</f>
        <v>19353.401655970189</v>
      </c>
      <c r="K36" s="312">
        <f>INDEX('Volume adjustments'!$J$571:$Y$611,K$17 + 1 + $H36*$H$39, K$15)</f>
        <v>0</v>
      </c>
      <c r="L36" s="312">
        <f>INDEX('Volume adjustments'!$J$571:$Y$611,L$17 + 1 + $H36*$H$39, L$15)</f>
        <v>120.66191919222645</v>
      </c>
      <c r="M36" s="312">
        <f>INDEX('Volume adjustments'!$J$571:$Y$611,M$17 + 1 + $H36*$H$39, M$15)</f>
        <v>79.585521169340822</v>
      </c>
      <c r="N36" s="312">
        <f>INDEX('Volume adjustments'!$J$571:$Y$611,N$17 + 1 + $H36*$H$39, N$15)</f>
        <v>52.629134966822164</v>
      </c>
      <c r="O36" s="312">
        <f>INDEX('Volume adjustments'!$J$571:$Y$611,O$17 + 1 + $H36*$H$39, O$15)</f>
        <v>68.032784225404285</v>
      </c>
      <c r="P36" s="312">
        <f>INDEX('Volume adjustments'!$J$571:$Y$611,P$17 + 1 + $H36*$H$39, P$15)</f>
        <v>79.991780821917814</v>
      </c>
      <c r="Q36" s="312">
        <f>INDEX('Volume adjustments'!$J$571:$Y$611,Q$17 + 1 + $H36*$H$39, Q$15)</f>
        <v>0</v>
      </c>
      <c r="R36" s="312">
        <f>INDEX('Volume adjustments'!$J$571:$Y$611,R$17 + 1 + $H36*$H$39, R$15)</f>
        <v>0</v>
      </c>
      <c r="S36" s="312">
        <f>INDEX('Volume adjustments'!$J$571:$Y$611,S$17 + 1 + $H36*$H$39, S$15)</f>
        <v>11.552736943936573</v>
      </c>
      <c r="T36" s="312">
        <f>INDEX('Volume adjustments'!$J$571:$Y$611,T$17 + 1 + $H36*$H$39, T$15)</f>
        <v>50.061860090391804</v>
      </c>
      <c r="U36" s="312">
        <f>INDEX('Volume adjustments'!$J$571:$Y$611,U$17 + 1 + $H36*$H$39, U$15)</f>
        <v>56.480047281467677</v>
      </c>
      <c r="V36" s="312">
        <f>INDEX('Volume adjustments'!$J$571:$Y$611,V$17 + 1 + $H36*$H$39, V$15)</f>
        <v>11.482191780821918</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0</v>
      </c>
      <c r="AH36" s="312">
        <f>INDEX('Volume adjustments'!$J$571:$Y$611,AH$17 + 1 + $H36*$H$39, AH$15)</f>
        <v>0</v>
      </c>
      <c r="AI36" s="312">
        <f>INDEX('Volume adjustments'!$J$571:$Y$611,AI$17 + 1 + $H36*$H$39, AI$15)</f>
        <v>0</v>
      </c>
      <c r="AJ36" s="312">
        <f>INDEX('Volume adjustments'!$J$571:$Y$611,AJ$17 + 1 + $H36*$H$39, AJ$15)</f>
        <v>0</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25">
      <c r="E37" s="94"/>
      <c r="F37" s="118" t="s">
        <v>250</v>
      </c>
      <c r="G37" s="118" t="s">
        <v>251</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765.04791317624438</v>
      </c>
      <c r="T37" s="312">
        <f>INDEX('Volume adjustments'!$J$571:$Y$611,T$17 + 1 + $H37*$H$39, T$15)</f>
        <v>5844.4012561936916</v>
      </c>
      <c r="U37" s="312">
        <f>INDEX('Volume adjustments'!$J$571:$Y$611,U$17 + 1 + $H37*$H$39, U$15)</f>
        <v>9768.4809048174811</v>
      </c>
      <c r="V37" s="312">
        <f>INDEX('Volume adjustments'!$J$571:$Y$611,V$17 + 1 + $H37*$H$39, V$15)</f>
        <v>6538.3150684931506</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25">
      <c r="E38" s="94"/>
      <c r="F38" s="118" t="s">
        <v>252</v>
      </c>
      <c r="G38" s="118" t="s">
        <v>251</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32.831877260100747</v>
      </c>
      <c r="T38" s="312">
        <f>INDEX('Volume adjustments'!$J$571:$Y$611,T$17 + 1 + $H38*$H$39, T$15)</f>
        <v>0</v>
      </c>
      <c r="U38" s="312">
        <f>INDEX('Volume adjustments'!$J$571:$Y$611,U$17 + 1 + $H38*$H$39, U$15)</f>
        <v>98.103162338540002</v>
      </c>
      <c r="V38" s="312">
        <f>INDEX('Volume adjustments'!$J$571:$Y$611,V$17 + 1 + $H38*$H$39, V$15)</f>
        <v>0.42955710508269518</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25">
      <c r="E39" s="94"/>
      <c r="F39" s="120" t="s">
        <v>253</v>
      </c>
      <c r="G39" s="120" t="s">
        <v>254</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74.458303748948666</v>
      </c>
      <c r="T39" s="259">
        <f>INDEX('Volume adjustments'!$J$571:$Y$611,T$17 + 1 + $H39*$H$39, T$15)</f>
        <v>372.87674036583576</v>
      </c>
      <c r="U39" s="259">
        <f>INDEX('Volume adjustments'!$J$571:$Y$611,U$17 + 1 + $H39*$H$39, U$15)</f>
        <v>254.42933667479551</v>
      </c>
      <c r="V39" s="259">
        <f>INDEX('Volume adjustments'!$J$571:$Y$611,V$17 + 1 + $H39*$H$39, V$15)</f>
        <v>561.73322191689988</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0</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2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25">
      <c r="E41" s="75" t="s">
        <v>256</v>
      </c>
      <c r="F41" s="129"/>
      <c r="G41" s="129"/>
      <c r="I41" t="s">
        <v>154</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246</v>
      </c>
    </row>
    <row r="42" spans="5:43" x14ac:dyDescent="0.25">
      <c r="E42" s="75"/>
      <c r="F42" s="86" t="s">
        <v>982</v>
      </c>
    </row>
    <row r="43" spans="5:43" x14ac:dyDescent="0.25">
      <c r="E43" s="75"/>
      <c r="F43" s="353" t="s">
        <v>978</v>
      </c>
      <c r="G43" s="96"/>
    </row>
    <row r="44" spans="5:43" x14ac:dyDescent="0.25">
      <c r="E44" s="94"/>
      <c r="F44" s="118" t="s">
        <v>247</v>
      </c>
      <c r="G44" s="118" t="s">
        <v>207</v>
      </c>
      <c r="H44" s="8">
        <v>0</v>
      </c>
      <c r="I44" s="95"/>
      <c r="J44" s="260">
        <f>INDEX('Volume adjustments'!$J$615:$Y$655,J$17 + 1 + $H44*$H$50, J$15)</f>
        <v>13965.52024182292</v>
      </c>
      <c r="K44" s="260">
        <f>INDEX('Volume adjustments'!$J$615:$Y$655,K$17 + 1 + $H44*$H$50, K$15)</f>
        <v>0</v>
      </c>
      <c r="L44" s="260">
        <f>INDEX('Volume adjustments'!$J$615:$Y$655,L$17 + 1 + $H44*$H$50, L$15)</f>
        <v>70.985493546545925</v>
      </c>
      <c r="M44" s="260">
        <f>INDEX('Volume adjustments'!$J$615:$Y$655,M$17 + 1 + $H44*$H$50, M$15)</f>
        <v>211.0535821228768</v>
      </c>
      <c r="N44" s="260">
        <f>INDEX('Volume adjustments'!$J$615:$Y$655,N$17 + 1 + $H44*$H$50, N$15)</f>
        <v>169.76903162227174</v>
      </c>
      <c r="O44" s="260">
        <f>INDEX('Volume adjustments'!$J$615:$Y$655,O$17 + 1 + $H44*$H$50, O$15)</f>
        <v>217.93925999372698</v>
      </c>
      <c r="P44" s="260">
        <f>INDEX('Volume adjustments'!$J$615:$Y$655,P$17 + 1 + $H44*$H$50, P$15)</f>
        <v>363.416</v>
      </c>
      <c r="Q44" s="260">
        <f>INDEX('Volume adjustments'!$J$615:$Y$655,Q$17 + 1 + $H44*$H$50, Q$15)</f>
        <v>0</v>
      </c>
      <c r="R44" s="260">
        <f>INDEX('Volume adjustments'!$J$615:$Y$655,R$17 + 1 + $H44*$H$50, R$15)</f>
        <v>12.045770896969415</v>
      </c>
      <c r="S44" s="260">
        <f>INDEX('Volume adjustments'!$J$615:$Y$655,S$17 + 1 + $H44*$H$50, S$15)</f>
        <v>562.08432284698426</v>
      </c>
      <c r="T44" s="260">
        <f>INDEX('Volume adjustments'!$J$615:$Y$655,T$17 + 1 + $H44*$H$50, T$15)</f>
        <v>1221.6881531936185</v>
      </c>
      <c r="U44" s="260">
        <f>INDEX('Volume adjustments'!$J$615:$Y$655,U$17 + 1 + $H44*$H$50, U$15)</f>
        <v>879.2166259620443</v>
      </c>
      <c r="V44" s="260">
        <f>INDEX('Volume adjustments'!$J$615:$Y$655,V$17 + 1 + $H44*$H$50, V$15)</f>
        <v>3482.2709999999997</v>
      </c>
      <c r="W44" s="260">
        <f>INDEX('Volume adjustments'!$J$615:$Y$655,W$17 + 1 + $H44*$H$50, W$15)</f>
        <v>0</v>
      </c>
      <c r="X44" s="260">
        <f>INDEX('Volume adjustments'!$J$615:$Y$655,X$17 + 1 + $H44*$H$50, X$15)</f>
        <v>0</v>
      </c>
      <c r="Y44" s="260">
        <f>INDEX('Volume adjustments'!$J$615:$Y$655,Y$17 + 1 + $H44*$H$50, Y$15)</f>
        <v>0.38774383891471487</v>
      </c>
      <c r="Z44" s="260">
        <f>INDEX('Volume adjustments'!$J$615:$Y$655,Z$17 + 1 + $H44*$H$50, Z$15)</f>
        <v>54.790446415701311</v>
      </c>
      <c r="AA44" s="260">
        <f>INDEX('Volume adjustments'!$J$615:$Y$655,AA$17 + 1 + $H44*$H$50, AA$15)</f>
        <v>1278.9470000000001</v>
      </c>
      <c r="AB44" s="260">
        <f>INDEX('Volume adjustments'!$J$615:$Y$655,AB$17 + 1 + $H44*$H$50, AB$15)</f>
        <v>0</v>
      </c>
      <c r="AC44" s="260">
        <f>INDEX('Volume adjustments'!$J$615:$Y$655,AC$17 + 1 + $H44*$H$50, AC$15)</f>
        <v>0</v>
      </c>
      <c r="AD44" s="260">
        <f>INDEX('Volume adjustments'!$J$615:$Y$655,AD$17 + 1 + $H44*$H$50, AD$15)</f>
        <v>222.94135647985203</v>
      </c>
      <c r="AE44" s="260">
        <f>INDEX('Volume adjustments'!$J$615:$Y$655,AE$17 + 1 + $H44*$H$50, AE$15)</f>
        <v>458.69120612505856</v>
      </c>
      <c r="AF44" s="260">
        <f>INDEX('Volume adjustments'!$J$615:$Y$655,AF$17 + 1 + $H44*$H$50, AF$15)</f>
        <v>192.81700000000001</v>
      </c>
      <c r="AG44" s="260">
        <f>INDEX('Volume adjustments'!$J$615:$Y$655,AG$17 + 1 + $H44*$H$50, AG$15)</f>
        <v>0</v>
      </c>
      <c r="AH44" s="260">
        <f>INDEX('Volume adjustments'!$J$615:$Y$655,AH$17 + 1 + $H44*$H$50, AH$15)</f>
        <v>288.39483167076304</v>
      </c>
      <c r="AI44" s="260">
        <f>INDEX('Volume adjustments'!$J$615:$Y$655,AI$17 + 1 + $H44*$H$50, AI$15)</f>
        <v>0</v>
      </c>
      <c r="AJ44" s="260">
        <f>INDEX('Volume adjustments'!$J$615:$Y$655,AJ$17 + 1 + $H44*$H$50, AJ$15)</f>
        <v>2.3230095129862165</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0</v>
      </c>
      <c r="AO44" s="260">
        <f>INDEX('Volume adjustments'!$J$615:$Y$655,AO$17 + 1 + $H44*$H$50, AO$15)</f>
        <v>0</v>
      </c>
    </row>
    <row r="45" spans="5:43" x14ac:dyDescent="0.25">
      <c r="E45" s="94"/>
      <c r="F45" s="118" t="s">
        <v>248</v>
      </c>
      <c r="G45" s="118" t="s">
        <v>207</v>
      </c>
      <c r="H45" s="7">
        <v>1</v>
      </c>
      <c r="J45" s="312">
        <f>INDEX('Volume adjustments'!$J$615:$Y$655,J$17 + 1 + $H45*$H$50, J$15)</f>
        <v>74417.350985561308</v>
      </c>
      <c r="K45" s="312">
        <f>INDEX('Volume adjustments'!$J$615:$Y$655,K$17 + 1 + $H45*$H$50, K$15)</f>
        <v>0</v>
      </c>
      <c r="L45" s="312">
        <f>INDEX('Volume adjustments'!$J$615:$Y$655,L$17 + 1 + $H45*$H$50, L$15)</f>
        <v>592.05742416768396</v>
      </c>
      <c r="M45" s="312">
        <f>INDEX('Volume adjustments'!$J$615:$Y$655,M$17 + 1 + $H45*$H$50, M$15)</f>
        <v>1747.4831462086197</v>
      </c>
      <c r="N45" s="312">
        <f>INDEX('Volume adjustments'!$J$615:$Y$655,N$17 + 1 + $H45*$H$50, N$15)</f>
        <v>1418.2264322956496</v>
      </c>
      <c r="O45" s="312">
        <f>INDEX('Volume adjustments'!$J$615:$Y$655,O$17 + 1 + $H45*$H$50, O$15)</f>
        <v>1781.6554912068107</v>
      </c>
      <c r="P45" s="312">
        <f>INDEX('Volume adjustments'!$J$615:$Y$655,P$17 + 1 + $H45*$H$50, P$15)</f>
        <v>2871.8290000000002</v>
      </c>
      <c r="Q45" s="312">
        <f>INDEX('Volume adjustments'!$J$615:$Y$655,Q$17 + 1 + $H45*$H$50, Q$15)</f>
        <v>0</v>
      </c>
      <c r="R45" s="312">
        <f>INDEX('Volume adjustments'!$J$615:$Y$655,R$17 + 1 + $H45*$H$50, R$15)</f>
        <v>104.91898137272941</v>
      </c>
      <c r="S45" s="312">
        <f>INDEX('Volume adjustments'!$J$615:$Y$655,S$17 + 1 + $H45*$H$50, S$15)</f>
        <v>3543.7331850241781</v>
      </c>
      <c r="T45" s="312">
        <f>INDEX('Volume adjustments'!$J$615:$Y$655,T$17 + 1 + $H45*$H$50, T$15)</f>
        <v>8467.1384504198923</v>
      </c>
      <c r="U45" s="312">
        <f>INDEX('Volume adjustments'!$J$615:$Y$655,U$17 + 1 + $H45*$H$50, U$15)</f>
        <v>5849.8864446908874</v>
      </c>
      <c r="V45" s="312">
        <f>INDEX('Volume adjustments'!$J$615:$Y$655,V$17 + 1 + $H45*$H$50, V$15)</f>
        <v>23055.248</v>
      </c>
      <c r="W45" s="312">
        <f>INDEX('Volume adjustments'!$J$615:$Y$655,W$17 + 1 + $H45*$H$50, W$15)</f>
        <v>0</v>
      </c>
      <c r="X45" s="312">
        <f>INDEX('Volume adjustments'!$J$615:$Y$655,X$17 + 1 + $H45*$H$50, X$15)</f>
        <v>0</v>
      </c>
      <c r="Y45" s="312">
        <f>INDEX('Volume adjustments'!$J$615:$Y$655,Y$17 + 1 + $H45*$H$50, Y$15)</f>
        <v>2.4852648185313768</v>
      </c>
      <c r="Z45" s="312">
        <f>INDEX('Volume adjustments'!$J$615:$Y$655,Z$17 + 1 + $H45*$H$50, Z$15)</f>
        <v>301.23743141410893</v>
      </c>
      <c r="AA45" s="312">
        <f>INDEX('Volume adjustments'!$J$615:$Y$655,AA$17 + 1 + $H45*$H$50, AA$15)</f>
        <v>8233.9170000000013</v>
      </c>
      <c r="AB45" s="312">
        <f>INDEX('Volume adjustments'!$J$615:$Y$655,AB$17 + 1 + $H45*$H$50, AB$15)</f>
        <v>0</v>
      </c>
      <c r="AC45" s="312">
        <f>INDEX('Volume adjustments'!$J$615:$Y$655,AC$17 + 1 + $H45*$H$50, AC$15)</f>
        <v>0</v>
      </c>
      <c r="AD45" s="312">
        <f>INDEX('Volume adjustments'!$J$615:$Y$655,AD$17 + 1 + $H45*$H$50, AD$15)</f>
        <v>1768.12828960659</v>
      </c>
      <c r="AE45" s="312">
        <f>INDEX('Volume adjustments'!$J$615:$Y$655,AE$17 + 1 + $H45*$H$50, AE$15)</f>
        <v>2906.1966948994973</v>
      </c>
      <c r="AF45" s="312">
        <f>INDEX('Volume adjustments'!$J$615:$Y$655,AF$17 + 1 + $H45*$H$50, AF$15)</f>
        <v>1277.2540000000001</v>
      </c>
      <c r="AG45" s="312">
        <f>INDEX('Volume adjustments'!$J$615:$Y$655,AG$17 + 1 + $H45*$H$50, AG$15)</f>
        <v>0</v>
      </c>
      <c r="AH45" s="312">
        <f>INDEX('Volume adjustments'!$J$615:$Y$655,AH$17 + 1 + $H45*$H$50, AH$15)</f>
        <v>2734.4347752387589</v>
      </c>
      <c r="AI45" s="312">
        <f>INDEX('Volume adjustments'!$J$615:$Y$655,AI$17 + 1 + $H45*$H$50, AI$15)</f>
        <v>0</v>
      </c>
      <c r="AJ45" s="312">
        <f>INDEX('Volume adjustments'!$J$615:$Y$655,AJ$17 + 1 + $H45*$H$50, AJ$15)</f>
        <v>28.767744483149521</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0</v>
      </c>
      <c r="AO45" s="312">
        <f>INDEX('Volume adjustments'!$J$615:$Y$655,AO$17 + 1 + $H45*$H$50, AO$15)</f>
        <v>0</v>
      </c>
    </row>
    <row r="46" spans="5:43" x14ac:dyDescent="0.25">
      <c r="E46" s="94"/>
      <c r="F46" s="118" t="s">
        <v>249</v>
      </c>
      <c r="G46" s="118" t="s">
        <v>207</v>
      </c>
      <c r="H46" s="7">
        <v>2</v>
      </c>
      <c r="J46" s="312">
        <f>INDEX('Volume adjustments'!$J$615:$Y$655,J$17 + 1 + $H46*$H$50, J$15)</f>
        <v>76556.398456911411</v>
      </c>
      <c r="K46" s="312">
        <f>INDEX('Volume adjustments'!$J$615:$Y$655,K$17 + 1 + $H46*$H$50, K$15)</f>
        <v>0</v>
      </c>
      <c r="L46" s="312">
        <f>INDEX('Volume adjustments'!$J$615:$Y$655,L$17 + 1 + $H46*$H$50, L$15)</f>
        <v>475.54692631533351</v>
      </c>
      <c r="M46" s="312">
        <f>INDEX('Volume adjustments'!$J$615:$Y$655,M$17 + 1 + $H46*$H$50, M$15)</f>
        <v>1333.8253788269296</v>
      </c>
      <c r="N46" s="312">
        <f>INDEX('Volume adjustments'!$J$615:$Y$655,N$17 + 1 + $H46*$H$50, N$15)</f>
        <v>1060.2979989450546</v>
      </c>
      <c r="O46" s="312">
        <f>INDEX('Volume adjustments'!$J$615:$Y$655,O$17 + 1 + $H46*$H$50, O$15)</f>
        <v>1376.5411593478129</v>
      </c>
      <c r="P46" s="312">
        <f>INDEX('Volume adjustments'!$J$615:$Y$655,P$17 + 1 + $H46*$H$50, P$15)</f>
        <v>2256.2660000000001</v>
      </c>
      <c r="Q46" s="312">
        <f>INDEX('Volume adjustments'!$J$615:$Y$655,Q$17 + 1 + $H46*$H$50, Q$15)</f>
        <v>0</v>
      </c>
      <c r="R46" s="312">
        <f>INDEX('Volume adjustments'!$J$615:$Y$655,R$17 + 1 + $H46*$H$50, R$15)</f>
        <v>64.704865253482339</v>
      </c>
      <c r="S46" s="312">
        <f>INDEX('Volume adjustments'!$J$615:$Y$655,S$17 + 1 + $H46*$H$50, S$15)</f>
        <v>2921.0587052619221</v>
      </c>
      <c r="T46" s="312">
        <f>INDEX('Volume adjustments'!$J$615:$Y$655,T$17 + 1 + $H46*$H$50, T$15)</f>
        <v>7079.7738942261676</v>
      </c>
      <c r="U46" s="312">
        <f>INDEX('Volume adjustments'!$J$615:$Y$655,U$17 + 1 + $H46*$H$50, U$15)</f>
        <v>5022.1244925955807</v>
      </c>
      <c r="V46" s="312">
        <f>INDEX('Volume adjustments'!$J$615:$Y$655,V$17 + 1 + $H46*$H$50, V$15)</f>
        <v>21992.912</v>
      </c>
      <c r="W46" s="312">
        <f>INDEX('Volume adjustments'!$J$615:$Y$655,W$17 + 1 + $H46*$H$50, W$15)</f>
        <v>0</v>
      </c>
      <c r="X46" s="312">
        <f>INDEX('Volume adjustments'!$J$615:$Y$655,X$17 + 1 + $H46*$H$50, X$15)</f>
        <v>0</v>
      </c>
      <c r="Y46" s="312">
        <f>INDEX('Volume adjustments'!$J$615:$Y$655,Y$17 + 1 + $H46*$H$50, Y$15)</f>
        <v>3.4592126789653053</v>
      </c>
      <c r="Z46" s="312">
        <f>INDEX('Volume adjustments'!$J$615:$Y$655,Z$17 + 1 + $H46*$H$50, Z$15)</f>
        <v>373.68096625992473</v>
      </c>
      <c r="AA46" s="312">
        <f>INDEX('Volume adjustments'!$J$615:$Y$655,AA$17 + 1 + $H46*$H$50, AA$15)</f>
        <v>6473.2839999999997</v>
      </c>
      <c r="AB46" s="312">
        <f>INDEX('Volume adjustments'!$J$615:$Y$655,AB$17 + 1 + $H46*$H$50, AB$15)</f>
        <v>0</v>
      </c>
      <c r="AC46" s="312">
        <f>INDEX('Volume adjustments'!$J$615:$Y$655,AC$17 + 1 + $H46*$H$50, AC$15)</f>
        <v>0</v>
      </c>
      <c r="AD46" s="312">
        <f>INDEX('Volume adjustments'!$J$615:$Y$655,AD$17 + 1 + $H46*$H$50, AD$15)</f>
        <v>1450.7985885421429</v>
      </c>
      <c r="AE46" s="312">
        <f>INDEX('Volume adjustments'!$J$615:$Y$655,AE$17 + 1 + $H46*$H$50, AE$15)</f>
        <v>3538.9172771830781</v>
      </c>
      <c r="AF46" s="312">
        <f>INDEX('Volume adjustments'!$J$615:$Y$655,AF$17 + 1 + $H46*$H$50, AF$15)</f>
        <v>1450.789</v>
      </c>
      <c r="AG46" s="312">
        <f>INDEX('Volume adjustments'!$J$615:$Y$655,AG$17 + 1 + $H46*$H$50, AG$15)</f>
        <v>0</v>
      </c>
      <c r="AH46" s="312">
        <f>INDEX('Volume adjustments'!$J$615:$Y$655,AH$17 + 1 + $H46*$H$50, AH$15)</f>
        <v>1119.1280628397724</v>
      </c>
      <c r="AI46" s="312">
        <f>INDEX('Volume adjustments'!$J$615:$Y$655,AI$17 + 1 + $H46*$H$50, AI$15)</f>
        <v>0</v>
      </c>
      <c r="AJ46" s="312">
        <f>INDEX('Volume adjustments'!$J$615:$Y$655,AJ$17 + 1 + $H46*$H$50, AJ$15)</f>
        <v>21.818802192518774</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0</v>
      </c>
      <c r="AO46" s="312">
        <f>INDEX('Volume adjustments'!$J$615:$Y$655,AO$17 + 1 + $H46*$H$50, AO$15)</f>
        <v>0</v>
      </c>
    </row>
    <row r="47" spans="5:43" x14ac:dyDescent="0.25">
      <c r="E47" s="94"/>
      <c r="F47" s="118" t="s">
        <v>212</v>
      </c>
      <c r="G47" s="118" t="s">
        <v>212</v>
      </c>
      <c r="H47" s="7">
        <v>3</v>
      </c>
      <c r="J47" s="312">
        <f>INDEX('Volume adjustments'!$J$615:$Y$655,J$17 + 1 + $H47*$H$50, J$15)</f>
        <v>61570.95336142907</v>
      </c>
      <c r="K47" s="312">
        <f>INDEX('Volume adjustments'!$J$615:$Y$655,K$17 + 1 + $H47*$H$50, K$15)</f>
        <v>0</v>
      </c>
      <c r="L47" s="312">
        <f>INDEX('Volume adjustments'!$J$615:$Y$655,L$17 + 1 + $H47*$H$50, L$15)</f>
        <v>133.49829357437818</v>
      </c>
      <c r="M47" s="312">
        <f>INDEX('Volume adjustments'!$J$615:$Y$655,M$17 + 1 + $H47*$H$50, M$15)</f>
        <v>560.94956050003134</v>
      </c>
      <c r="N47" s="312">
        <f>INDEX('Volume adjustments'!$J$615:$Y$655,N$17 + 1 + $H47*$H$50, N$15)</f>
        <v>386.37486890276762</v>
      </c>
      <c r="O47" s="312">
        <f>INDEX('Volume adjustments'!$J$615:$Y$655,O$17 + 1 + $H47*$H$50, O$15)</f>
        <v>274.69841177804739</v>
      </c>
      <c r="P47" s="312">
        <f>INDEX('Volume adjustments'!$J$615:$Y$655,P$17 + 1 + $H47*$H$50, P$15)</f>
        <v>122.35616438356165</v>
      </c>
      <c r="Q47" s="312">
        <f>INDEX('Volume adjustments'!$J$615:$Y$655,Q$17 + 1 + $H47*$H$50, Q$15)</f>
        <v>0</v>
      </c>
      <c r="R47" s="312">
        <f>INDEX('Volume adjustments'!$J$615:$Y$655,R$17 + 1 + $H47*$H$50, R$15)</f>
        <v>3.850912314645524</v>
      </c>
      <c r="S47" s="312">
        <f>INDEX('Volume adjustments'!$J$615:$Y$655,S$17 + 1 + $H47*$H$50, S$15)</f>
        <v>74.450971416480158</v>
      </c>
      <c r="T47" s="312">
        <f>INDEX('Volume adjustments'!$J$615:$Y$655,T$17 + 1 + $H47*$H$50, T$15)</f>
        <v>143.76739308009954</v>
      </c>
      <c r="U47" s="312">
        <f>INDEX('Volume adjustments'!$J$615:$Y$655,U$17 + 1 + $H47*$H$50, U$15)</f>
        <v>70.600059101834617</v>
      </c>
      <c r="V47" s="312">
        <f>INDEX('Volume adjustments'!$J$615:$Y$655,V$17 + 1 + $H47*$H$50, V$15)</f>
        <v>103.84931506849315</v>
      </c>
      <c r="W47" s="312">
        <f>INDEX('Volume adjustments'!$J$615:$Y$655,W$17 + 1 + $H47*$H$50, W$15)</f>
        <v>0</v>
      </c>
      <c r="X47" s="312">
        <f>INDEX('Volume adjustments'!$J$615:$Y$655,X$17 + 1 + $H47*$H$50, X$15)</f>
        <v>0</v>
      </c>
      <c r="Y47" s="312">
        <f>INDEX('Volume adjustments'!$J$615:$Y$655,Y$17 + 1 + $H47*$H$50, Y$15)</f>
        <v>2.5672748764303495</v>
      </c>
      <c r="Z47" s="312">
        <f>INDEX('Volume adjustments'!$J$615:$Y$655,Z$17 + 1 + $H47*$H$50, Z$15)</f>
        <v>1.2836374382151747</v>
      </c>
      <c r="AA47" s="312">
        <f>INDEX('Volume adjustments'!$J$615:$Y$655,AA$17 + 1 + $H47*$H$50, AA$15)</f>
        <v>28.265753424657536</v>
      </c>
      <c r="AB47" s="312">
        <f>INDEX('Volume adjustments'!$J$615:$Y$655,AB$17 + 1 + $H47*$H$50, AB$15)</f>
        <v>0</v>
      </c>
      <c r="AC47" s="312">
        <f>INDEX('Volume adjustments'!$J$615:$Y$655,AC$17 + 1 + $H47*$H$50, AC$15)</f>
        <v>0</v>
      </c>
      <c r="AD47" s="312">
        <f>INDEX('Volume adjustments'!$J$615:$Y$655,AD$17 + 1 + $H47*$H$50, AD$15)</f>
        <v>3.850912314645524</v>
      </c>
      <c r="AE47" s="312">
        <f>INDEX('Volume adjustments'!$J$615:$Y$655,AE$17 + 1 + $H47*$H$50, AE$15)</f>
        <v>5.1345497528606989</v>
      </c>
      <c r="AF47" s="312">
        <f>INDEX('Volume adjustments'!$J$615:$Y$655,AF$17 + 1 + $H47*$H$50, AF$15)</f>
        <v>2.4136986301369863</v>
      </c>
      <c r="AG47" s="312">
        <f>INDEX('Volume adjustments'!$J$615:$Y$655,AG$17 + 1 + $H47*$H$50, AG$15)</f>
        <v>0</v>
      </c>
      <c r="AH47" s="312">
        <f>INDEX('Volume adjustments'!$J$615:$Y$655,AH$17 + 1 + $H47*$H$50, AH$15)</f>
        <v>0</v>
      </c>
      <c r="AI47" s="312">
        <f>INDEX('Volume adjustments'!$J$615:$Y$655,AI$17 + 1 + $H47*$H$50, AI$15)</f>
        <v>0</v>
      </c>
      <c r="AJ47" s="312">
        <f>INDEX('Volume adjustments'!$J$615:$Y$655,AJ$17 + 1 + $H47*$H$50, AJ$15)</f>
        <v>2.5672748764303495</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0</v>
      </c>
      <c r="AO47" s="312">
        <f>INDEX('Volume adjustments'!$J$615:$Y$655,AO$17 + 1 + $H47*$H$50, AO$15)</f>
        <v>0</v>
      </c>
    </row>
    <row r="48" spans="5:43" x14ac:dyDescent="0.25">
      <c r="E48" s="94"/>
      <c r="F48" s="118" t="s">
        <v>250</v>
      </c>
      <c r="G48" s="118" t="s">
        <v>251</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770.18246292910464</v>
      </c>
      <c r="S48" s="312">
        <f>INDEX('Volume adjustments'!$J$615:$Y$655,S$17 + 1 + $H48*$H$50, S$15)</f>
        <v>4282.2144938858219</v>
      </c>
      <c r="T48" s="312">
        <f>INDEX('Volume adjustments'!$J$615:$Y$655,T$17 + 1 + $H48*$H$50, T$15)</f>
        <v>19656.340091388967</v>
      </c>
      <c r="U48" s="312">
        <f>INDEX('Volume adjustments'!$J$615:$Y$655,U$17 + 1 + $H48*$H$50, U$15)</f>
        <v>13782.415174116331</v>
      </c>
      <c r="V48" s="312">
        <f>INDEX('Volume adjustments'!$J$615:$Y$655,V$17 + 1 + $H48*$H$50, V$15)</f>
        <v>56907.356164383564</v>
      </c>
      <c r="W48" s="312">
        <f>INDEX('Volume adjustments'!$J$615:$Y$655,W$17 + 1 + $H48*$H$50, W$15)</f>
        <v>0</v>
      </c>
      <c r="X48" s="312">
        <f>INDEX('Volume adjustments'!$J$615:$Y$655,X$17 + 1 + $H48*$H$50, X$15)</f>
        <v>0</v>
      </c>
      <c r="Y48" s="312">
        <f>INDEX('Volume adjustments'!$J$615:$Y$655,Y$17 + 1 + $H48*$H$50, Y$15)</f>
        <v>355.5675703856034</v>
      </c>
      <c r="Z48" s="312">
        <f>INDEX('Volume adjustments'!$J$615:$Y$655,Z$17 + 1 + $H48*$H$50, Z$15)</f>
        <v>263.14567483411082</v>
      </c>
      <c r="AA48" s="312">
        <f>INDEX('Volume adjustments'!$J$615:$Y$655,AA$17 + 1 + $H48*$H$50, AA$15)</f>
        <v>20910.413698630138</v>
      </c>
      <c r="AB48" s="312">
        <f>INDEX('Volume adjustments'!$J$615:$Y$655,AB$17 + 1 + $H48*$H$50, AB$15)</f>
        <v>0</v>
      </c>
      <c r="AC48" s="312">
        <f>INDEX('Volume adjustments'!$J$615:$Y$655,AC$17 + 1 + $H48*$H$50, AC$15)</f>
        <v>0</v>
      </c>
      <c r="AD48" s="312">
        <f>INDEX('Volume adjustments'!$J$615:$Y$655,AD$17 + 1 + $H48*$H$50, AD$15)</f>
        <v>3080.7298517164186</v>
      </c>
      <c r="AE48" s="312">
        <f>INDEX('Volume adjustments'!$J$615:$Y$655,AE$17 + 1 + $H48*$H$50, AE$15)</f>
        <v>6674.9146787189075</v>
      </c>
      <c r="AF48" s="312">
        <f>INDEX('Volume adjustments'!$J$615:$Y$655,AF$17 + 1 + $H48*$H$50, AF$15)</f>
        <v>9191.0958904109593</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25">
      <c r="E49" s="94"/>
      <c r="F49" s="118" t="s">
        <v>252</v>
      </c>
      <c r="G49" s="118" t="s">
        <v>251</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135.48997157803211</v>
      </c>
      <c r="T49" s="312">
        <f>INDEX('Volume adjustments'!$J$615:$Y$655,T$17 + 1 + $H49*$H$50, T$15)</f>
        <v>8.6985313779245779</v>
      </c>
      <c r="U49" s="312">
        <f>INDEX('Volume adjustments'!$J$615:$Y$655,U$17 + 1 + $H49*$H$50, U$15)</f>
        <v>36.820882928827466</v>
      </c>
      <c r="V49" s="312">
        <f>INDEX('Volume adjustments'!$J$615:$Y$655,V$17 + 1 + $H49*$H$50, V$15)</f>
        <v>112.94607990012896</v>
      </c>
      <c r="W49" s="312">
        <f>INDEX('Volume adjustments'!$J$615:$Y$655,W$17 + 1 + $H49*$H$50, W$15)</f>
        <v>0</v>
      </c>
      <c r="X49" s="312">
        <f>INDEX('Volume adjustments'!$J$615:$Y$655,X$17 + 1 + $H49*$H$50, X$15)</f>
        <v>0</v>
      </c>
      <c r="Y49" s="312">
        <f>INDEX('Volume adjustments'!$J$615:$Y$655,Y$17 + 1 + $H49*$H$50, Y$15)</f>
        <v>0</v>
      </c>
      <c r="Z49" s="312">
        <f>INDEX('Volume adjustments'!$J$615:$Y$655,Z$17 + 1 + $H49*$H$50, Z$15)</f>
        <v>0</v>
      </c>
      <c r="AA49" s="312">
        <f>INDEX('Volume adjustments'!$J$615:$Y$655,AA$17 + 1 + $H49*$H$50, AA$15)</f>
        <v>0</v>
      </c>
      <c r="AB49" s="312">
        <f>INDEX('Volume adjustments'!$J$615:$Y$655,AB$17 + 1 + $H49*$H$50, AB$15)</f>
        <v>0</v>
      </c>
      <c r="AC49" s="312">
        <f>INDEX('Volume adjustments'!$J$615:$Y$655,AC$17 + 1 + $H49*$H$50, AC$15)</f>
        <v>0</v>
      </c>
      <c r="AD49" s="312">
        <f>INDEX('Volume adjustments'!$J$615:$Y$655,AD$17 + 1 + $H49*$H$50, AD$15)</f>
        <v>0</v>
      </c>
      <c r="AE49" s="312">
        <f>INDEX('Volume adjustments'!$J$615:$Y$655,AE$17 + 1 + $H49*$H$50, AE$15)</f>
        <v>0</v>
      </c>
      <c r="AF49" s="312">
        <f>INDEX('Volume adjustments'!$J$615:$Y$655,AF$17 + 1 + $H49*$H$50, AF$15)</f>
        <v>0</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25">
      <c r="E50" s="94"/>
      <c r="F50" s="120" t="s">
        <v>253</v>
      </c>
      <c r="G50" s="120" t="s">
        <v>254</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3.9307738658755791</v>
      </c>
      <c r="S50" s="259">
        <f>INDEX('Volume adjustments'!$J$615:$Y$655,S$17 + 1 + $H50*$H$50, S$15)</f>
        <v>373.10185788891516</v>
      </c>
      <c r="T50" s="259">
        <f>INDEX('Volume adjustments'!$J$615:$Y$655,T$17 + 1 + $H50*$H$50, T$15)</f>
        <v>1151.9678766385236</v>
      </c>
      <c r="U50" s="259">
        <f>INDEX('Volume adjustments'!$J$615:$Y$655,U$17 + 1 + $H50*$H$50, U$15)</f>
        <v>754.33685858150238</v>
      </c>
      <c r="V50" s="259">
        <f>INDEX('Volume adjustments'!$J$615:$Y$655,V$17 + 1 + $H50*$H$50, V$15)</f>
        <v>4319.2549914540596</v>
      </c>
      <c r="W50" s="259">
        <f>INDEX('Volume adjustments'!$J$615:$Y$655,W$17 + 1 + $H50*$H$50, W$15)</f>
        <v>0</v>
      </c>
      <c r="X50" s="259">
        <f>INDEX('Volume adjustments'!$J$615:$Y$655,X$17 + 1 + $H50*$H$50, X$15)</f>
        <v>0</v>
      </c>
      <c r="Y50" s="259">
        <f>INDEX('Volume adjustments'!$J$615:$Y$655,Y$17 + 1 + $H50*$H$50, Y$15)</f>
        <v>0</v>
      </c>
      <c r="Z50" s="259">
        <f>INDEX('Volume adjustments'!$J$615:$Y$655,Z$17 + 1 + $H50*$H$50, Z$15)</f>
        <v>0.6820664859261435</v>
      </c>
      <c r="AA50" s="259">
        <f>INDEX('Volume adjustments'!$J$615:$Y$655,AA$17 + 1 + $H50*$H$50, AA$15)</f>
        <v>689.60628538872209</v>
      </c>
      <c r="AB50" s="259">
        <f>INDEX('Volume adjustments'!$J$615:$Y$655,AB$17 + 1 + $H50*$H$50, AB$15)</f>
        <v>0</v>
      </c>
      <c r="AC50" s="259">
        <f>INDEX('Volume adjustments'!$J$615:$Y$655,AC$17 + 1 + $H50*$H$50, AC$15)</f>
        <v>0</v>
      </c>
      <c r="AD50" s="259">
        <f>INDEX('Volume adjustments'!$J$615:$Y$655,AD$17 + 1 + $H50*$H$50, AD$15)</f>
        <v>0.47150504326395015</v>
      </c>
      <c r="AE50" s="259">
        <f>INDEX('Volume adjustments'!$J$615:$Y$655,AE$17 + 1 + $H50*$H$50, AE$15)</f>
        <v>277.223424074891</v>
      </c>
      <c r="AF50" s="259">
        <f>INDEX('Volume adjustments'!$J$615:$Y$655,AF$17 + 1 + $H50*$H$50, AF$15)</f>
        <v>2.2164755623706265</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5.8391330320959867</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0</v>
      </c>
      <c r="AO50" s="259">
        <f>INDEX('Volume adjustments'!$J$615:$Y$655,AO$17 + 1 + $H50*$H$50, AO$15)</f>
        <v>0</v>
      </c>
    </row>
    <row r="51" spans="3:43" x14ac:dyDescent="0.2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25">
      <c r="C52" s="93" t="str">
        <f ca="1">INDEX('Version control'!$H$41:$H$64,MATCH($A$1,'Version control'!$F$41:$F$64,0),1)&amp;"-B: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2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25">
      <c r="E54" s="75" t="s">
        <v>716</v>
      </c>
      <c r="G54" s="61"/>
      <c r="I54" t="s">
        <v>154</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155</v>
      </c>
    </row>
    <row r="55" spans="3:43" x14ac:dyDescent="0.25">
      <c r="F55" s="95" t="s">
        <v>156</v>
      </c>
      <c r="G55" s="143" t="s">
        <v>269</v>
      </c>
      <c r="H55" s="278"/>
      <c r="I55" s="266"/>
      <c r="J55" s="278">
        <f>Rounding!J150</f>
        <v>22.754000000000001</v>
      </c>
      <c r="K55" s="278">
        <f>Rounding!K150</f>
        <v>22.754000000000001</v>
      </c>
      <c r="L55" s="278">
        <f>Rounding!L150</f>
        <v>24.204000000000001</v>
      </c>
      <c r="M55" s="278">
        <f>Rounding!M150</f>
        <v>24.204000000000001</v>
      </c>
      <c r="N55" s="278">
        <f>Rounding!N150</f>
        <v>24.204000000000001</v>
      </c>
      <c r="O55" s="278">
        <f>Rounding!O150</f>
        <v>24.204000000000001</v>
      </c>
      <c r="P55" s="278">
        <f>Rounding!P150</f>
        <v>24.204000000000001</v>
      </c>
      <c r="Q55" s="278">
        <f>Rounding!Q150</f>
        <v>24.204000000000001</v>
      </c>
      <c r="R55" s="278">
        <f>Rounding!R150</f>
        <v>14.833</v>
      </c>
      <c r="S55" s="278">
        <f>Rounding!S150</f>
        <v>14.833</v>
      </c>
      <c r="T55" s="278">
        <f>Rounding!T150</f>
        <v>14.833</v>
      </c>
      <c r="U55" s="278">
        <f>Rounding!U150</f>
        <v>14.833</v>
      </c>
      <c r="V55" s="278">
        <f>Rounding!V150</f>
        <v>14.833</v>
      </c>
      <c r="W55" s="278">
        <f>Rounding!W150</f>
        <v>9.3740000000000006</v>
      </c>
      <c r="X55" s="278">
        <f>Rounding!X150</f>
        <v>9.3740000000000006</v>
      </c>
      <c r="Y55" s="278">
        <f>Rounding!Y150</f>
        <v>9.3740000000000006</v>
      </c>
      <c r="Z55" s="278">
        <f>Rounding!Z150</f>
        <v>9.3740000000000006</v>
      </c>
      <c r="AA55" s="278">
        <f>Rounding!AA150</f>
        <v>9.3740000000000006</v>
      </c>
      <c r="AB55" s="278">
        <f>Rounding!AB150</f>
        <v>7.242</v>
      </c>
      <c r="AC55" s="278">
        <f>Rounding!AC150</f>
        <v>7.242</v>
      </c>
      <c r="AD55" s="278">
        <f>Rounding!AD150</f>
        <v>7.242</v>
      </c>
      <c r="AE55" s="278">
        <f>Rounding!AE150</f>
        <v>7.242</v>
      </c>
      <c r="AF55" s="278">
        <f>Rounding!AF150</f>
        <v>7.242</v>
      </c>
      <c r="AG55" s="278">
        <f>Rounding!AG150</f>
        <v>68.251000000000005</v>
      </c>
      <c r="AH55" s="278">
        <f>Rounding!AH150</f>
        <v>-14.503</v>
      </c>
      <c r="AI55" s="278">
        <f>Rounding!AI150</f>
        <v>-12.444000000000001</v>
      </c>
      <c r="AJ55" s="278">
        <f>Rounding!AJ150</f>
        <v>-14.503</v>
      </c>
      <c r="AK55" s="278">
        <f>Rounding!AK150</f>
        <v>-14.503</v>
      </c>
      <c r="AL55" s="278">
        <f>Rounding!AL150</f>
        <v>-12.444000000000001</v>
      </c>
      <c r="AM55" s="278">
        <f>Rounding!AM150</f>
        <v>-12.444000000000001</v>
      </c>
      <c r="AN55" s="278">
        <f>Rounding!AN150</f>
        <v>-7.7859999999999996</v>
      </c>
      <c r="AO55" s="278">
        <f>Rounding!AO150</f>
        <v>-7.7859999999999996</v>
      </c>
      <c r="AP55" s="268"/>
      <c r="AQ55" s="268"/>
    </row>
    <row r="56" spans="3:43" x14ac:dyDescent="0.25">
      <c r="E56" s="94"/>
      <c r="F56" t="s">
        <v>157</v>
      </c>
      <c r="G56" s="61" t="s">
        <v>269</v>
      </c>
      <c r="H56" s="279"/>
      <c r="I56" s="268"/>
      <c r="J56" s="279">
        <f>Rounding!J151</f>
        <v>1.8140000000000001</v>
      </c>
      <c r="K56" s="279">
        <f>Rounding!K151</f>
        <v>1.8140000000000001</v>
      </c>
      <c r="L56" s="279">
        <f>Rounding!L151</f>
        <v>1.93</v>
      </c>
      <c r="M56" s="279">
        <f>Rounding!M151</f>
        <v>1.93</v>
      </c>
      <c r="N56" s="279">
        <f>Rounding!N151</f>
        <v>1.93</v>
      </c>
      <c r="O56" s="279">
        <f>Rounding!O151</f>
        <v>1.93</v>
      </c>
      <c r="P56" s="279">
        <f>Rounding!P151</f>
        <v>1.93</v>
      </c>
      <c r="Q56" s="279">
        <f>Rounding!Q151</f>
        <v>1.93</v>
      </c>
      <c r="R56" s="279">
        <f>Rounding!R151</f>
        <v>1.0649999999999999</v>
      </c>
      <c r="S56" s="279">
        <f>Rounding!S151</f>
        <v>1.0649999999999999</v>
      </c>
      <c r="T56" s="279">
        <f>Rounding!T151</f>
        <v>1.0649999999999999</v>
      </c>
      <c r="U56" s="279">
        <f>Rounding!U151</f>
        <v>1.0649999999999999</v>
      </c>
      <c r="V56" s="279">
        <f>Rounding!V151</f>
        <v>1.0649999999999999</v>
      </c>
      <c r="W56" s="279">
        <f>Rounding!W151</f>
        <v>0.496</v>
      </c>
      <c r="X56" s="279">
        <f>Rounding!X151</f>
        <v>0.496</v>
      </c>
      <c r="Y56" s="279">
        <f>Rounding!Y151</f>
        <v>0.496</v>
      </c>
      <c r="Z56" s="279">
        <f>Rounding!Z151</f>
        <v>0.496</v>
      </c>
      <c r="AA56" s="279">
        <f>Rounding!AA151</f>
        <v>0.496</v>
      </c>
      <c r="AB56" s="279">
        <f>Rounding!AB151</f>
        <v>0.30199999999999999</v>
      </c>
      <c r="AC56" s="279">
        <f>Rounding!AC151</f>
        <v>0.30199999999999999</v>
      </c>
      <c r="AD56" s="279">
        <f>Rounding!AD151</f>
        <v>0.30199999999999999</v>
      </c>
      <c r="AE56" s="279">
        <f>Rounding!AE151</f>
        <v>0.30199999999999999</v>
      </c>
      <c r="AF56" s="279">
        <f>Rounding!AF151</f>
        <v>0.30199999999999999</v>
      </c>
      <c r="AG56" s="279">
        <f>Rounding!AG151</f>
        <v>3.5379999999999998</v>
      </c>
      <c r="AH56" s="279">
        <f>Rounding!AH151</f>
        <v>-1.1559999999999999</v>
      </c>
      <c r="AI56" s="279">
        <f>Rounding!AI151</f>
        <v>-0.93100000000000005</v>
      </c>
      <c r="AJ56" s="279">
        <f>Rounding!AJ151</f>
        <v>-1.1559999999999999</v>
      </c>
      <c r="AK56" s="279">
        <f>Rounding!AK151</f>
        <v>-1.1559999999999999</v>
      </c>
      <c r="AL56" s="279">
        <f>Rounding!AL151</f>
        <v>-0.93100000000000005</v>
      </c>
      <c r="AM56" s="279">
        <f>Rounding!AM151</f>
        <v>-0.93100000000000005</v>
      </c>
      <c r="AN56" s="279">
        <f>Rounding!AN151</f>
        <v>-0.41199999999999998</v>
      </c>
      <c r="AO56" s="279">
        <f>Rounding!AO151</f>
        <v>-0.41199999999999998</v>
      </c>
      <c r="AP56" s="268"/>
      <c r="AQ56" s="268"/>
    </row>
    <row r="57" spans="3:43" x14ac:dyDescent="0.25">
      <c r="E57" s="94"/>
      <c r="F57" t="s">
        <v>158</v>
      </c>
      <c r="G57" s="61" t="s">
        <v>269</v>
      </c>
      <c r="H57" s="279"/>
      <c r="I57" s="268"/>
      <c r="J57" s="279">
        <f>Rounding!J152</f>
        <v>0.19800000000000001</v>
      </c>
      <c r="K57" s="279">
        <f>Rounding!K152</f>
        <v>0.19800000000000001</v>
      </c>
      <c r="L57" s="279">
        <f>Rounding!L152</f>
        <v>0.21099999999999999</v>
      </c>
      <c r="M57" s="279">
        <f>Rounding!M152</f>
        <v>0.21099999999999999</v>
      </c>
      <c r="N57" s="279">
        <f>Rounding!N152</f>
        <v>0.21099999999999999</v>
      </c>
      <c r="O57" s="279">
        <f>Rounding!O152</f>
        <v>0.21099999999999999</v>
      </c>
      <c r="P57" s="279">
        <f>Rounding!P152</f>
        <v>0.21099999999999999</v>
      </c>
      <c r="Q57" s="279">
        <f>Rounding!Q152</f>
        <v>0.21099999999999999</v>
      </c>
      <c r="R57" s="279">
        <f>Rounding!R152</f>
        <v>0.114</v>
      </c>
      <c r="S57" s="279">
        <f>Rounding!S152</f>
        <v>0.114</v>
      </c>
      <c r="T57" s="279">
        <f>Rounding!T152</f>
        <v>0.114</v>
      </c>
      <c r="U57" s="279">
        <f>Rounding!U152</f>
        <v>0.114</v>
      </c>
      <c r="V57" s="279">
        <f>Rounding!V152</f>
        <v>0.114</v>
      </c>
      <c r="W57" s="279">
        <f>Rounding!W152</f>
        <v>4.9000000000000002E-2</v>
      </c>
      <c r="X57" s="279">
        <f>Rounding!X152</f>
        <v>4.9000000000000002E-2</v>
      </c>
      <c r="Y57" s="279">
        <f>Rounding!Y152</f>
        <v>4.9000000000000002E-2</v>
      </c>
      <c r="Z57" s="279">
        <f>Rounding!Z152</f>
        <v>4.9000000000000002E-2</v>
      </c>
      <c r="AA57" s="279">
        <f>Rounding!AA152</f>
        <v>4.9000000000000002E-2</v>
      </c>
      <c r="AB57" s="279">
        <f>Rounding!AB152</f>
        <v>2.8000000000000001E-2</v>
      </c>
      <c r="AC57" s="279">
        <f>Rounding!AC152</f>
        <v>2.8000000000000001E-2</v>
      </c>
      <c r="AD57" s="279">
        <f>Rounding!AD152</f>
        <v>2.8000000000000001E-2</v>
      </c>
      <c r="AE57" s="279">
        <f>Rounding!AE152</f>
        <v>2.8000000000000001E-2</v>
      </c>
      <c r="AF57" s="279">
        <f>Rounding!AF152</f>
        <v>2.8000000000000001E-2</v>
      </c>
      <c r="AG57" s="279">
        <f>Rounding!AG152</f>
        <v>1.5349999999999999</v>
      </c>
      <c r="AH57" s="279">
        <f>Rounding!AH152</f>
        <v>-0.126</v>
      </c>
      <c r="AI57" s="279">
        <f>Rounding!AI152</f>
        <v>-0.10100000000000001</v>
      </c>
      <c r="AJ57" s="279">
        <f>Rounding!AJ152</f>
        <v>-0.126</v>
      </c>
      <c r="AK57" s="279">
        <f>Rounding!AK152</f>
        <v>-0.126</v>
      </c>
      <c r="AL57" s="279">
        <f>Rounding!AL152</f>
        <v>-0.10100000000000001</v>
      </c>
      <c r="AM57" s="279">
        <f>Rounding!AM152</f>
        <v>-0.10100000000000001</v>
      </c>
      <c r="AN57" s="279">
        <f>Rounding!AN152</f>
        <v>-4.1000000000000002E-2</v>
      </c>
      <c r="AO57" s="279">
        <f>Rounding!AO152</f>
        <v>-4.1000000000000002E-2</v>
      </c>
      <c r="AP57" s="268"/>
      <c r="AQ57" s="268"/>
    </row>
    <row r="58" spans="3:43" x14ac:dyDescent="0.25">
      <c r="E58" s="94"/>
      <c r="F58" t="s">
        <v>159</v>
      </c>
      <c r="G58" s="61" t="s">
        <v>270</v>
      </c>
      <c r="H58" s="78"/>
      <c r="J58" s="167">
        <f>Rounding!J153</f>
        <v>12.57</v>
      </c>
      <c r="K58" s="167">
        <f>Rounding!K153</f>
        <v>0</v>
      </c>
      <c r="L58" s="167">
        <f>Rounding!L153</f>
        <v>17.41</v>
      </c>
      <c r="M58" s="167">
        <f>Rounding!M153</f>
        <v>18.02</v>
      </c>
      <c r="N58" s="167">
        <f>Rounding!N153</f>
        <v>19.920000000000002</v>
      </c>
      <c r="O58" s="167">
        <f>Rounding!O153</f>
        <v>22.46</v>
      </c>
      <c r="P58" s="167">
        <f>Rounding!P153</f>
        <v>29.69</v>
      </c>
      <c r="Q58" s="167">
        <f>Rounding!Q153</f>
        <v>0</v>
      </c>
      <c r="R58" s="167">
        <f>Rounding!R153</f>
        <v>17.309999999999999</v>
      </c>
      <c r="S58" s="167">
        <f>Rounding!S153</f>
        <v>41.51</v>
      </c>
      <c r="T58" s="167">
        <f>Rounding!T153</f>
        <v>60.79</v>
      </c>
      <c r="U58" s="167">
        <f>Rounding!U153</f>
        <v>86.84</v>
      </c>
      <c r="V58" s="167">
        <f>Rounding!V153</f>
        <v>171.29</v>
      </c>
      <c r="W58" s="167">
        <f>Rounding!W153</f>
        <v>13.51</v>
      </c>
      <c r="X58" s="167">
        <f>Rounding!X153</f>
        <v>37.71</v>
      </c>
      <c r="Y58" s="167">
        <f>Rounding!Y153</f>
        <v>56.99</v>
      </c>
      <c r="Z58" s="167">
        <f>Rounding!Z153</f>
        <v>83.04</v>
      </c>
      <c r="AA58" s="167">
        <f>Rounding!AA153</f>
        <v>167.5</v>
      </c>
      <c r="AB58" s="167">
        <f>Rounding!AB153</f>
        <v>124.75</v>
      </c>
      <c r="AC58" s="167">
        <f>Rounding!AC153</f>
        <v>298.61</v>
      </c>
      <c r="AD58" s="167">
        <f>Rounding!AD153</f>
        <v>525.1</v>
      </c>
      <c r="AE58" s="167">
        <f>Rounding!AE153</f>
        <v>1016.12</v>
      </c>
      <c r="AF58" s="167">
        <f>Rounding!AF153</f>
        <v>1908.16</v>
      </c>
      <c r="AG58" s="167">
        <f>Rounding!AG153</f>
        <v>0</v>
      </c>
      <c r="AH58" s="167">
        <f>Rounding!AH153</f>
        <v>0</v>
      </c>
      <c r="AI58" s="167">
        <f>Rounding!AI153</f>
        <v>0</v>
      </c>
      <c r="AJ58" s="167">
        <f>Rounding!AJ153</f>
        <v>0</v>
      </c>
      <c r="AK58" s="167">
        <f>Rounding!AK153</f>
        <v>0</v>
      </c>
      <c r="AL58" s="167">
        <f>Rounding!AL153</f>
        <v>0</v>
      </c>
      <c r="AM58" s="167">
        <f>Rounding!AM153</f>
        <v>0</v>
      </c>
      <c r="AN58" s="167">
        <f>Rounding!AN153</f>
        <v>78.08</v>
      </c>
      <c r="AO58" s="167">
        <f>Rounding!AO153</f>
        <v>78.08</v>
      </c>
    </row>
    <row r="59" spans="3:43" x14ac:dyDescent="0.25">
      <c r="E59" s="94"/>
      <c r="F59" t="s">
        <v>160</v>
      </c>
      <c r="G59" s="61" t="s">
        <v>271</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12.18</v>
      </c>
      <c r="S59" s="167">
        <f>Rounding!S154</f>
        <v>12.18</v>
      </c>
      <c r="T59" s="167">
        <f>Rounding!T154</f>
        <v>12.18</v>
      </c>
      <c r="U59" s="167">
        <f>Rounding!U154</f>
        <v>12.18</v>
      </c>
      <c r="V59" s="167">
        <f>Rounding!V154</f>
        <v>12.18</v>
      </c>
      <c r="W59" s="167">
        <f>Rounding!W154</f>
        <v>10.47</v>
      </c>
      <c r="X59" s="167">
        <f>Rounding!X154</f>
        <v>10.47</v>
      </c>
      <c r="Y59" s="167">
        <f>Rounding!Y154</f>
        <v>10.47</v>
      </c>
      <c r="Z59" s="167">
        <f>Rounding!Z154</f>
        <v>10.47</v>
      </c>
      <c r="AA59" s="167">
        <f>Rounding!AA154</f>
        <v>10.47</v>
      </c>
      <c r="AB59" s="167">
        <f>Rounding!AB154</f>
        <v>10.06</v>
      </c>
      <c r="AC59" s="167">
        <f>Rounding!AC154</f>
        <v>10.06</v>
      </c>
      <c r="AD59" s="167">
        <f>Rounding!AD154</f>
        <v>10.06</v>
      </c>
      <c r="AE59" s="167">
        <f>Rounding!AE154</f>
        <v>10.06</v>
      </c>
      <c r="AF59" s="167">
        <f>Rounding!AF154</f>
        <v>10.06</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25">
      <c r="E60" s="94"/>
      <c r="F60" t="s">
        <v>161</v>
      </c>
      <c r="G60" s="61" t="s">
        <v>271</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12.18</v>
      </c>
      <c r="S60" s="167">
        <f>Rounding!S155</f>
        <v>12.18</v>
      </c>
      <c r="T60" s="167">
        <f>Rounding!T155</f>
        <v>12.18</v>
      </c>
      <c r="U60" s="167">
        <f>Rounding!U155</f>
        <v>12.18</v>
      </c>
      <c r="V60" s="167">
        <f>Rounding!V155</f>
        <v>12.18</v>
      </c>
      <c r="W60" s="167">
        <f>Rounding!W155</f>
        <v>10.47</v>
      </c>
      <c r="X60" s="167">
        <f>Rounding!X155</f>
        <v>10.47</v>
      </c>
      <c r="Y60" s="167">
        <f>Rounding!Y155</f>
        <v>10.47</v>
      </c>
      <c r="Z60" s="167">
        <f>Rounding!Z155</f>
        <v>10.47</v>
      </c>
      <c r="AA60" s="167">
        <f>Rounding!AA155</f>
        <v>10.47</v>
      </c>
      <c r="AB60" s="167">
        <f>Rounding!AB155</f>
        <v>10.06</v>
      </c>
      <c r="AC60" s="167">
        <f>Rounding!AC155</f>
        <v>10.06</v>
      </c>
      <c r="AD60" s="167">
        <f>Rounding!AD155</f>
        <v>10.06</v>
      </c>
      <c r="AE60" s="167">
        <f>Rounding!AE155</f>
        <v>10.06</v>
      </c>
      <c r="AF60" s="167">
        <f>Rounding!AF155</f>
        <v>10.06</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25">
      <c r="E61" s="94"/>
      <c r="F61" s="96" t="s">
        <v>162</v>
      </c>
      <c r="G61" s="144" t="s">
        <v>272</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0.216</v>
      </c>
      <c r="S61" s="311">
        <f>Rounding!S156</f>
        <v>0.216</v>
      </c>
      <c r="T61" s="311">
        <f>Rounding!T156</f>
        <v>0.216</v>
      </c>
      <c r="U61" s="311">
        <f>Rounding!U156</f>
        <v>0.216</v>
      </c>
      <c r="V61" s="311">
        <f>Rounding!V156</f>
        <v>0.216</v>
      </c>
      <c r="W61" s="311">
        <f>Rounding!W156</f>
        <v>0.11799999999999999</v>
      </c>
      <c r="X61" s="311">
        <f>Rounding!X156</f>
        <v>0.11799999999999999</v>
      </c>
      <c r="Y61" s="311">
        <f>Rounding!Y156</f>
        <v>0.11799999999999999</v>
      </c>
      <c r="Z61" s="311">
        <f>Rounding!Z156</f>
        <v>0.11799999999999999</v>
      </c>
      <c r="AA61" s="311">
        <f>Rounding!AA156</f>
        <v>0.11799999999999999</v>
      </c>
      <c r="AB61" s="311">
        <f>Rounding!AB156</f>
        <v>8.2000000000000003E-2</v>
      </c>
      <c r="AC61" s="311">
        <f>Rounding!AC156</f>
        <v>8.2000000000000003E-2</v>
      </c>
      <c r="AD61" s="311">
        <f>Rounding!AD156</f>
        <v>8.2000000000000003E-2</v>
      </c>
      <c r="AE61" s="311">
        <f>Rounding!AE156</f>
        <v>8.2000000000000003E-2</v>
      </c>
      <c r="AF61" s="311">
        <f>Rounding!AF156</f>
        <v>8.2000000000000003E-2</v>
      </c>
      <c r="AG61" s="311">
        <f>Rounding!AG156</f>
        <v>0</v>
      </c>
      <c r="AH61" s="311">
        <f>Rounding!AH156</f>
        <v>0</v>
      </c>
      <c r="AI61" s="311">
        <f>Rounding!AI156</f>
        <v>0</v>
      </c>
      <c r="AJ61" s="311">
        <f>Rounding!AJ156</f>
        <v>0.26400000000000001</v>
      </c>
      <c r="AK61" s="311">
        <f>Rounding!AK156</f>
        <v>0</v>
      </c>
      <c r="AL61" s="311">
        <f>Rounding!AL156</f>
        <v>0.189</v>
      </c>
      <c r="AM61" s="311">
        <f>Rounding!AM156</f>
        <v>0</v>
      </c>
      <c r="AN61" s="311">
        <f>Rounding!AN156</f>
        <v>0.159</v>
      </c>
      <c r="AO61" s="311">
        <f>Rounding!AO156</f>
        <v>0</v>
      </c>
      <c r="AP61" s="268"/>
      <c r="AQ61" s="268"/>
    </row>
    <row r="62" spans="3:43" x14ac:dyDescent="0.2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25">
      <c r="E63" s="75" t="s">
        <v>717</v>
      </c>
      <c r="G63" s="61"/>
      <c r="I63" t="s">
        <v>154</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155</v>
      </c>
    </row>
    <row r="64" spans="3:43" x14ac:dyDescent="0.25">
      <c r="F64" s="95" t="s">
        <v>156</v>
      </c>
      <c r="G64" s="143" t="s">
        <v>269</v>
      </c>
      <c r="H64" s="278"/>
      <c r="I64" s="266"/>
      <c r="J64" s="278">
        <f>Rounding!J159</f>
        <v>14.031000000000001</v>
      </c>
      <c r="K64" s="278">
        <f>Rounding!K159</f>
        <v>14.031000000000001</v>
      </c>
      <c r="L64" s="278">
        <f>Rounding!L159</f>
        <v>14.926</v>
      </c>
      <c r="M64" s="278">
        <f>Rounding!M159</f>
        <v>14.926</v>
      </c>
      <c r="N64" s="278">
        <f>Rounding!N159</f>
        <v>14.926</v>
      </c>
      <c r="O64" s="278">
        <f>Rounding!O159</f>
        <v>14.926</v>
      </c>
      <c r="P64" s="278">
        <f>Rounding!P159</f>
        <v>14.926</v>
      </c>
      <c r="Q64" s="278">
        <f>Rounding!Q159</f>
        <v>14.926</v>
      </c>
      <c r="R64" s="278">
        <f>Rounding!R159</f>
        <v>9.1470000000000002</v>
      </c>
      <c r="S64" s="278">
        <f>Rounding!S159</f>
        <v>9.1470000000000002</v>
      </c>
      <c r="T64" s="278">
        <f>Rounding!T159</f>
        <v>9.1470000000000002</v>
      </c>
      <c r="U64" s="278">
        <f>Rounding!U159</f>
        <v>9.1470000000000002</v>
      </c>
      <c r="V64" s="278">
        <f>Rounding!V159</f>
        <v>9.1470000000000002</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42.087000000000003</v>
      </c>
      <c r="AH64" s="278">
        <f>Rounding!AH159</f>
        <v>-14.503</v>
      </c>
      <c r="AI64" s="278">
        <f>Rounding!AI159</f>
        <v>0</v>
      </c>
      <c r="AJ64" s="278">
        <f>Rounding!AJ159</f>
        <v>-14.503</v>
      </c>
      <c r="AK64" s="278">
        <f>Rounding!AK159</f>
        <v>0</v>
      </c>
      <c r="AL64" s="278">
        <f>Rounding!AL159</f>
        <v>0</v>
      </c>
      <c r="AM64" s="278">
        <f>Rounding!AM159</f>
        <v>0</v>
      </c>
      <c r="AN64" s="278">
        <f>Rounding!AN159</f>
        <v>0</v>
      </c>
      <c r="AO64" s="278">
        <f>Rounding!AO159</f>
        <v>0</v>
      </c>
      <c r="AP64" s="268"/>
      <c r="AQ64" s="268"/>
    </row>
    <row r="65" spans="3:43" x14ac:dyDescent="0.25">
      <c r="E65" s="94"/>
      <c r="F65" t="s">
        <v>157</v>
      </c>
      <c r="G65" s="61" t="s">
        <v>269</v>
      </c>
      <c r="H65" s="279"/>
      <c r="I65" s="268"/>
      <c r="J65" s="279">
        <f>Rounding!J160</f>
        <v>1.119</v>
      </c>
      <c r="K65" s="279">
        <f>Rounding!K160</f>
        <v>1.119</v>
      </c>
      <c r="L65" s="279">
        <f>Rounding!L160</f>
        <v>1.19</v>
      </c>
      <c r="M65" s="279">
        <f>Rounding!M160</f>
        <v>1.19</v>
      </c>
      <c r="N65" s="279">
        <f>Rounding!N160</f>
        <v>1.19</v>
      </c>
      <c r="O65" s="279">
        <f>Rounding!O160</f>
        <v>1.19</v>
      </c>
      <c r="P65" s="279">
        <f>Rounding!P160</f>
        <v>1.19</v>
      </c>
      <c r="Q65" s="279">
        <f>Rounding!Q160</f>
        <v>1.19</v>
      </c>
      <c r="R65" s="279">
        <f>Rounding!R160</f>
        <v>0.65700000000000003</v>
      </c>
      <c r="S65" s="279">
        <f>Rounding!S160</f>
        <v>0.65700000000000003</v>
      </c>
      <c r="T65" s="279">
        <f>Rounding!T160</f>
        <v>0.65700000000000003</v>
      </c>
      <c r="U65" s="279">
        <f>Rounding!U160</f>
        <v>0.65700000000000003</v>
      </c>
      <c r="V65" s="279">
        <f>Rounding!V160</f>
        <v>0.65700000000000003</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2.181</v>
      </c>
      <c r="AH65" s="279">
        <f>Rounding!AH160</f>
        <v>-1.1559999999999999</v>
      </c>
      <c r="AI65" s="279">
        <f>Rounding!AI160</f>
        <v>0</v>
      </c>
      <c r="AJ65" s="279">
        <f>Rounding!AJ160</f>
        <v>-1.1559999999999999</v>
      </c>
      <c r="AK65" s="279">
        <f>Rounding!AK160</f>
        <v>0</v>
      </c>
      <c r="AL65" s="279">
        <f>Rounding!AL160</f>
        <v>0</v>
      </c>
      <c r="AM65" s="279">
        <f>Rounding!AM160</f>
        <v>0</v>
      </c>
      <c r="AN65" s="279">
        <f>Rounding!AN160</f>
        <v>0</v>
      </c>
      <c r="AO65" s="279">
        <f>Rounding!AO160</f>
        <v>0</v>
      </c>
      <c r="AP65" s="268"/>
      <c r="AQ65" s="268"/>
    </row>
    <row r="66" spans="3:43" x14ac:dyDescent="0.25">
      <c r="E66" s="94"/>
      <c r="F66" t="s">
        <v>158</v>
      </c>
      <c r="G66" s="61" t="s">
        <v>269</v>
      </c>
      <c r="H66" s="279"/>
      <c r="I66" s="268"/>
      <c r="J66" s="279">
        <f>Rounding!J161</f>
        <v>0.122</v>
      </c>
      <c r="K66" s="279">
        <f>Rounding!K161</f>
        <v>0.122</v>
      </c>
      <c r="L66" s="279">
        <f>Rounding!L161</f>
        <v>0.13</v>
      </c>
      <c r="M66" s="279">
        <f>Rounding!M161</f>
        <v>0.13</v>
      </c>
      <c r="N66" s="279">
        <f>Rounding!N161</f>
        <v>0.13</v>
      </c>
      <c r="O66" s="279">
        <f>Rounding!O161</f>
        <v>0.13</v>
      </c>
      <c r="P66" s="279">
        <f>Rounding!P161</f>
        <v>0.13</v>
      </c>
      <c r="Q66" s="279">
        <f>Rounding!Q161</f>
        <v>0.13</v>
      </c>
      <c r="R66" s="279">
        <f>Rounding!R161</f>
        <v>7.0000000000000007E-2</v>
      </c>
      <c r="S66" s="279">
        <f>Rounding!S161</f>
        <v>7.0000000000000007E-2</v>
      </c>
      <c r="T66" s="279">
        <f>Rounding!T161</f>
        <v>7.0000000000000007E-2</v>
      </c>
      <c r="U66" s="279">
        <f>Rounding!U161</f>
        <v>7.0000000000000007E-2</v>
      </c>
      <c r="V66" s="279">
        <f>Rounding!V161</f>
        <v>7.0000000000000007E-2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0.94599999999999995</v>
      </c>
      <c r="AH66" s="279">
        <f>Rounding!AH161</f>
        <v>-0.126</v>
      </c>
      <c r="AI66" s="279">
        <f>Rounding!AI161</f>
        <v>0</v>
      </c>
      <c r="AJ66" s="279">
        <f>Rounding!AJ161</f>
        <v>-0.126</v>
      </c>
      <c r="AK66" s="279">
        <f>Rounding!AK161</f>
        <v>0</v>
      </c>
      <c r="AL66" s="279">
        <f>Rounding!AL161</f>
        <v>0</v>
      </c>
      <c r="AM66" s="279">
        <f>Rounding!AM161</f>
        <v>0</v>
      </c>
      <c r="AN66" s="279">
        <f>Rounding!AN161</f>
        <v>0</v>
      </c>
      <c r="AO66" s="279">
        <f>Rounding!AO161</f>
        <v>0</v>
      </c>
      <c r="AP66" s="268"/>
      <c r="AQ66" s="268"/>
    </row>
    <row r="67" spans="3:43" x14ac:dyDescent="0.25">
      <c r="E67" s="94"/>
      <c r="F67" t="s">
        <v>159</v>
      </c>
      <c r="G67" s="61" t="s">
        <v>270</v>
      </c>
      <c r="H67" s="78"/>
      <c r="J67" s="167">
        <f>Rounding!J162</f>
        <v>7.75</v>
      </c>
      <c r="K67" s="167">
        <f>Rounding!K162</f>
        <v>0</v>
      </c>
      <c r="L67" s="167">
        <f>Rounding!L162</f>
        <v>10.73</v>
      </c>
      <c r="M67" s="167">
        <f>Rounding!M162</f>
        <v>11.11</v>
      </c>
      <c r="N67" s="167">
        <f>Rounding!N162</f>
        <v>12.28</v>
      </c>
      <c r="O67" s="167">
        <f>Rounding!O162</f>
        <v>13.85</v>
      </c>
      <c r="P67" s="167">
        <f>Rounding!P162</f>
        <v>18.309999999999999</v>
      </c>
      <c r="Q67" s="167">
        <f>Rounding!Q162</f>
        <v>0</v>
      </c>
      <c r="R67" s="167">
        <f>Rounding!R162</f>
        <v>10.68</v>
      </c>
      <c r="S67" s="167">
        <f>Rounding!S162</f>
        <v>25.6</v>
      </c>
      <c r="T67" s="167">
        <f>Rounding!T162</f>
        <v>37.49</v>
      </c>
      <c r="U67" s="167">
        <f>Rounding!U162</f>
        <v>53.55</v>
      </c>
      <c r="V67" s="167">
        <f>Rounding!V162</f>
        <v>105.63</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25">
      <c r="E68" s="94"/>
      <c r="F68" t="s">
        <v>160</v>
      </c>
      <c r="G68" s="61" t="s">
        <v>271</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7.51</v>
      </c>
      <c r="S68" s="167">
        <f>Rounding!S163</f>
        <v>7.51</v>
      </c>
      <c r="T68" s="167">
        <f>Rounding!T163</f>
        <v>7.51</v>
      </c>
      <c r="U68" s="167">
        <f>Rounding!U163</f>
        <v>7.51</v>
      </c>
      <c r="V68" s="167">
        <f>Rounding!V163</f>
        <v>7.51</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25">
      <c r="E69" s="94"/>
      <c r="F69" t="s">
        <v>161</v>
      </c>
      <c r="G69" s="61" t="s">
        <v>271</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7.51</v>
      </c>
      <c r="S69" s="167">
        <f>Rounding!S164</f>
        <v>7.51</v>
      </c>
      <c r="T69" s="167">
        <f>Rounding!T164</f>
        <v>7.51</v>
      </c>
      <c r="U69" s="167">
        <f>Rounding!U164</f>
        <v>7.51</v>
      </c>
      <c r="V69" s="167">
        <f>Rounding!V164</f>
        <v>7.51</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25">
      <c r="E70" s="94"/>
      <c r="F70" s="96" t="s">
        <v>162</v>
      </c>
      <c r="G70" s="144" t="s">
        <v>272</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0.13300000000000001</v>
      </c>
      <c r="S70" s="311">
        <f>Rounding!S165</f>
        <v>0.13300000000000001</v>
      </c>
      <c r="T70" s="311">
        <f>Rounding!T165</f>
        <v>0.13300000000000001</v>
      </c>
      <c r="U70" s="311">
        <f>Rounding!U165</f>
        <v>0.13300000000000001</v>
      </c>
      <c r="V70" s="311">
        <f>Rounding!V165</f>
        <v>0.13300000000000001</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0.26400000000000001</v>
      </c>
      <c r="AK70" s="311">
        <f>Rounding!AK165</f>
        <v>0</v>
      </c>
      <c r="AL70" s="311">
        <f>Rounding!AL165</f>
        <v>0</v>
      </c>
      <c r="AM70" s="311">
        <f>Rounding!AM165</f>
        <v>0</v>
      </c>
      <c r="AN70" s="311">
        <f>Rounding!AN165</f>
        <v>0</v>
      </c>
      <c r="AO70" s="311">
        <f>Rounding!AO165</f>
        <v>0</v>
      </c>
      <c r="AP70" s="268"/>
      <c r="AQ70" s="268"/>
    </row>
    <row r="71" spans="3:43" x14ac:dyDescent="0.2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25">
      <c r="E72" s="75" t="s">
        <v>718</v>
      </c>
      <c r="G72" s="61"/>
      <c r="I72" t="s">
        <v>154</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155</v>
      </c>
    </row>
    <row r="73" spans="3:43" x14ac:dyDescent="0.25">
      <c r="C73" s="105"/>
      <c r="F73" s="95" t="s">
        <v>156</v>
      </c>
      <c r="G73" s="143" t="s">
        <v>269</v>
      </c>
      <c r="H73" s="278"/>
      <c r="I73" s="266"/>
      <c r="J73" s="278">
        <f>Rounding!J168</f>
        <v>9.3689999999999998</v>
      </c>
      <c r="K73" s="278">
        <f>Rounding!K168</f>
        <v>9.3689999999999998</v>
      </c>
      <c r="L73" s="278">
        <f>Rounding!L168</f>
        <v>9.9659999999999993</v>
      </c>
      <c r="M73" s="278">
        <f>Rounding!M168</f>
        <v>9.9659999999999993</v>
      </c>
      <c r="N73" s="278">
        <f>Rounding!N168</f>
        <v>9.9659999999999993</v>
      </c>
      <c r="O73" s="278">
        <f>Rounding!O168</f>
        <v>9.9659999999999993</v>
      </c>
      <c r="P73" s="278">
        <f>Rounding!P168</f>
        <v>9.9659999999999993</v>
      </c>
      <c r="Q73" s="278">
        <f>Rounding!Q168</f>
        <v>9.9659999999999993</v>
      </c>
      <c r="R73" s="278">
        <f>Rounding!R168</f>
        <v>6.1070000000000002</v>
      </c>
      <c r="S73" s="278">
        <f>Rounding!S168</f>
        <v>6.1070000000000002</v>
      </c>
      <c r="T73" s="278">
        <f>Rounding!T168</f>
        <v>6.1070000000000002</v>
      </c>
      <c r="U73" s="278">
        <f>Rounding!U168</f>
        <v>6.1070000000000002</v>
      </c>
      <c r="V73" s="278">
        <f>Rounding!V168</f>
        <v>6.1070000000000002</v>
      </c>
      <c r="W73" s="278">
        <f>Rounding!W168</f>
        <v>6.4580000000000002</v>
      </c>
      <c r="X73" s="278">
        <f>Rounding!X168</f>
        <v>6.4580000000000002</v>
      </c>
      <c r="Y73" s="278">
        <f>Rounding!Y168</f>
        <v>6.4580000000000002</v>
      </c>
      <c r="Z73" s="278">
        <f>Rounding!Z168</f>
        <v>6.4580000000000002</v>
      </c>
      <c r="AA73" s="278">
        <f>Rounding!AA168</f>
        <v>6.4580000000000002</v>
      </c>
      <c r="AB73" s="278">
        <f>Rounding!AB168</f>
        <v>5.9379999999999997</v>
      </c>
      <c r="AC73" s="278">
        <f>Rounding!AC168</f>
        <v>5.9379999999999997</v>
      </c>
      <c r="AD73" s="278">
        <f>Rounding!AD168</f>
        <v>5.9379999999999997</v>
      </c>
      <c r="AE73" s="278">
        <f>Rounding!AE168</f>
        <v>5.9379999999999997</v>
      </c>
      <c r="AF73" s="278">
        <f>Rounding!AF168</f>
        <v>5.9379999999999997</v>
      </c>
      <c r="AG73" s="278">
        <f>Rounding!AG168</f>
        <v>28.102</v>
      </c>
      <c r="AH73" s="278">
        <f>Rounding!AH168</f>
        <v>-14.503</v>
      </c>
      <c r="AI73" s="278">
        <f>Rounding!AI168</f>
        <v>-12.444000000000001</v>
      </c>
      <c r="AJ73" s="278">
        <f>Rounding!AJ168</f>
        <v>-14.503</v>
      </c>
      <c r="AK73" s="278">
        <f>Rounding!AK168</f>
        <v>0</v>
      </c>
      <c r="AL73" s="278">
        <f>Rounding!AL168</f>
        <v>-12.444000000000001</v>
      </c>
      <c r="AM73" s="278">
        <f>Rounding!AM168</f>
        <v>0</v>
      </c>
      <c r="AN73" s="278">
        <f>Rounding!AN168</f>
        <v>-7.7859999999999996</v>
      </c>
      <c r="AO73" s="278">
        <f>Rounding!AO168</f>
        <v>0</v>
      </c>
      <c r="AP73" s="268"/>
      <c r="AQ73" s="268"/>
    </row>
    <row r="74" spans="3:43" x14ac:dyDescent="0.25">
      <c r="C74" s="105"/>
      <c r="F74" t="s">
        <v>157</v>
      </c>
      <c r="G74" s="61" t="s">
        <v>269</v>
      </c>
      <c r="H74" s="279"/>
      <c r="I74" s="268"/>
      <c r="J74" s="279">
        <f>Rounding!J169</f>
        <v>0.747</v>
      </c>
      <c r="K74" s="279">
        <f>Rounding!K169</f>
        <v>0.747</v>
      </c>
      <c r="L74" s="279">
        <f>Rounding!L169</f>
        <v>0.79500000000000004</v>
      </c>
      <c r="M74" s="279">
        <f>Rounding!M169</f>
        <v>0.79500000000000004</v>
      </c>
      <c r="N74" s="279">
        <f>Rounding!N169</f>
        <v>0.79500000000000004</v>
      </c>
      <c r="O74" s="279">
        <f>Rounding!O169</f>
        <v>0.79500000000000004</v>
      </c>
      <c r="P74" s="279">
        <f>Rounding!P169</f>
        <v>0.79500000000000004</v>
      </c>
      <c r="Q74" s="279">
        <f>Rounding!Q169</f>
        <v>0.79500000000000004</v>
      </c>
      <c r="R74" s="279">
        <f>Rounding!R169</f>
        <v>0.438</v>
      </c>
      <c r="S74" s="279">
        <f>Rounding!S169</f>
        <v>0.438</v>
      </c>
      <c r="T74" s="279">
        <f>Rounding!T169</f>
        <v>0.438</v>
      </c>
      <c r="U74" s="279">
        <f>Rounding!U169</f>
        <v>0.438</v>
      </c>
      <c r="V74" s="279">
        <f>Rounding!V169</f>
        <v>0.438</v>
      </c>
      <c r="W74" s="279">
        <f>Rounding!W169</f>
        <v>0.34100000000000003</v>
      </c>
      <c r="X74" s="279">
        <f>Rounding!X169</f>
        <v>0.34100000000000003</v>
      </c>
      <c r="Y74" s="279">
        <f>Rounding!Y169</f>
        <v>0.34100000000000003</v>
      </c>
      <c r="Z74" s="279">
        <f>Rounding!Z169</f>
        <v>0.34100000000000003</v>
      </c>
      <c r="AA74" s="279">
        <f>Rounding!AA169</f>
        <v>0.34100000000000003</v>
      </c>
      <c r="AB74" s="279">
        <f>Rounding!AB169</f>
        <v>0.248</v>
      </c>
      <c r="AC74" s="279">
        <f>Rounding!AC169</f>
        <v>0.248</v>
      </c>
      <c r="AD74" s="279">
        <f>Rounding!AD169</f>
        <v>0.248</v>
      </c>
      <c r="AE74" s="279">
        <f>Rounding!AE169</f>
        <v>0.248</v>
      </c>
      <c r="AF74" s="279">
        <f>Rounding!AF169</f>
        <v>0.248</v>
      </c>
      <c r="AG74" s="279">
        <f>Rounding!AG169</f>
        <v>1.4570000000000001</v>
      </c>
      <c r="AH74" s="279">
        <f>Rounding!AH169</f>
        <v>-1.1559999999999999</v>
      </c>
      <c r="AI74" s="279">
        <f>Rounding!AI169</f>
        <v>-0.93100000000000005</v>
      </c>
      <c r="AJ74" s="279">
        <f>Rounding!AJ169</f>
        <v>-1.1559999999999999</v>
      </c>
      <c r="AK74" s="279">
        <f>Rounding!AK169</f>
        <v>0</v>
      </c>
      <c r="AL74" s="279">
        <f>Rounding!AL169</f>
        <v>-0.93100000000000005</v>
      </c>
      <c r="AM74" s="279">
        <f>Rounding!AM169</f>
        <v>0</v>
      </c>
      <c r="AN74" s="279">
        <f>Rounding!AN169</f>
        <v>-0.41199999999999998</v>
      </c>
      <c r="AO74" s="279">
        <f>Rounding!AO169</f>
        <v>0</v>
      </c>
      <c r="AP74" s="268"/>
      <c r="AQ74" s="268"/>
    </row>
    <row r="75" spans="3:43" x14ac:dyDescent="0.25">
      <c r="C75" s="105"/>
      <c r="F75" t="s">
        <v>158</v>
      </c>
      <c r="G75" s="61" t="s">
        <v>269</v>
      </c>
      <c r="H75" s="279"/>
      <c r="I75" s="268"/>
      <c r="J75" s="279">
        <f>Rounding!J170</f>
        <v>8.2000000000000003E-2</v>
      </c>
      <c r="K75" s="279">
        <f>Rounding!K170</f>
        <v>8.2000000000000003E-2</v>
      </c>
      <c r="L75" s="279">
        <f>Rounding!L170</f>
        <v>8.6999999999999994E-2</v>
      </c>
      <c r="M75" s="279">
        <f>Rounding!M170</f>
        <v>8.6999999999999994E-2</v>
      </c>
      <c r="N75" s="279">
        <f>Rounding!N170</f>
        <v>8.6999999999999994E-2</v>
      </c>
      <c r="O75" s="279">
        <f>Rounding!O170</f>
        <v>8.6999999999999994E-2</v>
      </c>
      <c r="P75" s="279">
        <f>Rounding!P170</f>
        <v>8.6999999999999994E-2</v>
      </c>
      <c r="Q75" s="279">
        <f>Rounding!Q170</f>
        <v>8.6999999999999994E-2</v>
      </c>
      <c r="R75" s="279">
        <f>Rounding!R170</f>
        <v>4.7E-2</v>
      </c>
      <c r="S75" s="279">
        <f>Rounding!S170</f>
        <v>4.7E-2</v>
      </c>
      <c r="T75" s="279">
        <f>Rounding!T170</f>
        <v>4.7E-2</v>
      </c>
      <c r="U75" s="279">
        <f>Rounding!U170</f>
        <v>4.7E-2</v>
      </c>
      <c r="V75" s="279">
        <f>Rounding!V170</f>
        <v>4.7E-2</v>
      </c>
      <c r="W75" s="279">
        <f>Rounding!W170</f>
        <v>3.4000000000000002E-2</v>
      </c>
      <c r="X75" s="279">
        <f>Rounding!X170</f>
        <v>3.4000000000000002E-2</v>
      </c>
      <c r="Y75" s="279">
        <f>Rounding!Y170</f>
        <v>3.4000000000000002E-2</v>
      </c>
      <c r="Z75" s="279">
        <f>Rounding!Z170</f>
        <v>3.4000000000000002E-2</v>
      </c>
      <c r="AA75" s="279">
        <f>Rounding!AA170</f>
        <v>3.4000000000000002E-2</v>
      </c>
      <c r="AB75" s="279">
        <f>Rounding!AB170</f>
        <v>2.3E-2</v>
      </c>
      <c r="AC75" s="279">
        <f>Rounding!AC170</f>
        <v>2.3E-2</v>
      </c>
      <c r="AD75" s="279">
        <f>Rounding!AD170</f>
        <v>2.3E-2</v>
      </c>
      <c r="AE75" s="279">
        <f>Rounding!AE170</f>
        <v>2.3E-2</v>
      </c>
      <c r="AF75" s="279">
        <f>Rounding!AF170</f>
        <v>2.3E-2</v>
      </c>
      <c r="AG75" s="279">
        <f>Rounding!AG170</f>
        <v>0.63200000000000001</v>
      </c>
      <c r="AH75" s="279">
        <f>Rounding!AH170</f>
        <v>-0.126</v>
      </c>
      <c r="AI75" s="279">
        <f>Rounding!AI170</f>
        <v>-0.10100000000000001</v>
      </c>
      <c r="AJ75" s="279">
        <f>Rounding!AJ170</f>
        <v>-0.126</v>
      </c>
      <c r="AK75" s="279">
        <f>Rounding!AK170</f>
        <v>0</v>
      </c>
      <c r="AL75" s="279">
        <f>Rounding!AL170</f>
        <v>-0.10100000000000001</v>
      </c>
      <c r="AM75" s="279">
        <f>Rounding!AM170</f>
        <v>0</v>
      </c>
      <c r="AN75" s="279">
        <f>Rounding!AN170</f>
        <v>-4.1000000000000002E-2</v>
      </c>
      <c r="AO75" s="279">
        <f>Rounding!AO170</f>
        <v>0</v>
      </c>
      <c r="AP75" s="268"/>
      <c r="AQ75" s="268"/>
    </row>
    <row r="76" spans="3:43" x14ac:dyDescent="0.25">
      <c r="C76" s="105"/>
      <c r="F76" t="s">
        <v>159</v>
      </c>
      <c r="G76" s="61" t="s">
        <v>270</v>
      </c>
      <c r="H76" s="78"/>
      <c r="J76" s="167">
        <f>Rounding!J171</f>
        <v>5.18</v>
      </c>
      <c r="K76" s="167">
        <f>Rounding!K171</f>
        <v>0</v>
      </c>
      <c r="L76" s="167">
        <f>Rounding!L171</f>
        <v>7.17</v>
      </c>
      <c r="M76" s="167">
        <f>Rounding!M171</f>
        <v>7.42</v>
      </c>
      <c r="N76" s="167">
        <f>Rounding!N171</f>
        <v>8.1999999999999993</v>
      </c>
      <c r="O76" s="167">
        <f>Rounding!O171</f>
        <v>9.25</v>
      </c>
      <c r="P76" s="167">
        <f>Rounding!P171</f>
        <v>12.23</v>
      </c>
      <c r="Q76" s="167">
        <f>Rounding!Q171</f>
        <v>0</v>
      </c>
      <c r="R76" s="167">
        <f>Rounding!R171</f>
        <v>7.13</v>
      </c>
      <c r="S76" s="167">
        <f>Rounding!S171</f>
        <v>17.09</v>
      </c>
      <c r="T76" s="167">
        <f>Rounding!T171</f>
        <v>25.03</v>
      </c>
      <c r="U76" s="167">
        <f>Rounding!U171</f>
        <v>35.75</v>
      </c>
      <c r="V76" s="167">
        <f>Rounding!V171</f>
        <v>70.53</v>
      </c>
      <c r="W76" s="167">
        <f>Rounding!W171</f>
        <v>9.31</v>
      </c>
      <c r="X76" s="167">
        <f>Rounding!X171</f>
        <v>25.98</v>
      </c>
      <c r="Y76" s="167">
        <f>Rounding!Y171</f>
        <v>39.270000000000003</v>
      </c>
      <c r="Z76" s="167">
        <f>Rounding!Z171</f>
        <v>57.21</v>
      </c>
      <c r="AA76" s="167">
        <f>Rounding!AA171</f>
        <v>115.41</v>
      </c>
      <c r="AB76" s="167">
        <f>Rounding!AB171</f>
        <v>102.3</v>
      </c>
      <c r="AC76" s="167">
        <f>Rounding!AC171</f>
        <v>244.86</v>
      </c>
      <c r="AD76" s="167">
        <f>Rounding!AD171</f>
        <v>430.59</v>
      </c>
      <c r="AE76" s="167">
        <f>Rounding!AE171</f>
        <v>833.22</v>
      </c>
      <c r="AF76" s="167">
        <f>Rounding!AF171</f>
        <v>1564.7</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25">
      <c r="C77" s="105"/>
      <c r="F77" t="s">
        <v>160</v>
      </c>
      <c r="G77" s="61" t="s">
        <v>271</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5.01</v>
      </c>
      <c r="S77" s="167">
        <f>Rounding!S172</f>
        <v>5.01</v>
      </c>
      <c r="T77" s="167">
        <f>Rounding!T172</f>
        <v>5.01</v>
      </c>
      <c r="U77" s="167">
        <f>Rounding!U172</f>
        <v>5.01</v>
      </c>
      <c r="V77" s="167">
        <f>Rounding!V172</f>
        <v>5.01</v>
      </c>
      <c r="W77" s="167">
        <f>Rounding!W172</f>
        <v>7.22</v>
      </c>
      <c r="X77" s="167">
        <f>Rounding!X172</f>
        <v>7.22</v>
      </c>
      <c r="Y77" s="167">
        <f>Rounding!Y172</f>
        <v>7.22</v>
      </c>
      <c r="Z77" s="167">
        <f>Rounding!Z172</f>
        <v>7.22</v>
      </c>
      <c r="AA77" s="167">
        <f>Rounding!AA172</f>
        <v>7.22</v>
      </c>
      <c r="AB77" s="167">
        <f>Rounding!AB172</f>
        <v>8.25</v>
      </c>
      <c r="AC77" s="167">
        <f>Rounding!AC172</f>
        <v>8.25</v>
      </c>
      <c r="AD77" s="167">
        <f>Rounding!AD172</f>
        <v>8.25</v>
      </c>
      <c r="AE77" s="167">
        <f>Rounding!AE172</f>
        <v>8.25</v>
      </c>
      <c r="AF77" s="167">
        <f>Rounding!AF172</f>
        <v>8.25</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25">
      <c r="C78" s="105"/>
      <c r="F78" t="s">
        <v>161</v>
      </c>
      <c r="G78" s="61" t="s">
        <v>271</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5.01</v>
      </c>
      <c r="S78" s="167">
        <f>Rounding!S173</f>
        <v>5.01</v>
      </c>
      <c r="T78" s="167">
        <f>Rounding!T173</f>
        <v>5.01</v>
      </c>
      <c r="U78" s="167">
        <f>Rounding!U173</f>
        <v>5.01</v>
      </c>
      <c r="V78" s="167">
        <f>Rounding!V173</f>
        <v>5.01</v>
      </c>
      <c r="W78" s="167">
        <f>Rounding!W173</f>
        <v>7.22</v>
      </c>
      <c r="X78" s="167">
        <f>Rounding!X173</f>
        <v>7.22</v>
      </c>
      <c r="Y78" s="167">
        <f>Rounding!Y173</f>
        <v>7.22</v>
      </c>
      <c r="Z78" s="167">
        <f>Rounding!Z173</f>
        <v>7.22</v>
      </c>
      <c r="AA78" s="167">
        <f>Rounding!AA173</f>
        <v>7.22</v>
      </c>
      <c r="AB78" s="167">
        <f>Rounding!AB173</f>
        <v>8.25</v>
      </c>
      <c r="AC78" s="167">
        <f>Rounding!AC173</f>
        <v>8.25</v>
      </c>
      <c r="AD78" s="167">
        <f>Rounding!AD173</f>
        <v>8.25</v>
      </c>
      <c r="AE78" s="167">
        <f>Rounding!AE173</f>
        <v>8.25</v>
      </c>
      <c r="AF78" s="167">
        <f>Rounding!AF173</f>
        <v>8.25</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25">
      <c r="C79" s="105"/>
      <c r="F79" s="96" t="s">
        <v>162</v>
      </c>
      <c r="G79" s="144" t="s">
        <v>272</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8.8999999999999996E-2</v>
      </c>
      <c r="S79" s="311">
        <f>Rounding!S174</f>
        <v>8.8999999999999996E-2</v>
      </c>
      <c r="T79" s="311">
        <f>Rounding!T174</f>
        <v>8.8999999999999996E-2</v>
      </c>
      <c r="U79" s="311">
        <f>Rounding!U174</f>
        <v>8.8999999999999996E-2</v>
      </c>
      <c r="V79" s="311">
        <f>Rounding!V174</f>
        <v>8.8999999999999996E-2</v>
      </c>
      <c r="W79" s="311">
        <f>Rounding!W174</f>
        <v>8.1000000000000003E-2</v>
      </c>
      <c r="X79" s="311">
        <f>Rounding!X174</f>
        <v>8.1000000000000003E-2</v>
      </c>
      <c r="Y79" s="311">
        <f>Rounding!Y174</f>
        <v>8.1000000000000003E-2</v>
      </c>
      <c r="Z79" s="311">
        <f>Rounding!Z174</f>
        <v>8.1000000000000003E-2</v>
      </c>
      <c r="AA79" s="311">
        <f>Rounding!AA174</f>
        <v>8.1000000000000003E-2</v>
      </c>
      <c r="AB79" s="311">
        <f>Rounding!AB174</f>
        <v>6.7000000000000004E-2</v>
      </c>
      <c r="AC79" s="311">
        <f>Rounding!AC174</f>
        <v>6.7000000000000004E-2</v>
      </c>
      <c r="AD79" s="311">
        <f>Rounding!AD174</f>
        <v>6.7000000000000004E-2</v>
      </c>
      <c r="AE79" s="311">
        <f>Rounding!AE174</f>
        <v>6.7000000000000004E-2</v>
      </c>
      <c r="AF79" s="311">
        <f>Rounding!AF174</f>
        <v>6.7000000000000004E-2</v>
      </c>
      <c r="AG79" s="311">
        <f>Rounding!AG174</f>
        <v>0</v>
      </c>
      <c r="AH79" s="311">
        <f>Rounding!AH174</f>
        <v>0</v>
      </c>
      <c r="AI79" s="311">
        <f>Rounding!AI174</f>
        <v>0</v>
      </c>
      <c r="AJ79" s="311">
        <f>Rounding!AJ174</f>
        <v>0.26400000000000001</v>
      </c>
      <c r="AK79" s="311">
        <f>Rounding!AK174</f>
        <v>0</v>
      </c>
      <c r="AL79" s="311">
        <f>Rounding!AL174</f>
        <v>0.189</v>
      </c>
      <c r="AM79" s="311">
        <f>Rounding!AM174</f>
        <v>0</v>
      </c>
      <c r="AN79" s="311">
        <f>Rounding!AN174</f>
        <v>0.159</v>
      </c>
      <c r="AO79" s="311">
        <f>Rounding!AO174</f>
        <v>0</v>
      </c>
      <c r="AP79" s="268"/>
      <c r="AQ79" s="268"/>
    </row>
    <row r="80" spans="3:43" x14ac:dyDescent="0.2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25">
      <c r="C81" s="93" t="str">
        <f ca="1">INDEX('Version control'!$H$41:$H$64,MATCH($A$1,'Version control'!$F$41:$F$64,0),1)&amp;"-C: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2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25">
      <c r="E83" t="s">
        <v>694</v>
      </c>
      <c r="G83" s="61" t="s">
        <v>277</v>
      </c>
      <c r="H83" s="167">
        <f>'General inputs'!H86</f>
        <v>402894731.24181867</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2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25">
      <c r="E85" t="s">
        <v>719</v>
      </c>
      <c r="G85" s="61" t="s">
        <v>277</v>
      </c>
      <c r="H85" s="167">
        <f>'Revenue matching'!H82</f>
        <v>392330012.52292454</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25">
      <c r="E86" t="s">
        <v>845</v>
      </c>
      <c r="G86" s="61" t="s">
        <v>277</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25">
      <c r="E87" t="s">
        <v>846</v>
      </c>
      <c r="G87" s="61" t="s">
        <v>277</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25">
      <c r="E88" t="s">
        <v>960</v>
      </c>
      <c r="G88" s="61" t="s">
        <v>277</v>
      </c>
      <c r="H88" s="171">
        <f>'Revenue matching'!H84</f>
        <v>10564718.718894124</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2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25">
      <c r="B90" s="85" t="s">
        <v>720</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2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25">
      <c r="C92" s="93" t="str">
        <f ca="1">INDEX('Version control'!$H$41:$H$64,MATCH($A$1,'Version control'!$F$41:$F$64,0),1)&amp;"-D: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2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25">
      <c r="E94" s="75" t="s">
        <v>721</v>
      </c>
      <c r="G94" s="61"/>
      <c r="H94" s="355" t="s">
        <v>502</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25">
      <c r="E95" s="94"/>
      <c r="F95" s="95" t="s">
        <v>156</v>
      </c>
      <c r="G95" s="143" t="s">
        <v>277</v>
      </c>
      <c r="H95" s="147">
        <f t="shared" ref="H95:H101" si="0">SUM(J95:AO95)</f>
        <v>142558472.62708223</v>
      </c>
      <c r="I95" s="95"/>
      <c r="J95" s="147">
        <f t="shared" ref="J95:AO95" si="1">J22 * thousand * J55 / hundred</f>
        <v>94210022.905431047</v>
      </c>
      <c r="K95" s="147">
        <f t="shared" si="1"/>
        <v>9772.7785281438828</v>
      </c>
      <c r="L95" s="147">
        <f t="shared" si="1"/>
        <v>12439.580151358463</v>
      </c>
      <c r="M95" s="147">
        <f t="shared" si="1"/>
        <v>2140159.9798768354</v>
      </c>
      <c r="N95" s="147">
        <f t="shared" si="1"/>
        <v>6313226.2739557168</v>
      </c>
      <c r="O95" s="147">
        <f t="shared" si="1"/>
        <v>5154060.7684535943</v>
      </c>
      <c r="P95" s="147">
        <f t="shared" si="1"/>
        <v>13025814.556605754</v>
      </c>
      <c r="Q95" s="147">
        <f t="shared" si="1"/>
        <v>6236.3853759684225</v>
      </c>
      <c r="R95" s="147">
        <f t="shared" si="1"/>
        <v>18397.717736983377</v>
      </c>
      <c r="S95" s="147">
        <f t="shared" si="1"/>
        <v>4207866.4944504974</v>
      </c>
      <c r="T95" s="147">
        <f t="shared" si="1"/>
        <v>3640477.898738638</v>
      </c>
      <c r="U95" s="147">
        <f t="shared" si="1"/>
        <v>2614794.0761641273</v>
      </c>
      <c r="V95" s="147">
        <f t="shared" si="1"/>
        <v>2156516.7200964927</v>
      </c>
      <c r="W95" s="147">
        <f t="shared" si="1"/>
        <v>3048.8475118001998</v>
      </c>
      <c r="X95" s="147">
        <f t="shared" si="1"/>
        <v>287641.10761787795</v>
      </c>
      <c r="Y95" s="147">
        <f t="shared" si="1"/>
        <v>527458.98950197524</v>
      </c>
      <c r="Z95" s="147">
        <f t="shared" si="1"/>
        <v>801672.91770458175</v>
      </c>
      <c r="AA95" s="147">
        <f t="shared" si="1"/>
        <v>2295034.0324932924</v>
      </c>
      <c r="AB95" s="147">
        <f t="shared" si="1"/>
        <v>32013.457596734908</v>
      </c>
      <c r="AC95" s="147">
        <f t="shared" si="1"/>
        <v>1218979.2659646026</v>
      </c>
      <c r="AD95" s="147">
        <f t="shared" si="1"/>
        <v>2248260.5044075898</v>
      </c>
      <c r="AE95" s="147">
        <f t="shared" si="1"/>
        <v>2073230.8809016042</v>
      </c>
      <c r="AF95" s="147">
        <f t="shared" si="1"/>
        <v>3636603.7809535586</v>
      </c>
      <c r="AG95" s="147">
        <f t="shared" si="1"/>
        <v>2129955.1087968964</v>
      </c>
      <c r="AH95" s="147">
        <f t="shared" si="1"/>
        <v>-1215810.3328226025</v>
      </c>
      <c r="AI95" s="147">
        <f t="shared" si="1"/>
        <v>-129011.21890273923</v>
      </c>
      <c r="AJ95" s="147">
        <f t="shared" si="1"/>
        <v>-670390.24169705424</v>
      </c>
      <c r="AK95" s="147">
        <f t="shared" si="1"/>
        <v>0</v>
      </c>
      <c r="AL95" s="147">
        <f t="shared" si="1"/>
        <v>0</v>
      </c>
      <c r="AM95" s="147">
        <f t="shared" si="1"/>
        <v>0</v>
      </c>
      <c r="AN95" s="147">
        <f t="shared" si="1"/>
        <v>-4190000.6085110968</v>
      </c>
      <c r="AO95" s="147">
        <f t="shared" si="1"/>
        <v>0</v>
      </c>
    </row>
    <row r="96" spans="2:43" x14ac:dyDescent="0.25">
      <c r="E96" s="94"/>
      <c r="F96" t="s">
        <v>157</v>
      </c>
      <c r="G96" s="61" t="s">
        <v>277</v>
      </c>
      <c r="H96" s="168">
        <f t="shared" si="0"/>
        <v>67485081.608470097</v>
      </c>
      <c r="J96" s="168">
        <f t="shared" ref="J96:AO96" si="2">J23 * thousand * J56 / hundred</f>
        <v>40286720.677025452</v>
      </c>
      <c r="K96" s="168">
        <f t="shared" si="2"/>
        <v>56584.773185272563</v>
      </c>
      <c r="L96" s="168">
        <f t="shared" si="2"/>
        <v>8297.1114248006888</v>
      </c>
      <c r="M96" s="168">
        <f t="shared" si="2"/>
        <v>1434527.8861942799</v>
      </c>
      <c r="N96" s="168">
        <f t="shared" si="2"/>
        <v>4231692.5963474372</v>
      </c>
      <c r="O96" s="168">
        <f t="shared" si="2"/>
        <v>3454715.5208051777</v>
      </c>
      <c r="P96" s="168">
        <f t="shared" si="2"/>
        <v>8731073.5634453315</v>
      </c>
      <c r="Q96" s="168">
        <f t="shared" si="2"/>
        <v>31054.707115464709</v>
      </c>
      <c r="R96" s="168">
        <f t="shared" si="2"/>
        <v>9045.5541232159885</v>
      </c>
      <c r="S96" s="168">
        <f t="shared" si="2"/>
        <v>2182978.1184807327</v>
      </c>
      <c r="T96" s="168">
        <f t="shared" si="2"/>
        <v>1888625.4124839974</v>
      </c>
      <c r="U96" s="168">
        <f t="shared" si="2"/>
        <v>1356516.0064197192</v>
      </c>
      <c r="V96" s="168">
        <f t="shared" si="2"/>
        <v>1118768.57745299</v>
      </c>
      <c r="W96" s="168">
        <f t="shared" si="2"/>
        <v>1691.103526287292</v>
      </c>
      <c r="X96" s="168">
        <f t="shared" si="2"/>
        <v>109948.11836184633</v>
      </c>
      <c r="Y96" s="168">
        <f t="shared" si="2"/>
        <v>201616.25676196837</v>
      </c>
      <c r="Z96" s="168">
        <f t="shared" si="2"/>
        <v>306431.96159696509</v>
      </c>
      <c r="AA96" s="168">
        <f t="shared" si="2"/>
        <v>877255.25582475727</v>
      </c>
      <c r="AB96" s="168">
        <f t="shared" si="2"/>
        <v>17791.261886155786</v>
      </c>
      <c r="AC96" s="168">
        <f t="shared" si="2"/>
        <v>356618.12623160356</v>
      </c>
      <c r="AD96" s="168">
        <f t="shared" si="2"/>
        <v>657739.20094358432</v>
      </c>
      <c r="AE96" s="168">
        <f t="shared" si="2"/>
        <v>606533.46011391212</v>
      </c>
      <c r="AF96" s="168">
        <f t="shared" si="2"/>
        <v>1063905.5662560239</v>
      </c>
      <c r="AG96" s="168">
        <f t="shared" si="2"/>
        <v>1147710.5665200001</v>
      </c>
      <c r="AH96" s="168">
        <f t="shared" si="2"/>
        <v>-886649.53680441796</v>
      </c>
      <c r="AI96" s="168">
        <f t="shared" si="2"/>
        <v>-79398.282844051253</v>
      </c>
      <c r="AJ96" s="168">
        <f t="shared" si="2"/>
        <v>-440381.74465231056</v>
      </c>
      <c r="AK96" s="168">
        <f t="shared" si="2"/>
        <v>0</v>
      </c>
      <c r="AL96" s="168">
        <f t="shared" si="2"/>
        <v>0</v>
      </c>
      <c r="AM96" s="168">
        <f t="shared" si="2"/>
        <v>0</v>
      </c>
      <c r="AN96" s="168">
        <f t="shared" si="2"/>
        <v>-1246330.2097561043</v>
      </c>
      <c r="AO96" s="168">
        <f t="shared" si="2"/>
        <v>0</v>
      </c>
    </row>
    <row r="97" spans="5:41" x14ac:dyDescent="0.25">
      <c r="E97" s="94"/>
      <c r="F97" t="s">
        <v>158</v>
      </c>
      <c r="G97" s="61" t="s">
        <v>277</v>
      </c>
      <c r="H97" s="168">
        <f t="shared" si="0"/>
        <v>8669709.6002059858</v>
      </c>
      <c r="J97" s="168">
        <f t="shared" ref="J97:AO97" si="3">J24 * thousand * J57 / hundred</f>
        <v>5031315.5558135621</v>
      </c>
      <c r="K97" s="168">
        <f t="shared" si="3"/>
        <v>47681.610971384107</v>
      </c>
      <c r="L97" s="168">
        <f t="shared" si="3"/>
        <v>934.87917442453954</v>
      </c>
      <c r="M97" s="168">
        <f t="shared" si="3"/>
        <v>129736.02024219852</v>
      </c>
      <c r="N97" s="168">
        <f t="shared" si="3"/>
        <v>382706.36745512561</v>
      </c>
      <c r="O97" s="168">
        <f t="shared" si="3"/>
        <v>312438.01326669892</v>
      </c>
      <c r="P97" s="168">
        <f t="shared" si="3"/>
        <v>789621.97072958155</v>
      </c>
      <c r="Q97" s="168">
        <f t="shared" si="3"/>
        <v>23897.593458816391</v>
      </c>
      <c r="R97" s="168">
        <f t="shared" si="3"/>
        <v>1064.5151866266976</v>
      </c>
      <c r="S97" s="168">
        <f t="shared" si="3"/>
        <v>208392.09497120115</v>
      </c>
      <c r="T97" s="168">
        <f t="shared" si="3"/>
        <v>180292.51094706426</v>
      </c>
      <c r="U97" s="168">
        <f t="shared" si="3"/>
        <v>129496.12735308221</v>
      </c>
      <c r="V97" s="168">
        <f t="shared" si="3"/>
        <v>106800.21282377178</v>
      </c>
      <c r="W97" s="168">
        <f t="shared" si="3"/>
        <v>115.56081566565204</v>
      </c>
      <c r="X97" s="168">
        <f t="shared" si="3"/>
        <v>10831.851325447782</v>
      </c>
      <c r="Y97" s="168">
        <f t="shared" si="3"/>
        <v>19862.798477839035</v>
      </c>
      <c r="Z97" s="168">
        <f t="shared" si="3"/>
        <v>30189.015499654721</v>
      </c>
      <c r="AA97" s="168">
        <f t="shared" si="3"/>
        <v>86425.29446742103</v>
      </c>
      <c r="AB97" s="168">
        <f t="shared" si="3"/>
        <v>2232.3043756143438</v>
      </c>
      <c r="AC97" s="168">
        <f t="shared" si="3"/>
        <v>37689.876227341498</v>
      </c>
      <c r="AD97" s="168">
        <f t="shared" si="3"/>
        <v>69514.43925577242</v>
      </c>
      <c r="AE97" s="168">
        <f t="shared" si="3"/>
        <v>64102.661524804564</v>
      </c>
      <c r="AF97" s="168">
        <f t="shared" si="3"/>
        <v>112440.91693681182</v>
      </c>
      <c r="AG97" s="168">
        <f t="shared" si="3"/>
        <v>1105983.97055</v>
      </c>
      <c r="AH97" s="168">
        <f t="shared" si="3"/>
        <v>-42039.462733836204</v>
      </c>
      <c r="AI97" s="168">
        <f t="shared" si="3"/>
        <v>-8920.7536474173849</v>
      </c>
      <c r="AJ97" s="168">
        <f t="shared" si="3"/>
        <v>-56531.721997711145</v>
      </c>
      <c r="AK97" s="168">
        <f t="shared" si="3"/>
        <v>0</v>
      </c>
      <c r="AL97" s="168">
        <f t="shared" si="3"/>
        <v>0</v>
      </c>
      <c r="AM97" s="168">
        <f t="shared" si="3"/>
        <v>0</v>
      </c>
      <c r="AN97" s="168">
        <f t="shared" si="3"/>
        <v>-106564.62326496094</v>
      </c>
      <c r="AO97" s="168">
        <f t="shared" si="3"/>
        <v>0</v>
      </c>
    </row>
    <row r="98" spans="5:41" x14ac:dyDescent="0.25">
      <c r="E98" s="94"/>
      <c r="F98" s="95" t="s">
        <v>159</v>
      </c>
      <c r="G98" s="143" t="s">
        <v>277</v>
      </c>
      <c r="H98" s="147">
        <f t="shared" si="0"/>
        <v>85261307.192333937</v>
      </c>
      <c r="I98" s="95"/>
      <c r="J98" s="147">
        <f t="shared" ref="J98:AO98" si="4" xml:space="preserve"> J25 * J58 * days_in_year / hundred</f>
        <v>69678015.629386783</v>
      </c>
      <c r="K98" s="147">
        <f t="shared" si="4"/>
        <v>0</v>
      </c>
      <c r="L98" s="147">
        <f t="shared" si="4"/>
        <v>3782.9606830168773</v>
      </c>
      <c r="M98" s="147">
        <f t="shared" si="4"/>
        <v>4037373.1179135726</v>
      </c>
      <c r="N98" s="147">
        <f t="shared" si="4"/>
        <v>3209449.6539993067</v>
      </c>
      <c r="O98" s="147">
        <f t="shared" si="4"/>
        <v>1463615.301336722</v>
      </c>
      <c r="P98" s="147">
        <f t="shared" si="4"/>
        <v>2014992.1883890745</v>
      </c>
      <c r="Q98" s="147">
        <f t="shared" si="4"/>
        <v>0</v>
      </c>
      <c r="R98" s="147">
        <f t="shared" si="4"/>
        <v>4109.0509369577785</v>
      </c>
      <c r="S98" s="147">
        <f t="shared" si="4"/>
        <v>690196.23966258776</v>
      </c>
      <c r="T98" s="147">
        <f t="shared" si="4"/>
        <v>488205.34024832112</v>
      </c>
      <c r="U98" s="147">
        <f t="shared" si="4"/>
        <v>325930.02146922942</v>
      </c>
      <c r="V98" s="147">
        <f t="shared" si="4"/>
        <v>288541.10759542079</v>
      </c>
      <c r="W98" s="147">
        <f t="shared" si="4"/>
        <v>444.02009516837478</v>
      </c>
      <c r="X98" s="147">
        <f t="shared" si="4"/>
        <v>52958.495589866812</v>
      </c>
      <c r="Y98" s="147">
        <f t="shared" si="4"/>
        <v>85604.015138701056</v>
      </c>
      <c r="Z98" s="147">
        <f t="shared" si="4"/>
        <v>116918.79299301289</v>
      </c>
      <c r="AA98" s="147">
        <f t="shared" si="4"/>
        <v>314651.31469038653</v>
      </c>
      <c r="AB98" s="147">
        <f t="shared" si="4"/>
        <v>70575.354792516155</v>
      </c>
      <c r="AC98" s="147">
        <f t="shared" si="4"/>
        <v>436035.70467309724</v>
      </c>
      <c r="AD98" s="147">
        <f t="shared" si="4"/>
        <v>611560.77263523522</v>
      </c>
      <c r="AE98" s="147">
        <f t="shared" si="4"/>
        <v>482667.85529078083</v>
      </c>
      <c r="AF98" s="147">
        <f t="shared" si="4"/>
        <v>798971.62828134256</v>
      </c>
      <c r="AG98" s="147">
        <f t="shared" si="4"/>
        <v>0</v>
      </c>
      <c r="AH98" s="147">
        <f t="shared" si="4"/>
        <v>0</v>
      </c>
      <c r="AI98" s="147">
        <f t="shared" si="4"/>
        <v>0</v>
      </c>
      <c r="AJ98" s="147">
        <f t="shared" si="4"/>
        <v>0</v>
      </c>
      <c r="AK98" s="147">
        <f t="shared" si="4"/>
        <v>0</v>
      </c>
      <c r="AL98" s="147">
        <f t="shared" si="4"/>
        <v>0</v>
      </c>
      <c r="AM98" s="147">
        <f t="shared" si="4"/>
        <v>0</v>
      </c>
      <c r="AN98" s="147">
        <f t="shared" si="4"/>
        <v>86708.626532841066</v>
      </c>
      <c r="AO98" s="147">
        <f t="shared" si="4"/>
        <v>0</v>
      </c>
    </row>
    <row r="99" spans="5:41" x14ac:dyDescent="0.25">
      <c r="E99" s="94"/>
      <c r="F99" t="s">
        <v>160</v>
      </c>
      <c r="G99" s="61" t="s">
        <v>277</v>
      </c>
      <c r="H99" s="168">
        <f t="shared" si="0"/>
        <v>87497231.255975097</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94648.781351351368</v>
      </c>
      <c r="S99" s="168">
        <f t="shared" si="5"/>
        <v>9295510.5965918154</v>
      </c>
      <c r="T99" s="168">
        <f t="shared" si="5"/>
        <v>11733837.408350244</v>
      </c>
      <c r="U99" s="168">
        <f t="shared" si="5"/>
        <v>8892296.3638531119</v>
      </c>
      <c r="V99" s="168">
        <f t="shared" si="5"/>
        <v>7685373.8678264488</v>
      </c>
      <c r="W99" s="168">
        <f t="shared" si="5"/>
        <v>26941.927500000002</v>
      </c>
      <c r="X99" s="168">
        <f t="shared" si="5"/>
        <v>802118.50507642876</v>
      </c>
      <c r="Y99" s="168">
        <f t="shared" si="5"/>
        <v>1963668.2909380542</v>
      </c>
      <c r="Z99" s="168">
        <f t="shared" si="5"/>
        <v>3026475.3101643235</v>
      </c>
      <c r="AA99" s="168">
        <f t="shared" si="5"/>
        <v>8606031.418080451</v>
      </c>
      <c r="AB99" s="168">
        <f t="shared" si="5"/>
        <v>941335.10709046468</v>
      </c>
      <c r="AC99" s="168">
        <f t="shared" si="5"/>
        <v>4030884.7859035004</v>
      </c>
      <c r="AD99" s="168">
        <f t="shared" si="5"/>
        <v>8422863.2565131132</v>
      </c>
      <c r="AE99" s="168">
        <f t="shared" si="5"/>
        <v>6826737.1799735436</v>
      </c>
      <c r="AF99" s="168">
        <f t="shared" si="5"/>
        <v>15148508.456762245</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25">
      <c r="E100" s="94"/>
      <c r="F100" t="s">
        <v>161</v>
      </c>
      <c r="G100" s="61" t="s">
        <v>277</v>
      </c>
      <c r="H100" s="168">
        <f t="shared" si="0"/>
        <v>1708160.3172000002</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8459.375399999999</v>
      </c>
      <c r="S100" s="168">
        <f t="shared" si="6"/>
        <v>267494.90973369853</v>
      </c>
      <c r="T100" s="168">
        <f t="shared" si="6"/>
        <v>337662.11611090606</v>
      </c>
      <c r="U100" s="168">
        <f t="shared" si="6"/>
        <v>255891.7004565956</v>
      </c>
      <c r="V100" s="168">
        <f t="shared" si="6"/>
        <v>221160.35129879974</v>
      </c>
      <c r="W100" s="168">
        <f t="shared" si="6"/>
        <v>877.38600000000008</v>
      </c>
      <c r="X100" s="168">
        <f t="shared" si="6"/>
        <v>9758.1627868168835</v>
      </c>
      <c r="Y100" s="168">
        <f t="shared" si="6"/>
        <v>23888.982389775705</v>
      </c>
      <c r="Z100" s="168">
        <f t="shared" si="6"/>
        <v>36818.548082308072</v>
      </c>
      <c r="AA100" s="168">
        <f t="shared" si="6"/>
        <v>104696.56914109935</v>
      </c>
      <c r="AB100" s="168">
        <f t="shared" si="6"/>
        <v>217111.60020000004</v>
      </c>
      <c r="AC100" s="168">
        <f t="shared" si="6"/>
        <v>26265.396622087042</v>
      </c>
      <c r="AD100" s="168">
        <f t="shared" si="6"/>
        <v>54883.693252555495</v>
      </c>
      <c r="AE100" s="168">
        <f t="shared" si="6"/>
        <v>44483.27580431263</v>
      </c>
      <c r="AF100" s="168">
        <f t="shared" si="6"/>
        <v>98708.249921044844</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25">
      <c r="E101" s="94"/>
      <c r="F101" s="95" t="s">
        <v>162</v>
      </c>
      <c r="G101" s="143" t="s">
        <v>277</v>
      </c>
      <c r="H101" s="147">
        <f t="shared" si="0"/>
        <v>440180.6098199999</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823.0226399999998</v>
      </c>
      <c r="S101" s="147">
        <f t="shared" si="7"/>
        <v>71889.656049160432</v>
      </c>
      <c r="T101" s="147">
        <f t="shared" si="7"/>
        <v>62196.056918642324</v>
      </c>
      <c r="U101" s="147">
        <f t="shared" si="7"/>
        <v>44672.673675063721</v>
      </c>
      <c r="V101" s="147">
        <f t="shared" si="7"/>
        <v>36843.194877133552</v>
      </c>
      <c r="W101" s="147">
        <f t="shared" si="7"/>
        <v>172.78857999999997</v>
      </c>
      <c r="X101" s="147">
        <f t="shared" si="7"/>
        <v>5111.4967495508026</v>
      </c>
      <c r="Y101" s="147">
        <f t="shared" si="7"/>
        <v>9373.1557797447622</v>
      </c>
      <c r="Z101" s="147">
        <f t="shared" si="7"/>
        <v>14246.046217057428</v>
      </c>
      <c r="AA101" s="147">
        <f t="shared" si="7"/>
        <v>40783.666473646997</v>
      </c>
      <c r="AB101" s="147">
        <f t="shared" si="7"/>
        <v>3816.7104999999997</v>
      </c>
      <c r="AC101" s="147">
        <f t="shared" si="7"/>
        <v>16065.029192463331</v>
      </c>
      <c r="AD101" s="147">
        <f t="shared" si="7"/>
        <v>29630.012293104166</v>
      </c>
      <c r="AE101" s="147">
        <f t="shared" si="7"/>
        <v>27323.282318542664</v>
      </c>
      <c r="AF101" s="147">
        <f t="shared" si="7"/>
        <v>47927.103875889836</v>
      </c>
      <c r="AG101" s="147">
        <f t="shared" si="7"/>
        <v>0</v>
      </c>
      <c r="AH101" s="147">
        <f t="shared" si="7"/>
        <v>0</v>
      </c>
      <c r="AI101" s="147">
        <f t="shared" si="7"/>
        <v>0</v>
      </c>
      <c r="AJ101" s="147">
        <f t="shared" si="7"/>
        <v>15952.672560000003</v>
      </c>
      <c r="AK101" s="147">
        <f t="shared" si="7"/>
        <v>0</v>
      </c>
      <c r="AL101" s="147">
        <f t="shared" si="7"/>
        <v>0</v>
      </c>
      <c r="AM101" s="147">
        <f t="shared" si="7"/>
        <v>0</v>
      </c>
      <c r="AN101" s="147">
        <f t="shared" si="7"/>
        <v>13354.04112</v>
      </c>
      <c r="AO101" s="147">
        <f t="shared" si="7"/>
        <v>0</v>
      </c>
    </row>
    <row r="102" spans="5:41" x14ac:dyDescent="0.25">
      <c r="E102" s="94"/>
      <c r="F102" s="145" t="s">
        <v>101</v>
      </c>
      <c r="G102" s="356" t="s">
        <v>277</v>
      </c>
      <c r="H102" s="146">
        <f>SUM(H95:H101)</f>
        <v>393620143.21108741</v>
      </c>
      <c r="I102" s="357"/>
      <c r="J102" s="146">
        <f t="shared" ref="J102" si="8">SUM(J95:J101)</f>
        <v>209206074.76765683</v>
      </c>
      <c r="K102" s="146">
        <f t="shared" ref="K102:AO102" si="9">SUM(K95:K101)</f>
        <v>114039.16268480054</v>
      </c>
      <c r="L102" s="146">
        <f t="shared" si="9"/>
        <v>25454.531433600569</v>
      </c>
      <c r="M102" s="146">
        <f t="shared" si="9"/>
        <v>7741797.0042268857</v>
      </c>
      <c r="N102" s="146">
        <f t="shared" si="9"/>
        <v>14137074.891757585</v>
      </c>
      <c r="O102" s="146">
        <f t="shared" si="9"/>
        <v>10384829.603862194</v>
      </c>
      <c r="P102" s="146">
        <f t="shared" si="9"/>
        <v>24561502.279169742</v>
      </c>
      <c r="Q102" s="146">
        <f t="shared" si="9"/>
        <v>61188.685950249521</v>
      </c>
      <c r="R102" s="146">
        <f t="shared" si="9"/>
        <v>136548.01737513521</v>
      </c>
      <c r="S102" s="146">
        <f t="shared" si="9"/>
        <v>16924328.109939694</v>
      </c>
      <c r="T102" s="146">
        <f t="shared" si="9"/>
        <v>18331296.743797816</v>
      </c>
      <c r="U102" s="146">
        <f t="shared" si="9"/>
        <v>13619596.969390931</v>
      </c>
      <c r="V102" s="146">
        <f t="shared" si="9"/>
        <v>11614004.031971056</v>
      </c>
      <c r="W102" s="146">
        <f t="shared" si="9"/>
        <v>33291.634028921522</v>
      </c>
      <c r="X102" s="146">
        <f t="shared" si="9"/>
        <v>1278367.7375078355</v>
      </c>
      <c r="Y102" s="146">
        <f t="shared" si="9"/>
        <v>2831472.4889880586</v>
      </c>
      <c r="Z102" s="146">
        <f t="shared" si="9"/>
        <v>4332752.5922579039</v>
      </c>
      <c r="AA102" s="146">
        <f t="shared" si="9"/>
        <v>12324877.551171055</v>
      </c>
      <c r="AB102" s="146">
        <f t="shared" si="9"/>
        <v>1284875.7964414859</v>
      </c>
      <c r="AC102" s="146">
        <f t="shared" si="9"/>
        <v>6122538.1848146953</v>
      </c>
      <c r="AD102" s="146">
        <f t="shared" si="9"/>
        <v>12094451.879300956</v>
      </c>
      <c r="AE102" s="146">
        <f t="shared" si="9"/>
        <v>10125078.595927499</v>
      </c>
      <c r="AF102" s="146">
        <f t="shared" si="9"/>
        <v>20907065.702986918</v>
      </c>
      <c r="AG102" s="146">
        <f t="shared" si="9"/>
        <v>4383649.645866896</v>
      </c>
      <c r="AH102" s="146">
        <f t="shared" si="9"/>
        <v>-2144499.3323608567</v>
      </c>
      <c r="AI102" s="146">
        <f t="shared" si="9"/>
        <v>-217330.25539420787</v>
      </c>
      <c r="AJ102" s="146">
        <f t="shared" si="9"/>
        <v>-1151351.0357870758</v>
      </c>
      <c r="AK102" s="146">
        <f t="shared" si="9"/>
        <v>0</v>
      </c>
      <c r="AL102" s="146">
        <f t="shared" si="9"/>
        <v>0</v>
      </c>
      <c r="AM102" s="146">
        <f t="shared" si="9"/>
        <v>0</v>
      </c>
      <c r="AN102" s="146">
        <f t="shared" si="9"/>
        <v>-5442832.7738793204</v>
      </c>
      <c r="AO102" s="146">
        <f t="shared" si="9"/>
        <v>0</v>
      </c>
    </row>
    <row r="103" spans="5:41" x14ac:dyDescent="0.2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25">
      <c r="E104" s="75" t="s">
        <v>722</v>
      </c>
      <c r="G104" s="61"/>
      <c r="H104" s="355" t="s">
        <v>502</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25">
      <c r="E105" s="94"/>
      <c r="F105" s="95" t="s">
        <v>156</v>
      </c>
      <c r="G105" s="143" t="s">
        <v>277</v>
      </c>
      <c r="H105" s="147">
        <f t="shared" ref="H105:H111" si="10">SUM(J105:AO105)</f>
        <v>708560.93990614486</v>
      </c>
      <c r="I105" s="95"/>
      <c r="J105" s="147">
        <f t="shared" ref="J105:AO105" si="11">J33 * thousand * J64 / hundred</f>
        <v>619048.01968523767</v>
      </c>
      <c r="K105" s="147">
        <f t="shared" si="11"/>
        <v>0</v>
      </c>
      <c r="L105" s="147">
        <f t="shared" si="11"/>
        <v>7715.6122315782522</v>
      </c>
      <c r="M105" s="147">
        <f t="shared" si="11"/>
        <v>3033.11223022181</v>
      </c>
      <c r="N105" s="147">
        <f t="shared" si="11"/>
        <v>1960.1572387491919</v>
      </c>
      <c r="O105" s="147">
        <f t="shared" si="11"/>
        <v>5936.2261350848394</v>
      </c>
      <c r="P105" s="147">
        <f t="shared" si="11"/>
        <v>11670.042359999999</v>
      </c>
      <c r="Q105" s="147">
        <f t="shared" si="11"/>
        <v>0</v>
      </c>
      <c r="R105" s="147">
        <f t="shared" si="11"/>
        <v>0</v>
      </c>
      <c r="S105" s="147">
        <f t="shared" si="11"/>
        <v>4055.3720611102349</v>
      </c>
      <c r="T105" s="147">
        <f t="shared" si="11"/>
        <v>18982.152184245111</v>
      </c>
      <c r="U105" s="147">
        <f t="shared" si="11"/>
        <v>33081.876506386165</v>
      </c>
      <c r="V105" s="147">
        <f t="shared" si="11"/>
        <v>21185.275229999999</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1489.9971794134754</v>
      </c>
      <c r="AH105" s="147">
        <f t="shared" si="11"/>
        <v>-19596.903135881868</v>
      </c>
      <c r="AI105" s="147">
        <f t="shared" si="11"/>
        <v>0</v>
      </c>
      <c r="AJ105" s="147">
        <f t="shared" si="11"/>
        <v>0</v>
      </c>
      <c r="AK105" s="147">
        <f t="shared" si="11"/>
        <v>0</v>
      </c>
      <c r="AL105" s="147">
        <f t="shared" si="11"/>
        <v>0</v>
      </c>
      <c r="AM105" s="147">
        <f t="shared" si="11"/>
        <v>0</v>
      </c>
      <c r="AN105" s="147">
        <f t="shared" si="11"/>
        <v>0</v>
      </c>
      <c r="AO105" s="147">
        <f t="shared" si="11"/>
        <v>0</v>
      </c>
    </row>
    <row r="106" spans="5:41" x14ac:dyDescent="0.25">
      <c r="E106" s="94"/>
      <c r="F106" t="s">
        <v>157</v>
      </c>
      <c r="G106" s="61" t="s">
        <v>277</v>
      </c>
      <c r="H106" s="168">
        <f t="shared" si="10"/>
        <v>308624.58672643942</v>
      </c>
      <c r="J106" s="168">
        <f t="shared" ref="J106:AO106" si="12">J34 * thousand * J65 / hundred</f>
        <v>263640.24068181729</v>
      </c>
      <c r="K106" s="168">
        <f t="shared" si="12"/>
        <v>0</v>
      </c>
      <c r="L106" s="168">
        <f t="shared" si="12"/>
        <v>5261.1582958246699</v>
      </c>
      <c r="M106" s="168">
        <f t="shared" si="12"/>
        <v>1879.4500709829977</v>
      </c>
      <c r="N106" s="168">
        <f t="shared" si="12"/>
        <v>1330.8192391597661</v>
      </c>
      <c r="O106" s="168">
        <f t="shared" si="12"/>
        <v>3922.2406860360584</v>
      </c>
      <c r="P106" s="168">
        <f t="shared" si="12"/>
        <v>7818.0619999999999</v>
      </c>
      <c r="Q106" s="168">
        <f t="shared" si="12"/>
        <v>0</v>
      </c>
      <c r="R106" s="168">
        <f t="shared" si="12"/>
        <v>0</v>
      </c>
      <c r="S106" s="168">
        <f t="shared" si="12"/>
        <v>2039.9224376118846</v>
      </c>
      <c r="T106" s="168">
        <f t="shared" si="12"/>
        <v>9710.5120090200799</v>
      </c>
      <c r="U106" s="168">
        <f t="shared" si="12"/>
        <v>15845.64627648016</v>
      </c>
      <c r="V106" s="168">
        <f t="shared" si="12"/>
        <v>10235.797200000001</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1194.3592375170194</v>
      </c>
      <c r="AH106" s="168">
        <f t="shared" si="12"/>
        <v>-14253.621408010466</v>
      </c>
      <c r="AI106" s="168">
        <f t="shared" si="12"/>
        <v>0</v>
      </c>
      <c r="AJ106" s="168">
        <f t="shared" si="12"/>
        <v>0</v>
      </c>
      <c r="AK106" s="168">
        <f t="shared" si="12"/>
        <v>0</v>
      </c>
      <c r="AL106" s="168">
        <f t="shared" si="12"/>
        <v>0</v>
      </c>
      <c r="AM106" s="168">
        <f t="shared" si="12"/>
        <v>0</v>
      </c>
      <c r="AN106" s="168">
        <f t="shared" si="12"/>
        <v>0</v>
      </c>
      <c r="AO106" s="168">
        <f t="shared" si="12"/>
        <v>0</v>
      </c>
    </row>
    <row r="107" spans="5:41" x14ac:dyDescent="0.25">
      <c r="E107" s="94"/>
      <c r="F107" t="s">
        <v>158</v>
      </c>
      <c r="G107" s="61" t="s">
        <v>277</v>
      </c>
      <c r="H107" s="168">
        <f t="shared" si="10"/>
        <v>34262.368389278825</v>
      </c>
      <c r="J107" s="168">
        <f t="shared" ref="J107:AO107" si="13">J35 * thousand * J66 / hundred</f>
        <v>29673.888963215915</v>
      </c>
      <c r="K107" s="168">
        <f t="shared" si="13"/>
        <v>0</v>
      </c>
      <c r="L107" s="168">
        <f t="shared" si="13"/>
        <v>428.95492965294193</v>
      </c>
      <c r="M107" s="168">
        <f t="shared" si="13"/>
        <v>170.75219237926999</v>
      </c>
      <c r="N107" s="168">
        <f t="shared" si="13"/>
        <v>107.69719173619406</v>
      </c>
      <c r="O107" s="168">
        <f t="shared" si="13"/>
        <v>325.98288644995591</v>
      </c>
      <c r="P107" s="168">
        <f t="shared" si="13"/>
        <v>645.56310000000008</v>
      </c>
      <c r="Q107" s="168">
        <f t="shared" si="13"/>
        <v>0</v>
      </c>
      <c r="R107" s="168">
        <f t="shared" si="13"/>
        <v>0</v>
      </c>
      <c r="S107" s="168">
        <f t="shared" si="13"/>
        <v>211.44386275564543</v>
      </c>
      <c r="T107" s="168">
        <f t="shared" si="13"/>
        <v>836.45518622692907</v>
      </c>
      <c r="U107" s="168">
        <f t="shared" si="13"/>
        <v>943.52721065409389</v>
      </c>
      <c r="V107" s="168">
        <f t="shared" si="13"/>
        <v>850.76740000000007</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743.72970540886706</v>
      </c>
      <c r="AH107" s="168">
        <f t="shared" si="13"/>
        <v>-676.39423920098284</v>
      </c>
      <c r="AI107" s="168">
        <f t="shared" si="13"/>
        <v>0</v>
      </c>
      <c r="AJ107" s="168">
        <f t="shared" si="13"/>
        <v>0</v>
      </c>
      <c r="AK107" s="168">
        <f t="shared" si="13"/>
        <v>0</v>
      </c>
      <c r="AL107" s="168">
        <f t="shared" si="13"/>
        <v>0</v>
      </c>
      <c r="AM107" s="168">
        <f t="shared" si="13"/>
        <v>0</v>
      </c>
      <c r="AN107" s="168">
        <f t="shared" si="13"/>
        <v>0</v>
      </c>
      <c r="AO107" s="168">
        <f t="shared" si="13"/>
        <v>0</v>
      </c>
    </row>
    <row r="108" spans="5:41" x14ac:dyDescent="0.25">
      <c r="E108" s="94"/>
      <c r="F108" s="95" t="s">
        <v>159</v>
      </c>
      <c r="G108" s="143" t="s">
        <v>277</v>
      </c>
      <c r="H108" s="147">
        <f t="shared" si="10"/>
        <v>589952.74617473478</v>
      </c>
      <c r="I108" s="95"/>
      <c r="J108" s="147">
        <f t="shared" ref="J108:AO108" si="14" xml:space="preserve"> J36 * J67 * days_in_year / hundred</f>
        <v>547459.34934325668</v>
      </c>
      <c r="K108" s="147">
        <f t="shared" si="14"/>
        <v>0</v>
      </c>
      <c r="L108" s="147">
        <f t="shared" si="14"/>
        <v>4725.663734203953</v>
      </c>
      <c r="M108" s="147">
        <f t="shared" si="14"/>
        <v>3227.3122616985243</v>
      </c>
      <c r="N108" s="147">
        <f t="shared" si="14"/>
        <v>2358.9430874829031</v>
      </c>
      <c r="O108" s="147">
        <f t="shared" si="14"/>
        <v>3439.2273245547494</v>
      </c>
      <c r="P108" s="147">
        <f t="shared" si="14"/>
        <v>5345.9706999999999</v>
      </c>
      <c r="Q108" s="147">
        <f t="shared" si="14"/>
        <v>0</v>
      </c>
      <c r="R108" s="147">
        <f t="shared" si="14"/>
        <v>0</v>
      </c>
      <c r="S108" s="147">
        <f t="shared" si="14"/>
        <v>1079.4877400414332</v>
      </c>
      <c r="T108" s="147">
        <f t="shared" si="14"/>
        <v>6850.3898419790794</v>
      </c>
      <c r="U108" s="147">
        <f t="shared" si="14"/>
        <v>11039.448841517467</v>
      </c>
      <c r="V108" s="147">
        <f t="shared" si="14"/>
        <v>4426.9533000000001</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25">
      <c r="E109" s="94"/>
      <c r="F109" t="s">
        <v>160</v>
      </c>
      <c r="G109" s="61" t="s">
        <v>277</v>
      </c>
      <c r="H109" s="168">
        <f t="shared" si="10"/>
        <v>628168.65372858837</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20971.110872030622</v>
      </c>
      <c r="T109" s="168">
        <f t="shared" si="15"/>
        <v>160203.80503415337</v>
      </c>
      <c r="U109" s="168">
        <f t="shared" si="15"/>
        <v>267768.71432240435</v>
      </c>
      <c r="V109" s="168">
        <f t="shared" si="15"/>
        <v>179225.02350000001</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25">
      <c r="E110" s="94"/>
      <c r="F110" t="s">
        <v>161</v>
      </c>
      <c r="G110" s="61" t="s">
        <v>277</v>
      </c>
      <c r="H110" s="168">
        <f t="shared" si="10"/>
        <v>3600.9006425441148</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899.9710035152516</v>
      </c>
      <c r="T110" s="168">
        <f t="shared" si="16"/>
        <v>0</v>
      </c>
      <c r="U110" s="168">
        <f t="shared" si="16"/>
        <v>2689.1548344428888</v>
      </c>
      <c r="V110" s="168">
        <f t="shared" si="16"/>
        <v>11.774804585974298</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25">
      <c r="E111" s="94"/>
      <c r="F111" s="95" t="s">
        <v>162</v>
      </c>
      <c r="G111" s="143" t="s">
        <v>277</v>
      </c>
      <c r="H111" s="147">
        <f t="shared" si="10"/>
        <v>1680.4518115996184</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99.029543986101729</v>
      </c>
      <c r="T111" s="147">
        <f t="shared" si="17"/>
        <v>495.92606468656157</v>
      </c>
      <c r="U111" s="147">
        <f t="shared" si="17"/>
        <v>338.39101777747805</v>
      </c>
      <c r="V111" s="147">
        <f t="shared" si="17"/>
        <v>747.10518514947694</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0</v>
      </c>
      <c r="AK111" s="147">
        <f t="shared" si="17"/>
        <v>0</v>
      </c>
      <c r="AL111" s="147">
        <f t="shared" si="17"/>
        <v>0</v>
      </c>
      <c r="AM111" s="147">
        <f t="shared" si="17"/>
        <v>0</v>
      </c>
      <c r="AN111" s="147">
        <f t="shared" si="17"/>
        <v>0</v>
      </c>
      <c r="AO111" s="147">
        <f t="shared" si="17"/>
        <v>0</v>
      </c>
    </row>
    <row r="112" spans="5:41" x14ac:dyDescent="0.25">
      <c r="E112" s="94"/>
      <c r="F112" s="145" t="s">
        <v>101</v>
      </c>
      <c r="G112" s="356" t="s">
        <v>277</v>
      </c>
      <c r="H112" s="146">
        <f>SUM(H105:H111)</f>
        <v>2274850.6473793299</v>
      </c>
      <c r="I112" s="145"/>
      <c r="J112" s="146">
        <f t="shared" ref="J112" si="18">SUM(J105:J111)</f>
        <v>1459821.4986735275</v>
      </c>
      <c r="K112" s="146">
        <f t="shared" ref="K112:AO112" si="19">SUM(K105:K111)</f>
        <v>0</v>
      </c>
      <c r="L112" s="146">
        <f t="shared" si="19"/>
        <v>18131.389191259816</v>
      </c>
      <c r="M112" s="146">
        <f t="shared" si="19"/>
        <v>8310.6267552826012</v>
      </c>
      <c r="N112" s="146">
        <f t="shared" si="19"/>
        <v>5757.6167571280548</v>
      </c>
      <c r="O112" s="146">
        <f t="shared" si="19"/>
        <v>13623.677032125603</v>
      </c>
      <c r="P112" s="146">
        <f t="shared" si="19"/>
        <v>25479.638159999995</v>
      </c>
      <c r="Q112" s="146">
        <f t="shared" si="19"/>
        <v>0</v>
      </c>
      <c r="R112" s="146">
        <f t="shared" si="19"/>
        <v>0</v>
      </c>
      <c r="S112" s="146">
        <f t="shared" si="19"/>
        <v>29356.337521051173</v>
      </c>
      <c r="T112" s="146">
        <f t="shared" si="19"/>
        <v>197079.24032031113</v>
      </c>
      <c r="U112" s="146">
        <f t="shared" si="19"/>
        <v>331706.75900966261</v>
      </c>
      <c r="V112" s="146">
        <f t="shared" si="19"/>
        <v>216682.69661973545</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3428.0861223393617</v>
      </c>
      <c r="AH112" s="146">
        <f t="shared" si="19"/>
        <v>-34526.918783093315</v>
      </c>
      <c r="AI112" s="146">
        <f t="shared" si="19"/>
        <v>0</v>
      </c>
      <c r="AJ112" s="146">
        <f t="shared" si="19"/>
        <v>0</v>
      </c>
      <c r="AK112" s="146">
        <f t="shared" si="19"/>
        <v>0</v>
      </c>
      <c r="AL112" s="146">
        <f t="shared" si="19"/>
        <v>0</v>
      </c>
      <c r="AM112" s="146">
        <f t="shared" si="19"/>
        <v>0</v>
      </c>
      <c r="AN112" s="146">
        <f t="shared" si="19"/>
        <v>0</v>
      </c>
      <c r="AO112" s="146">
        <f t="shared" si="19"/>
        <v>0</v>
      </c>
    </row>
    <row r="113" spans="3:43" x14ac:dyDescent="0.2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25">
      <c r="E114" s="75" t="s">
        <v>723</v>
      </c>
      <c r="G114" s="61"/>
      <c r="H114" s="355" t="s">
        <v>502</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25">
      <c r="C115" s="105"/>
      <c r="F115" s="95" t="s">
        <v>156</v>
      </c>
      <c r="G115" s="143" t="s">
        <v>277</v>
      </c>
      <c r="H115" s="147">
        <f t="shared" ref="H115:H121" si="20">SUM(J115:AO115)</f>
        <v>1883341.1336052779</v>
      </c>
      <c r="I115" s="95"/>
      <c r="J115" s="147">
        <f t="shared" ref="J115:AO115" si="21">J44 * thousand * J73 / hundred</f>
        <v>1308429.5914563895</v>
      </c>
      <c r="K115" s="147">
        <f t="shared" si="21"/>
        <v>0</v>
      </c>
      <c r="L115" s="147">
        <f t="shared" si="21"/>
        <v>7074.4142868487661</v>
      </c>
      <c r="M115" s="147">
        <f t="shared" si="21"/>
        <v>21033.599994365897</v>
      </c>
      <c r="N115" s="147">
        <f t="shared" si="21"/>
        <v>16919.181691475602</v>
      </c>
      <c r="O115" s="147">
        <f t="shared" si="21"/>
        <v>21719.826650974828</v>
      </c>
      <c r="P115" s="147">
        <f t="shared" si="21"/>
        <v>36218.038559999994</v>
      </c>
      <c r="Q115" s="147">
        <f t="shared" si="21"/>
        <v>0</v>
      </c>
      <c r="R115" s="147">
        <f t="shared" si="21"/>
        <v>735.63522867792233</v>
      </c>
      <c r="S115" s="147">
        <f t="shared" si="21"/>
        <v>34326.489596265332</v>
      </c>
      <c r="T115" s="147">
        <f t="shared" si="21"/>
        <v>74608.495515534276</v>
      </c>
      <c r="U115" s="147">
        <f t="shared" si="21"/>
        <v>53693.759347502048</v>
      </c>
      <c r="V115" s="147">
        <f t="shared" si="21"/>
        <v>212662.28996999998</v>
      </c>
      <c r="W115" s="147">
        <f t="shared" si="21"/>
        <v>0</v>
      </c>
      <c r="X115" s="147">
        <f t="shared" si="21"/>
        <v>0</v>
      </c>
      <c r="Y115" s="147">
        <f t="shared" si="21"/>
        <v>25.040497117112285</v>
      </c>
      <c r="Z115" s="147">
        <f t="shared" si="21"/>
        <v>3538.3670295259908</v>
      </c>
      <c r="AA115" s="147">
        <f t="shared" si="21"/>
        <v>82594.397259999998</v>
      </c>
      <c r="AB115" s="147">
        <f t="shared" si="21"/>
        <v>0</v>
      </c>
      <c r="AC115" s="147">
        <f t="shared" si="21"/>
        <v>0</v>
      </c>
      <c r="AD115" s="147">
        <f t="shared" si="21"/>
        <v>13238.257747773612</v>
      </c>
      <c r="AE115" s="147">
        <f t="shared" si="21"/>
        <v>27237.083819705978</v>
      </c>
      <c r="AF115" s="147">
        <f t="shared" si="21"/>
        <v>11449.473459999999</v>
      </c>
      <c r="AG115" s="147">
        <f t="shared" si="21"/>
        <v>0</v>
      </c>
      <c r="AH115" s="147">
        <f t="shared" si="21"/>
        <v>-41825.90243721076</v>
      </c>
      <c r="AI115" s="147">
        <f t="shared" si="21"/>
        <v>0</v>
      </c>
      <c r="AJ115" s="147">
        <f t="shared" si="21"/>
        <v>-336.90606966839101</v>
      </c>
      <c r="AK115" s="147">
        <f t="shared" si="21"/>
        <v>0</v>
      </c>
      <c r="AL115" s="147">
        <f t="shared" si="21"/>
        <v>0</v>
      </c>
      <c r="AM115" s="147">
        <f t="shared" si="21"/>
        <v>0</v>
      </c>
      <c r="AN115" s="147">
        <f t="shared" si="21"/>
        <v>0</v>
      </c>
      <c r="AO115" s="147">
        <f t="shared" si="21"/>
        <v>0</v>
      </c>
    </row>
    <row r="116" spans="3:43" x14ac:dyDescent="0.25">
      <c r="C116" s="105"/>
      <c r="F116" t="s">
        <v>157</v>
      </c>
      <c r="G116" s="61" t="s">
        <v>277</v>
      </c>
      <c r="H116" s="168">
        <f t="shared" si="20"/>
        <v>814369.35912562616</v>
      </c>
      <c r="J116" s="168">
        <f t="shared" ref="J116:AO116" si="22">J45 * thousand * J74 / hundred</f>
        <v>555897.61186214304</v>
      </c>
      <c r="K116" s="168">
        <f t="shared" si="22"/>
        <v>0</v>
      </c>
      <c r="L116" s="168">
        <f t="shared" si="22"/>
        <v>4706.8565221330873</v>
      </c>
      <c r="M116" s="168">
        <f t="shared" si="22"/>
        <v>13892.491012358529</v>
      </c>
      <c r="N116" s="168">
        <f t="shared" si="22"/>
        <v>11274.900136750415</v>
      </c>
      <c r="O116" s="168">
        <f t="shared" si="22"/>
        <v>14164.161155094145</v>
      </c>
      <c r="P116" s="168">
        <f t="shared" si="22"/>
        <v>22831.040550000002</v>
      </c>
      <c r="Q116" s="168">
        <f t="shared" si="22"/>
        <v>0</v>
      </c>
      <c r="R116" s="168">
        <f t="shared" si="22"/>
        <v>459.54513841255482</v>
      </c>
      <c r="S116" s="168">
        <f t="shared" si="22"/>
        <v>15521.5513504059</v>
      </c>
      <c r="T116" s="168">
        <f t="shared" si="22"/>
        <v>37086.066412839129</v>
      </c>
      <c r="U116" s="168">
        <f t="shared" si="22"/>
        <v>25622.502627746089</v>
      </c>
      <c r="V116" s="168">
        <f t="shared" si="22"/>
        <v>100981.98624</v>
      </c>
      <c r="W116" s="168">
        <f t="shared" si="22"/>
        <v>0</v>
      </c>
      <c r="X116" s="168">
        <f t="shared" si="22"/>
        <v>0</v>
      </c>
      <c r="Y116" s="168">
        <f t="shared" si="22"/>
        <v>8.4747530311919963</v>
      </c>
      <c r="Z116" s="168">
        <f t="shared" si="22"/>
        <v>1027.2196411221114</v>
      </c>
      <c r="AA116" s="168">
        <f t="shared" si="22"/>
        <v>28077.656970000007</v>
      </c>
      <c r="AB116" s="168">
        <f t="shared" si="22"/>
        <v>0</v>
      </c>
      <c r="AC116" s="168">
        <f t="shared" si="22"/>
        <v>0</v>
      </c>
      <c r="AD116" s="168">
        <f t="shared" si="22"/>
        <v>4384.9581582243436</v>
      </c>
      <c r="AE116" s="168">
        <f t="shared" si="22"/>
        <v>7207.3678033507522</v>
      </c>
      <c r="AF116" s="168">
        <f t="shared" si="22"/>
        <v>3167.5899200000003</v>
      </c>
      <c r="AG116" s="168">
        <f t="shared" si="22"/>
        <v>0</v>
      </c>
      <c r="AH116" s="168">
        <f t="shared" si="22"/>
        <v>-31610.066001760053</v>
      </c>
      <c r="AI116" s="168">
        <f t="shared" si="22"/>
        <v>0</v>
      </c>
      <c r="AJ116" s="168">
        <f t="shared" si="22"/>
        <v>-332.55512622520843</v>
      </c>
      <c r="AK116" s="168">
        <f t="shared" si="22"/>
        <v>0</v>
      </c>
      <c r="AL116" s="168">
        <f t="shared" si="22"/>
        <v>0</v>
      </c>
      <c r="AM116" s="168">
        <f t="shared" si="22"/>
        <v>0</v>
      </c>
      <c r="AN116" s="168">
        <f t="shared" si="22"/>
        <v>0</v>
      </c>
      <c r="AO116" s="168">
        <f t="shared" si="22"/>
        <v>0</v>
      </c>
    </row>
    <row r="117" spans="3:43" x14ac:dyDescent="0.25">
      <c r="C117" s="105"/>
      <c r="F117" t="s">
        <v>158</v>
      </c>
      <c r="G117" s="61" t="s">
        <v>277</v>
      </c>
      <c r="H117" s="168">
        <f t="shared" si="20"/>
        <v>88234.139177819729</v>
      </c>
      <c r="J117" s="168">
        <f t="shared" ref="J117:AO117" si="23">J46 * thousand * J75 / hundred</f>
        <v>62776.246734667366</v>
      </c>
      <c r="K117" s="168">
        <f t="shared" si="23"/>
        <v>0</v>
      </c>
      <c r="L117" s="168">
        <f t="shared" si="23"/>
        <v>413.72582589434018</v>
      </c>
      <c r="M117" s="168">
        <f t="shared" si="23"/>
        <v>1160.4280795794286</v>
      </c>
      <c r="N117" s="168">
        <f t="shared" si="23"/>
        <v>922.45925908219738</v>
      </c>
      <c r="O117" s="168">
        <f t="shared" si="23"/>
        <v>1197.5908086325971</v>
      </c>
      <c r="P117" s="168">
        <f t="shared" si="23"/>
        <v>1962.9514199999999</v>
      </c>
      <c r="Q117" s="168">
        <f t="shared" si="23"/>
        <v>0</v>
      </c>
      <c r="R117" s="168">
        <f t="shared" si="23"/>
        <v>30.411286669136704</v>
      </c>
      <c r="S117" s="168">
        <f t="shared" si="23"/>
        <v>1372.8975914731034</v>
      </c>
      <c r="T117" s="168">
        <f t="shared" si="23"/>
        <v>3327.4937302862986</v>
      </c>
      <c r="U117" s="168">
        <f t="shared" si="23"/>
        <v>2360.398511519923</v>
      </c>
      <c r="V117" s="168">
        <f t="shared" si="23"/>
        <v>10336.66864</v>
      </c>
      <c r="W117" s="168">
        <f t="shared" si="23"/>
        <v>0</v>
      </c>
      <c r="X117" s="168">
        <f t="shared" si="23"/>
        <v>0</v>
      </c>
      <c r="Y117" s="168">
        <f t="shared" si="23"/>
        <v>1.1761323108482038</v>
      </c>
      <c r="Z117" s="168">
        <f t="shared" si="23"/>
        <v>127.05152852837442</v>
      </c>
      <c r="AA117" s="168">
        <f t="shared" si="23"/>
        <v>2200.9165600000001</v>
      </c>
      <c r="AB117" s="168">
        <f t="shared" si="23"/>
        <v>0</v>
      </c>
      <c r="AC117" s="168">
        <f t="shared" si="23"/>
        <v>0</v>
      </c>
      <c r="AD117" s="168">
        <f t="shared" si="23"/>
        <v>333.68367536469282</v>
      </c>
      <c r="AE117" s="168">
        <f t="shared" si="23"/>
        <v>813.95097375210798</v>
      </c>
      <c r="AF117" s="168">
        <f t="shared" si="23"/>
        <v>333.68146999999999</v>
      </c>
      <c r="AG117" s="168">
        <f t="shared" si="23"/>
        <v>0</v>
      </c>
      <c r="AH117" s="168">
        <f t="shared" si="23"/>
        <v>-1410.1013591781129</v>
      </c>
      <c r="AI117" s="168">
        <f t="shared" si="23"/>
        <v>0</v>
      </c>
      <c r="AJ117" s="168">
        <f t="shared" si="23"/>
        <v>-27.491690762573658</v>
      </c>
      <c r="AK117" s="168">
        <f t="shared" si="23"/>
        <v>0</v>
      </c>
      <c r="AL117" s="168">
        <f t="shared" si="23"/>
        <v>0</v>
      </c>
      <c r="AM117" s="168">
        <f t="shared" si="23"/>
        <v>0</v>
      </c>
      <c r="AN117" s="168">
        <f t="shared" si="23"/>
        <v>0</v>
      </c>
      <c r="AO117" s="168">
        <f t="shared" si="23"/>
        <v>0</v>
      </c>
    </row>
    <row r="118" spans="3:43" x14ac:dyDescent="0.25">
      <c r="C118" s="105"/>
      <c r="F118" s="95" t="s">
        <v>159</v>
      </c>
      <c r="G118" s="143" t="s">
        <v>277</v>
      </c>
      <c r="H118" s="147">
        <f t="shared" si="20"/>
        <v>1310929.8967078635</v>
      </c>
      <c r="I118" s="95"/>
      <c r="J118" s="147">
        <f t="shared" ref="J118:AO118" si="24" xml:space="preserve"> J47 * J76 * days_in_year / hundred</f>
        <v>1164122.0152045393</v>
      </c>
      <c r="K118" s="147">
        <f t="shared" si="24"/>
        <v>0</v>
      </c>
      <c r="L118" s="147">
        <f t="shared" si="24"/>
        <v>3493.7170919882647</v>
      </c>
      <c r="M118" s="147">
        <f t="shared" si="24"/>
        <v>15192.19694702235</v>
      </c>
      <c r="N118" s="147">
        <f t="shared" si="24"/>
        <v>11564.199826259834</v>
      </c>
      <c r="O118" s="147">
        <f t="shared" si="24"/>
        <v>9274.5051276563245</v>
      </c>
      <c r="P118" s="147">
        <f t="shared" si="24"/>
        <v>5461.9180000000006</v>
      </c>
      <c r="Q118" s="147">
        <f t="shared" si="24"/>
        <v>0</v>
      </c>
      <c r="R118" s="147">
        <f t="shared" si="24"/>
        <v>100.21806753249244</v>
      </c>
      <c r="S118" s="147">
        <f t="shared" si="24"/>
        <v>4644.1399205029074</v>
      </c>
      <c r="T118" s="147">
        <f t="shared" si="24"/>
        <v>13134.517148101353</v>
      </c>
      <c r="U118" s="147">
        <f t="shared" si="24"/>
        <v>9212.4252120506444</v>
      </c>
      <c r="V118" s="147">
        <f t="shared" si="24"/>
        <v>26734.396500000003</v>
      </c>
      <c r="W118" s="147">
        <f t="shared" si="24"/>
        <v>0</v>
      </c>
      <c r="X118" s="147">
        <f t="shared" si="24"/>
        <v>0</v>
      </c>
      <c r="Y118" s="147">
        <f t="shared" si="24"/>
        <v>367.98162805058234</v>
      </c>
      <c r="Z118" s="147">
        <f t="shared" si="24"/>
        <v>268.04467711705905</v>
      </c>
      <c r="AA118" s="147">
        <f t="shared" si="24"/>
        <v>11906.849700000002</v>
      </c>
      <c r="AB118" s="147">
        <f t="shared" si="24"/>
        <v>0</v>
      </c>
      <c r="AC118" s="147">
        <f t="shared" si="24"/>
        <v>0</v>
      </c>
      <c r="AD118" s="147">
        <f t="shared" si="24"/>
        <v>6052.2998175057382</v>
      </c>
      <c r="AE118" s="147">
        <f t="shared" si="24"/>
        <v>15615.46483953686</v>
      </c>
      <c r="AF118" s="147">
        <f t="shared" si="24"/>
        <v>13785.007000000001</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25">
      <c r="C119" s="105"/>
      <c r="F119" t="s">
        <v>160</v>
      </c>
      <c r="G119" s="61" t="s">
        <v>277</v>
      </c>
      <c r="H119" s="168">
        <f t="shared" si="20"/>
        <v>2882395.6268874677</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14083.94160835307</v>
      </c>
      <c r="S119" s="168">
        <f t="shared" si="25"/>
        <v>78306.715342443087</v>
      </c>
      <c r="T119" s="168">
        <f t="shared" si="25"/>
        <v>359445.66308118432</v>
      </c>
      <c r="U119" s="168">
        <f t="shared" si="25"/>
        <v>252032.13508147828</v>
      </c>
      <c r="V119" s="168">
        <f t="shared" si="25"/>
        <v>1040636.3685</v>
      </c>
      <c r="W119" s="168">
        <f t="shared" si="25"/>
        <v>0</v>
      </c>
      <c r="X119" s="168">
        <f t="shared" si="25"/>
        <v>0</v>
      </c>
      <c r="Y119" s="168">
        <f t="shared" si="25"/>
        <v>9370.2721823718057</v>
      </c>
      <c r="Z119" s="168">
        <f t="shared" si="25"/>
        <v>6934.6779689033228</v>
      </c>
      <c r="AA119" s="168">
        <f t="shared" si="25"/>
        <v>551052.13220000011</v>
      </c>
      <c r="AB119" s="168">
        <f t="shared" si="25"/>
        <v>0</v>
      </c>
      <c r="AC119" s="168">
        <f t="shared" si="25"/>
        <v>0</v>
      </c>
      <c r="AD119" s="168">
        <f t="shared" si="25"/>
        <v>92768.477659810655</v>
      </c>
      <c r="AE119" s="168">
        <f t="shared" si="25"/>
        <v>200998.36826292309</v>
      </c>
      <c r="AF119" s="168">
        <f t="shared" si="25"/>
        <v>276766.875</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25">
      <c r="C120" s="105"/>
      <c r="F120" t="s">
        <v>161</v>
      </c>
      <c r="G120" s="61" t="s">
        <v>277</v>
      </c>
      <c r="H120" s="168">
        <f t="shared" si="20"/>
        <v>5375.4166250758135</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2477.637365261684</v>
      </c>
      <c r="T120" s="168">
        <f t="shared" si="26"/>
        <v>159.06569404241779</v>
      </c>
      <c r="U120" s="168">
        <f t="shared" si="26"/>
        <v>673.32507567800337</v>
      </c>
      <c r="V120" s="168">
        <f t="shared" si="26"/>
        <v>2065.3884900937082</v>
      </c>
      <c r="W120" s="168">
        <f t="shared" si="26"/>
        <v>0</v>
      </c>
      <c r="X120" s="168">
        <f t="shared" si="26"/>
        <v>0</v>
      </c>
      <c r="Y120" s="168">
        <f t="shared" si="26"/>
        <v>0</v>
      </c>
      <c r="Z120" s="168">
        <f t="shared" si="26"/>
        <v>0</v>
      </c>
      <c r="AA120" s="168">
        <f t="shared" si="26"/>
        <v>0</v>
      </c>
      <c r="AB120" s="168">
        <f t="shared" si="26"/>
        <v>0</v>
      </c>
      <c r="AC120" s="168">
        <f t="shared" si="26"/>
        <v>0</v>
      </c>
      <c r="AD120" s="168">
        <f t="shared" si="26"/>
        <v>0</v>
      </c>
      <c r="AE120" s="168">
        <f t="shared" si="26"/>
        <v>0</v>
      </c>
      <c r="AF120" s="168">
        <f t="shared" si="26"/>
        <v>0</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25">
      <c r="C121" s="105"/>
      <c r="F121" s="95" t="s">
        <v>162</v>
      </c>
      <c r="G121" s="143" t="s">
        <v>277</v>
      </c>
      <c r="H121" s="147">
        <f t="shared" si="20"/>
        <v>6638.3967163608504</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3.4983887406292653</v>
      </c>
      <c r="S121" s="147">
        <f t="shared" si="27"/>
        <v>332.0606535211345</v>
      </c>
      <c r="T121" s="147">
        <f t="shared" si="27"/>
        <v>1025.251410208286</v>
      </c>
      <c r="U121" s="147">
        <f t="shared" si="27"/>
        <v>671.35980413753703</v>
      </c>
      <c r="V121" s="147">
        <f t="shared" si="27"/>
        <v>3844.1369423941128</v>
      </c>
      <c r="W121" s="147">
        <f t="shared" si="27"/>
        <v>0</v>
      </c>
      <c r="X121" s="147">
        <f t="shared" si="27"/>
        <v>0</v>
      </c>
      <c r="Y121" s="147">
        <f t="shared" si="27"/>
        <v>0</v>
      </c>
      <c r="Z121" s="147">
        <f t="shared" si="27"/>
        <v>0.5524738536001762</v>
      </c>
      <c r="AA121" s="147">
        <f t="shared" si="27"/>
        <v>558.58109116486492</v>
      </c>
      <c r="AB121" s="147">
        <f t="shared" si="27"/>
        <v>0</v>
      </c>
      <c r="AC121" s="147">
        <f t="shared" si="27"/>
        <v>0</v>
      </c>
      <c r="AD121" s="147">
        <f t="shared" si="27"/>
        <v>0.31590837898684659</v>
      </c>
      <c r="AE121" s="147">
        <f t="shared" si="27"/>
        <v>185.73969413017701</v>
      </c>
      <c r="AF121" s="147">
        <f t="shared" si="27"/>
        <v>1.4850386267883198</v>
      </c>
      <c r="AG121" s="147">
        <f t="shared" si="27"/>
        <v>0</v>
      </c>
      <c r="AH121" s="147">
        <f t="shared" si="27"/>
        <v>0</v>
      </c>
      <c r="AI121" s="147">
        <f t="shared" si="27"/>
        <v>0</v>
      </c>
      <c r="AJ121" s="147">
        <f t="shared" si="27"/>
        <v>15.415311204733406</v>
      </c>
      <c r="AK121" s="147">
        <f t="shared" si="27"/>
        <v>0</v>
      </c>
      <c r="AL121" s="147">
        <f t="shared" si="27"/>
        <v>0</v>
      </c>
      <c r="AM121" s="147">
        <f t="shared" si="27"/>
        <v>0</v>
      </c>
      <c r="AN121" s="147">
        <f t="shared" si="27"/>
        <v>0</v>
      </c>
      <c r="AO121" s="147">
        <f t="shared" si="27"/>
        <v>0</v>
      </c>
    </row>
    <row r="122" spans="3:43" x14ac:dyDescent="0.25">
      <c r="C122" s="105"/>
      <c r="F122" s="145" t="s">
        <v>101</v>
      </c>
      <c r="G122" s="356" t="s">
        <v>277</v>
      </c>
      <c r="H122" s="146">
        <f>SUM(H115:H121)</f>
        <v>6991283.9688454922</v>
      </c>
      <c r="I122" s="145"/>
      <c r="J122" s="146">
        <f t="shared" ref="J122" si="28">SUM(J115:J121)</f>
        <v>3091225.4652577392</v>
      </c>
      <c r="K122" s="146">
        <f t="shared" ref="K122:AO122" si="29">SUM(K115:K121)</f>
        <v>0</v>
      </c>
      <c r="L122" s="146">
        <f t="shared" si="29"/>
        <v>15688.713726864458</v>
      </c>
      <c r="M122" s="146">
        <f t="shared" si="29"/>
        <v>51278.7160333262</v>
      </c>
      <c r="N122" s="146">
        <f t="shared" si="29"/>
        <v>40680.740913568043</v>
      </c>
      <c r="O122" s="146">
        <f t="shared" si="29"/>
        <v>46356.083742357892</v>
      </c>
      <c r="P122" s="146">
        <f t="shared" si="29"/>
        <v>66473.948529999994</v>
      </c>
      <c r="Q122" s="146">
        <f t="shared" si="29"/>
        <v>0</v>
      </c>
      <c r="R122" s="146">
        <f t="shared" si="29"/>
        <v>15413.249718385805</v>
      </c>
      <c r="S122" s="146">
        <f t="shared" si="29"/>
        <v>136981.49181987313</v>
      </c>
      <c r="T122" s="146">
        <f t="shared" si="29"/>
        <v>488786.55299219611</v>
      </c>
      <c r="U122" s="146">
        <f t="shared" si="29"/>
        <v>344265.9056601125</v>
      </c>
      <c r="V122" s="146">
        <f t="shared" si="29"/>
        <v>1397261.2352824877</v>
      </c>
      <c r="W122" s="146">
        <f t="shared" si="29"/>
        <v>0</v>
      </c>
      <c r="X122" s="146">
        <f t="shared" si="29"/>
        <v>0</v>
      </c>
      <c r="Y122" s="146">
        <f t="shared" si="29"/>
        <v>9772.9451928815397</v>
      </c>
      <c r="Z122" s="146">
        <f t="shared" si="29"/>
        <v>11895.913319050458</v>
      </c>
      <c r="AA122" s="146">
        <f t="shared" si="29"/>
        <v>676390.53378116502</v>
      </c>
      <c r="AB122" s="146">
        <f t="shared" si="29"/>
        <v>0</v>
      </c>
      <c r="AC122" s="146">
        <f t="shared" si="29"/>
        <v>0</v>
      </c>
      <c r="AD122" s="146">
        <f t="shared" si="29"/>
        <v>116777.99296705803</v>
      </c>
      <c r="AE122" s="146">
        <f t="shared" si="29"/>
        <v>252057.97539339896</v>
      </c>
      <c r="AF122" s="146">
        <f t="shared" si="29"/>
        <v>305504.11188862676</v>
      </c>
      <c r="AG122" s="146">
        <f t="shared" si="29"/>
        <v>0</v>
      </c>
      <c r="AH122" s="146">
        <f t="shared" si="29"/>
        <v>-74846.069798148921</v>
      </c>
      <c r="AI122" s="146">
        <f t="shared" si="29"/>
        <v>0</v>
      </c>
      <c r="AJ122" s="146">
        <f t="shared" si="29"/>
        <v>-681.53757545143969</v>
      </c>
      <c r="AK122" s="146">
        <f t="shared" si="29"/>
        <v>0</v>
      </c>
      <c r="AL122" s="146">
        <f t="shared" si="29"/>
        <v>0</v>
      </c>
      <c r="AM122" s="146">
        <f t="shared" si="29"/>
        <v>0</v>
      </c>
      <c r="AN122" s="146">
        <f t="shared" si="29"/>
        <v>0</v>
      </c>
      <c r="AO122" s="146">
        <f t="shared" si="29"/>
        <v>0</v>
      </c>
    </row>
    <row r="123" spans="3:43" x14ac:dyDescent="0.2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25">
      <c r="C124" s="93" t="str">
        <f ca="1">INDEX('Version control'!$H$41:$H$64,MATCH($A$1,'Version control'!$F$41:$F$64,0),1)&amp;"-E: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2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25">
      <c r="E126" t="s">
        <v>694</v>
      </c>
      <c r="G126" s="61" t="s">
        <v>277</v>
      </c>
      <c r="H126" s="306">
        <f>H83</f>
        <v>402894731.24181867</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2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25">
      <c r="E128" t="s">
        <v>724</v>
      </c>
      <c r="G128" s="61" t="s">
        <v>277</v>
      </c>
      <c r="H128" s="316">
        <f>H85</f>
        <v>392330012.52292454</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25">
      <c r="E129" t="s">
        <v>845</v>
      </c>
      <c r="G129" s="61" t="s">
        <v>277</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25">
      <c r="E130" t="s">
        <v>846</v>
      </c>
      <c r="G130" s="61" t="s">
        <v>277</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25">
      <c r="E131" t="s">
        <v>961</v>
      </c>
      <c r="G131" s="61" t="s">
        <v>277</v>
      </c>
      <c r="H131" s="316">
        <f>H88</f>
        <v>10564718.718894124</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25">
      <c r="E132" s="96" t="s">
        <v>725</v>
      </c>
      <c r="F132" s="96"/>
      <c r="G132" s="144" t="s">
        <v>277</v>
      </c>
      <c r="H132" s="317">
        <f>SUM(H102,H112,H122) - SUM(H128:H129, H131)</f>
        <v>-8453.4145064353943</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25">
      <c r="E133" s="145" t="s">
        <v>726</v>
      </c>
      <c r="F133" s="145"/>
      <c r="G133" s="356" t="s">
        <v>277</v>
      </c>
      <c r="H133" s="317">
        <f>SUM(H128:H132)</f>
        <v>402886277.82731223</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2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25">
      <c r="E135" t="s">
        <v>727</v>
      </c>
      <c r="G135" s="61" t="s">
        <v>277</v>
      </c>
      <c r="H135" s="358">
        <f>H133 - H126</f>
        <v>-8453.4145064353943</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25">
      <c r="E136" t="s">
        <v>727</v>
      </c>
      <c r="G136" s="61" t="s">
        <v>167</v>
      </c>
      <c r="H136" s="359">
        <f>(H133 - H126) / H126</f>
        <v>-2.098169534354528E-5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2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C138" s="93" t="str">
        <f ca="1">INDEX('Version control'!$H$41:$H$64,MATCH($A$1,'Version control'!$F$41:$F$64,0),1)&amp;"-F: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2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25">
      <c r="E140" t="s">
        <v>728</v>
      </c>
      <c r="G140" s="61" t="s">
        <v>729</v>
      </c>
      <c r="H140" t="s">
        <v>730</v>
      </c>
      <c r="J140" s="307">
        <f t="shared" ref="J140:AO140" si="30" xml:space="preserve"> IF( J25 &lt;&gt; 0, J102 / J25, 0)</f>
        <v>137.75477425234411</v>
      </c>
      <c r="K140" s="307">
        <f t="shared" si="30"/>
        <v>0</v>
      </c>
      <c r="L140" s="307">
        <f t="shared" si="30"/>
        <v>427.58741559410544</v>
      </c>
      <c r="M140" s="307">
        <f t="shared" si="30"/>
        <v>126.12191132390537</v>
      </c>
      <c r="N140" s="307">
        <f t="shared" si="30"/>
        <v>320.26626121056847</v>
      </c>
      <c r="O140" s="307">
        <f t="shared" si="30"/>
        <v>581.66783670373673</v>
      </c>
      <c r="P140" s="307">
        <f t="shared" si="30"/>
        <v>1320.944654315583</v>
      </c>
      <c r="Q140" s="307">
        <f t="shared" si="30"/>
        <v>0</v>
      </c>
      <c r="R140" s="307">
        <f t="shared" si="30"/>
        <v>2099.586666641449</v>
      </c>
      <c r="S140" s="307">
        <f t="shared" si="30"/>
        <v>3715.2192247275766</v>
      </c>
      <c r="T140" s="307">
        <f t="shared" si="30"/>
        <v>8331.3555705548224</v>
      </c>
      <c r="U140" s="307">
        <f t="shared" si="30"/>
        <v>13245.018527412709</v>
      </c>
      <c r="V140" s="307">
        <f t="shared" si="30"/>
        <v>25165.128464135043</v>
      </c>
      <c r="W140" s="307">
        <f t="shared" si="30"/>
        <v>3697.2660230493334</v>
      </c>
      <c r="X140" s="307">
        <f t="shared" si="30"/>
        <v>3322.5349584109526</v>
      </c>
      <c r="Y140" s="307">
        <f t="shared" si="30"/>
        <v>6880.3373490578397</v>
      </c>
      <c r="Z140" s="307">
        <f t="shared" si="30"/>
        <v>11232.069251531544</v>
      </c>
      <c r="AA140" s="307">
        <f t="shared" si="30"/>
        <v>23947.530682532448</v>
      </c>
      <c r="AB140" s="307">
        <f t="shared" si="30"/>
        <v>8289.7512124758632</v>
      </c>
      <c r="AC140" s="307">
        <f t="shared" si="30"/>
        <v>15304.060065205838</v>
      </c>
      <c r="AD140" s="307">
        <f t="shared" si="30"/>
        <v>37903.686642230612</v>
      </c>
      <c r="AE140" s="307">
        <f t="shared" si="30"/>
        <v>77801.485717211021</v>
      </c>
      <c r="AF140" s="307">
        <f t="shared" si="30"/>
        <v>182250.77279444668</v>
      </c>
      <c r="AG140" s="307">
        <f t="shared" si="30"/>
        <v>1798.789349965899</v>
      </c>
      <c r="AH140" s="307">
        <f t="shared" si="30"/>
        <v>0</v>
      </c>
      <c r="AI140" s="307">
        <f t="shared" si="30"/>
        <v>0</v>
      </c>
      <c r="AJ140" s="307">
        <f t="shared" si="30"/>
        <v>0</v>
      </c>
      <c r="AK140" s="307">
        <f t="shared" si="30"/>
        <v>0</v>
      </c>
      <c r="AL140" s="307">
        <f t="shared" si="30"/>
        <v>0</v>
      </c>
      <c r="AM140" s="307">
        <f t="shared" si="30"/>
        <v>0</v>
      </c>
      <c r="AN140" s="307">
        <f t="shared" si="30"/>
        <v>-17889.38263606227</v>
      </c>
      <c r="AO140" s="307">
        <f t="shared" si="30"/>
        <v>0</v>
      </c>
    </row>
    <row r="141" spans="3:43" x14ac:dyDescent="0.25">
      <c r="E141" t="s">
        <v>731</v>
      </c>
      <c r="G141" s="61" t="s">
        <v>729</v>
      </c>
      <c r="H141" t="s">
        <v>405</v>
      </c>
      <c r="J141" s="168">
        <f t="shared" ref="J141:AO141" si="31" xml:space="preserve"> IF( J36 &lt;&gt; 0, J112 / J36, 0)</f>
        <v>75.429711253018809</v>
      </c>
      <c r="K141" s="168">
        <f t="shared" si="31"/>
        <v>0</v>
      </c>
      <c r="L141" s="168">
        <f t="shared" si="31"/>
        <v>150.2660434430411</v>
      </c>
      <c r="M141" s="168">
        <f t="shared" si="31"/>
        <v>104.42385289655113</v>
      </c>
      <c r="N141" s="168">
        <f t="shared" si="31"/>
        <v>109.39979843403665</v>
      </c>
      <c r="O141" s="168">
        <f t="shared" si="31"/>
        <v>200.25164613266486</v>
      </c>
      <c r="P141" s="168">
        <f t="shared" si="31"/>
        <v>318.52820250025678</v>
      </c>
      <c r="Q141" s="168">
        <f t="shared" si="31"/>
        <v>0</v>
      </c>
      <c r="R141" s="168">
        <f t="shared" si="31"/>
        <v>0</v>
      </c>
      <c r="S141" s="168">
        <f t="shared" si="31"/>
        <v>2541.0720994957633</v>
      </c>
      <c r="T141" s="168">
        <f t="shared" si="31"/>
        <v>3936.7142963618298</v>
      </c>
      <c r="U141" s="168">
        <f t="shared" si="31"/>
        <v>5872.9901084644234</v>
      </c>
      <c r="V141" s="168">
        <f t="shared" si="31"/>
        <v>18871.196436698505</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0</v>
      </c>
      <c r="AH141" s="168">
        <f t="shared" si="31"/>
        <v>0</v>
      </c>
      <c r="AI141" s="168">
        <f t="shared" si="31"/>
        <v>0</v>
      </c>
      <c r="AJ141" s="168">
        <f t="shared" si="31"/>
        <v>0</v>
      </c>
      <c r="AK141" s="168">
        <f t="shared" si="31"/>
        <v>0</v>
      </c>
      <c r="AL141" s="168">
        <f t="shared" si="31"/>
        <v>0</v>
      </c>
      <c r="AM141" s="168">
        <f t="shared" si="31"/>
        <v>0</v>
      </c>
      <c r="AN141" s="168">
        <f t="shared" si="31"/>
        <v>0</v>
      </c>
      <c r="AO141" s="168">
        <f t="shared" si="31"/>
        <v>0</v>
      </c>
    </row>
    <row r="142" spans="3:43" x14ac:dyDescent="0.25">
      <c r="E142" t="s">
        <v>732</v>
      </c>
      <c r="G142" s="61" t="s">
        <v>729</v>
      </c>
      <c r="H142" t="s">
        <v>406</v>
      </c>
      <c r="J142" s="168">
        <f t="shared" ref="J142:AO142" si="32" xml:space="preserve"> IF( J47 &lt;&gt; 0, J122 / J47, 0)</f>
        <v>50.205905487801452</v>
      </c>
      <c r="K142" s="168">
        <f t="shared" si="32"/>
        <v>0</v>
      </c>
      <c r="L142" s="168">
        <f t="shared" si="32"/>
        <v>117.51995704816659</v>
      </c>
      <c r="M142" s="168">
        <f t="shared" si="32"/>
        <v>91.414129975636797</v>
      </c>
      <c r="N142" s="168">
        <f t="shared" si="32"/>
        <v>105.28826843498838</v>
      </c>
      <c r="O142" s="168">
        <f t="shared" si="32"/>
        <v>168.75264564621139</v>
      </c>
      <c r="P142" s="168">
        <f t="shared" si="32"/>
        <v>543.2823827463053</v>
      </c>
      <c r="Q142" s="168">
        <f t="shared" si="32"/>
        <v>0</v>
      </c>
      <c r="R142" s="168">
        <f t="shared" si="32"/>
        <v>4002.4930351613557</v>
      </c>
      <c r="S142" s="168">
        <f t="shared" si="32"/>
        <v>1839.8885765183109</v>
      </c>
      <c r="T142" s="168">
        <f t="shared" si="32"/>
        <v>3399.842916535812</v>
      </c>
      <c r="U142" s="168">
        <f t="shared" si="32"/>
        <v>4876.2835334675574</v>
      </c>
      <c r="V142" s="168">
        <f t="shared" si="32"/>
        <v>13454.698611742724</v>
      </c>
      <c r="W142" s="168">
        <f t="shared" si="32"/>
        <v>0</v>
      </c>
      <c r="X142" s="168">
        <f t="shared" si="32"/>
        <v>0</v>
      </c>
      <c r="Y142" s="168">
        <f t="shared" si="32"/>
        <v>3806.738920948842</v>
      </c>
      <c r="Z142" s="168">
        <f t="shared" si="32"/>
        <v>9267.3468106313976</v>
      </c>
      <c r="AA142" s="168">
        <f t="shared" si="32"/>
        <v>23929.683515568984</v>
      </c>
      <c r="AB142" s="168">
        <f t="shared" si="32"/>
        <v>0</v>
      </c>
      <c r="AC142" s="168">
        <f t="shared" si="32"/>
        <v>0</v>
      </c>
      <c r="AD142" s="168">
        <f t="shared" si="32"/>
        <v>30324.760323141098</v>
      </c>
      <c r="AE142" s="168">
        <f t="shared" si="32"/>
        <v>49090.570259440101</v>
      </c>
      <c r="AF142" s="168">
        <f t="shared" si="32"/>
        <v>126570.94306396002</v>
      </c>
      <c r="AG142" s="168">
        <f t="shared" si="32"/>
        <v>0</v>
      </c>
      <c r="AH142" s="168">
        <f t="shared" si="32"/>
        <v>0</v>
      </c>
      <c r="AI142" s="168">
        <f t="shared" si="32"/>
        <v>0</v>
      </c>
      <c r="AJ142" s="168">
        <f t="shared" si="32"/>
        <v>-265.47121296145707</v>
      </c>
      <c r="AK142" s="168">
        <f t="shared" si="32"/>
        <v>0</v>
      </c>
      <c r="AL142" s="168">
        <f t="shared" si="32"/>
        <v>0</v>
      </c>
      <c r="AM142" s="168">
        <f t="shared" si="32"/>
        <v>0</v>
      </c>
      <c r="AN142" s="168">
        <f t="shared" si="32"/>
        <v>0</v>
      </c>
      <c r="AO142" s="168">
        <f t="shared" si="32"/>
        <v>0</v>
      </c>
    </row>
    <row r="143" spans="3:43" x14ac:dyDescent="0.2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25">
      <c r="C144" s="93" t="str">
        <f ca="1">INDEX('Version control'!$H$41:$H$64,MATCH($A$1,'Version control'!$F$41:$F$64,0),1)&amp;"-G: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2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25">
      <c r="E146" t="s">
        <v>733</v>
      </c>
      <c r="G146" s="61" t="s">
        <v>269</v>
      </c>
      <c r="H146" s="268" t="s">
        <v>730</v>
      </c>
      <c r="I146" s="268"/>
      <c r="J146" s="269">
        <f t="shared" ref="J146:AO146" si="33" xml:space="preserve"> IF( SUM(J$22:J$24) &lt;&gt; 0, J$102 / SUM(J$22:J$24) * hundred / thousand, 0)</f>
        <v>4.0418614624587885</v>
      </c>
      <c r="K146" s="269">
        <f t="shared" si="33"/>
        <v>0.41858591259423517</v>
      </c>
      <c r="L146" s="269">
        <f t="shared" si="33"/>
        <v>2.753723967824433</v>
      </c>
      <c r="M146" s="269">
        <f t="shared" si="33"/>
        <v>5.3518557209713373</v>
      </c>
      <c r="N146" s="269">
        <f t="shared" si="33"/>
        <v>3.3129666143604908</v>
      </c>
      <c r="O146" s="269">
        <f t="shared" si="33"/>
        <v>2.9809774870712218</v>
      </c>
      <c r="P146" s="269">
        <f t="shared" si="33"/>
        <v>2.7897089222662861</v>
      </c>
      <c r="Q146" s="269">
        <f t="shared" si="33"/>
        <v>0.47210972185120204</v>
      </c>
      <c r="R146" s="269">
        <f t="shared" si="33"/>
        <v>7.1597365006562699</v>
      </c>
      <c r="S146" s="269">
        <f t="shared" si="33"/>
        <v>4.0669517379111273</v>
      </c>
      <c r="T146" s="269">
        <f t="shared" si="33"/>
        <v>5.0916005360761751</v>
      </c>
      <c r="U146" s="269">
        <f t="shared" si="33"/>
        <v>5.266793590026519</v>
      </c>
      <c r="V146" s="269">
        <f t="shared" si="33"/>
        <v>5.4456368616101107</v>
      </c>
      <c r="W146" s="269">
        <f t="shared" si="33"/>
        <v>5.4638145518622325</v>
      </c>
      <c r="X146" s="269">
        <f t="shared" si="33"/>
        <v>2.7003237027396656</v>
      </c>
      <c r="Y146" s="269">
        <f t="shared" si="33"/>
        <v>3.2616295052439508</v>
      </c>
      <c r="Z146" s="269">
        <f t="shared" si="33"/>
        <v>3.2838072520212327</v>
      </c>
      <c r="AA146" s="269">
        <f t="shared" si="33"/>
        <v>3.2629052486974106</v>
      </c>
      <c r="AB146" s="269">
        <f t="shared" si="33"/>
        <v>8.9815561600255709</v>
      </c>
      <c r="AC146" s="269">
        <f t="shared" si="33"/>
        <v>2.2716093653288469</v>
      </c>
      <c r="AD146" s="269">
        <f t="shared" si="33"/>
        <v>2.4329771291602511</v>
      </c>
      <c r="AE146" s="269">
        <f t="shared" si="33"/>
        <v>2.2087634178515461</v>
      </c>
      <c r="AF146" s="269">
        <f t="shared" si="33"/>
        <v>2.6001330097923567</v>
      </c>
      <c r="AG146" s="269">
        <f t="shared" si="33"/>
        <v>4.0735933630445116</v>
      </c>
      <c r="AH146" s="269">
        <f t="shared" si="33"/>
        <v>-1.8105046069397848</v>
      </c>
      <c r="AI146" s="269">
        <f t="shared" si="33"/>
        <v>-1.1813068394428272</v>
      </c>
      <c r="AJ146" s="269">
        <f t="shared" si="33"/>
        <v>-1.3145651093824264</v>
      </c>
      <c r="AK146" s="269">
        <f t="shared" si="33"/>
        <v>0</v>
      </c>
      <c r="AL146" s="269">
        <f t="shared" si="33"/>
        <v>0</v>
      </c>
      <c r="AM146" s="269">
        <f t="shared" si="33"/>
        <v>0</v>
      </c>
      <c r="AN146" s="269">
        <f t="shared" si="33"/>
        <v>-0.88323894670501024</v>
      </c>
      <c r="AO146" s="269">
        <f t="shared" si="33"/>
        <v>0</v>
      </c>
      <c r="AP146" s="268"/>
      <c r="AQ146" s="268"/>
    </row>
    <row r="147" spans="2:43" x14ac:dyDescent="0.25">
      <c r="E147" t="s">
        <v>734</v>
      </c>
      <c r="G147" s="61" t="s">
        <v>269</v>
      </c>
      <c r="H147" s="268" t="s">
        <v>405</v>
      </c>
      <c r="I147" s="268"/>
      <c r="J147" s="282">
        <f t="shared" ref="J147:AO147" si="34" xml:space="preserve"> IF( SUM(J$33:J$35) &lt;&gt; 0, J$112 / SUM(J$33:J$35) * hundred / thousand, 0)</f>
        <v>2.7915016186135384</v>
      </c>
      <c r="K147" s="282">
        <f t="shared" si="34"/>
        <v>0</v>
      </c>
      <c r="L147" s="282">
        <f t="shared" si="34"/>
        <v>2.2010205866337387</v>
      </c>
      <c r="M147" s="282">
        <f t="shared" si="34"/>
        <v>2.6842605118054381</v>
      </c>
      <c r="N147" s="282">
        <f t="shared" si="34"/>
        <v>2.7706152292676403</v>
      </c>
      <c r="O147" s="282">
        <f t="shared" si="34"/>
        <v>2.1969166512932188</v>
      </c>
      <c r="P147" s="282">
        <f t="shared" si="34"/>
        <v>2.0685671689048046</v>
      </c>
      <c r="Q147" s="282">
        <f t="shared" si="34"/>
        <v>0</v>
      </c>
      <c r="R147" s="282">
        <f t="shared" si="34"/>
        <v>0</v>
      </c>
      <c r="S147" s="282">
        <f t="shared" si="34"/>
        <v>4.4689973155557254</v>
      </c>
      <c r="T147" s="282">
        <f t="shared" si="34"/>
        <v>6.8419193804515643</v>
      </c>
      <c r="U147" s="282">
        <f t="shared" si="34"/>
        <v>8.0484323242063471</v>
      </c>
      <c r="V147" s="282">
        <f t="shared" si="34"/>
        <v>7.2108562375804288</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2.5037029314337338</v>
      </c>
      <c r="AH147" s="282">
        <f t="shared" si="34"/>
        <v>-1.8124783952696311</v>
      </c>
      <c r="AI147" s="282">
        <f t="shared" si="34"/>
        <v>0</v>
      </c>
      <c r="AJ147" s="282">
        <f t="shared" si="34"/>
        <v>0</v>
      </c>
      <c r="AK147" s="282">
        <f t="shared" si="34"/>
        <v>0</v>
      </c>
      <c r="AL147" s="282">
        <f t="shared" si="34"/>
        <v>0</v>
      </c>
      <c r="AM147" s="282">
        <f t="shared" si="34"/>
        <v>0</v>
      </c>
      <c r="AN147" s="282">
        <f t="shared" si="34"/>
        <v>0</v>
      </c>
      <c r="AO147" s="282">
        <f t="shared" si="34"/>
        <v>0</v>
      </c>
      <c r="AP147" s="268"/>
      <c r="AQ147" s="268"/>
    </row>
    <row r="148" spans="2:43" x14ac:dyDescent="0.25">
      <c r="E148" t="s">
        <v>735</v>
      </c>
      <c r="G148" s="61" t="s">
        <v>269</v>
      </c>
      <c r="H148" s="268" t="s">
        <v>406</v>
      </c>
      <c r="I148" s="268"/>
      <c r="J148" s="282">
        <f t="shared" ref="J148:AO148" si="35" xml:space="preserve"> IF( SUM(J$44:J$46) &lt;&gt; 0, J$122 / SUM(J$44:J$46) * hundred / thousand, 0)</f>
        <v>1.8741597869170532</v>
      </c>
      <c r="K148" s="282">
        <f t="shared" si="35"/>
        <v>0</v>
      </c>
      <c r="L148" s="282">
        <f t="shared" si="35"/>
        <v>1.377907400907495</v>
      </c>
      <c r="M148" s="282">
        <f t="shared" si="35"/>
        <v>1.5575053522160678</v>
      </c>
      <c r="N148" s="282">
        <f t="shared" si="35"/>
        <v>1.5361115180033538</v>
      </c>
      <c r="O148" s="282">
        <f t="shared" si="35"/>
        <v>1.3730514698037957</v>
      </c>
      <c r="P148" s="282">
        <f t="shared" si="35"/>
        <v>1.2104855754636565</v>
      </c>
      <c r="Q148" s="282">
        <f t="shared" si="35"/>
        <v>0</v>
      </c>
      <c r="R148" s="282">
        <f t="shared" si="35"/>
        <v>8.4842198318709325</v>
      </c>
      <c r="S148" s="282">
        <f t="shared" si="35"/>
        <v>1.9493938368212267</v>
      </c>
      <c r="T148" s="282">
        <f t="shared" si="35"/>
        <v>2.9148917529233707</v>
      </c>
      <c r="U148" s="282">
        <f t="shared" si="35"/>
        <v>2.9296165341635469</v>
      </c>
      <c r="V148" s="282">
        <f t="shared" si="35"/>
        <v>2.8791445006587471</v>
      </c>
      <c r="W148" s="282">
        <f t="shared" si="35"/>
        <v>0</v>
      </c>
      <c r="X148" s="282">
        <f t="shared" si="35"/>
        <v>0</v>
      </c>
      <c r="Y148" s="282">
        <f t="shared" si="35"/>
        <v>154.33675915093758</v>
      </c>
      <c r="Z148" s="282">
        <f t="shared" si="35"/>
        <v>1.6302273729311652</v>
      </c>
      <c r="AA148" s="282">
        <f t="shared" si="35"/>
        <v>4.2311039143461269</v>
      </c>
      <c r="AB148" s="282">
        <f t="shared" si="35"/>
        <v>0</v>
      </c>
      <c r="AC148" s="282">
        <f t="shared" si="35"/>
        <v>0</v>
      </c>
      <c r="AD148" s="282">
        <f t="shared" si="35"/>
        <v>3.3928664610735644</v>
      </c>
      <c r="AE148" s="282">
        <f t="shared" si="35"/>
        <v>3.6510007001506701</v>
      </c>
      <c r="AF148" s="282">
        <f t="shared" si="35"/>
        <v>10.459389080223865</v>
      </c>
      <c r="AG148" s="282">
        <f t="shared" si="35"/>
        <v>0</v>
      </c>
      <c r="AH148" s="282">
        <f t="shared" si="35"/>
        <v>-1.8070216010362856</v>
      </c>
      <c r="AI148" s="282">
        <f t="shared" si="35"/>
        <v>0</v>
      </c>
      <c r="AJ148" s="282">
        <f t="shared" si="35"/>
        <v>-1.288118110500392</v>
      </c>
      <c r="AK148" s="282">
        <f t="shared" si="35"/>
        <v>0</v>
      </c>
      <c r="AL148" s="282">
        <f t="shared" si="35"/>
        <v>0</v>
      </c>
      <c r="AM148" s="282">
        <f t="shared" si="35"/>
        <v>0</v>
      </c>
      <c r="AN148" s="282">
        <f t="shared" si="35"/>
        <v>0</v>
      </c>
      <c r="AO148" s="282">
        <f t="shared" si="35"/>
        <v>0</v>
      </c>
      <c r="AP148" s="268"/>
      <c r="AQ148" s="268"/>
    </row>
    <row r="149" spans="2:43" x14ac:dyDescent="0.2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25">
      <c r="B150" s="85" t="s">
        <v>736</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2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25">
      <c r="C152" s="93" t="str">
        <f ca="1">INDEX('Version control'!$H$41:$H$64,MATCH($A$1,'Version control'!$F$41:$F$64,0),1)&amp;"-H: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2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25">
      <c r="E154" s="75" t="s">
        <v>737</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25">
      <c r="F155" s="95" t="s">
        <v>156</v>
      </c>
      <c r="G155" s="95" t="s">
        <v>269</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25">
      <c r="E156" s="94"/>
      <c r="F156" t="s">
        <v>157</v>
      </c>
      <c r="G156" t="s">
        <v>269</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25">
      <c r="E157" s="94"/>
      <c r="F157" t="s">
        <v>158</v>
      </c>
      <c r="G157" t="s">
        <v>269</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25">
      <c r="E158" s="94"/>
      <c r="F158" t="s">
        <v>159</v>
      </c>
      <c r="G158" t="s">
        <v>270</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25">
      <c r="E159" s="94"/>
      <c r="F159" t="s">
        <v>160</v>
      </c>
      <c r="G159" t="s">
        <v>271</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25">
      <c r="E160" s="94"/>
      <c r="F160" t="s">
        <v>161</v>
      </c>
      <c r="G160" t="s">
        <v>271</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25">
      <c r="E161" s="94"/>
      <c r="F161" s="96" t="s">
        <v>162</v>
      </c>
      <c r="G161" s="96" t="s">
        <v>272</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2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25">
      <c r="C163" s="93" t="str">
        <f ca="1">INDEX('Version control'!$H$41:$H$64,MATCH($A$1,'Version control'!$F$41:$F$64,0),1)&amp;"-I: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2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25">
      <c r="D165" s="86" t="s">
        <v>738</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25">
      <c r="D166" s="134" t="s">
        <v>739</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25">
      <c r="E168" s="145" t="s">
        <v>740</v>
      </c>
      <c r="F168" s="145"/>
      <c r="G168" s="145" t="s">
        <v>277</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2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25">
      <c r="E170" t="s">
        <v>741</v>
      </c>
      <c r="G170" t="s">
        <v>277</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25">
      <c r="F171" s="3"/>
      <c r="G171" s="354"/>
      <c r="H171" s="3"/>
      <c r="I171" s="3"/>
    </row>
    <row r="172" spans="2:43" x14ac:dyDescent="0.25">
      <c r="E172" t="s">
        <v>742</v>
      </c>
      <c r="G172" s="61" t="s">
        <v>167</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25">
      <c r="C173" s="105"/>
      <c r="D173" s="2"/>
      <c r="E173" s="2"/>
      <c r="G173" s="61"/>
    </row>
    <row r="174" spans="2:43" x14ac:dyDescent="0.25">
      <c r="E174" t="s">
        <v>743</v>
      </c>
      <c r="G174" s="61" t="s">
        <v>269</v>
      </c>
      <c r="H174" s="268"/>
      <c r="I174" s="268"/>
      <c r="J174" s="269">
        <f t="shared" ref="J174:AO174" si="39" xml:space="preserve"> IF( SUM(J22:J24) = 0, "-", (J102 - J170) / SUM(J22:J24)/ ten)</f>
        <v>4.0418614624587885</v>
      </c>
      <c r="K174" s="269">
        <f t="shared" si="39"/>
        <v>0.41858591259423517</v>
      </c>
      <c r="L174" s="269">
        <f t="shared" si="39"/>
        <v>2.7537239678244325</v>
      </c>
      <c r="M174" s="269">
        <f t="shared" si="39"/>
        <v>5.3518557209713373</v>
      </c>
      <c r="N174" s="269">
        <f t="shared" si="39"/>
        <v>3.3129666143604908</v>
      </c>
      <c r="O174" s="269">
        <f t="shared" si="39"/>
        <v>2.9809774870712218</v>
      </c>
      <c r="P174" s="269">
        <f t="shared" si="39"/>
        <v>2.7897089222662861</v>
      </c>
      <c r="Q174" s="269">
        <f t="shared" si="39"/>
        <v>0.47210972185120204</v>
      </c>
      <c r="R174" s="269">
        <f t="shared" si="39"/>
        <v>7.1597365006562699</v>
      </c>
      <c r="S174" s="269">
        <f t="shared" si="39"/>
        <v>4.0669517379111273</v>
      </c>
      <c r="T174" s="269">
        <f t="shared" si="39"/>
        <v>5.0916005360761751</v>
      </c>
      <c r="U174" s="269">
        <f t="shared" si="39"/>
        <v>5.266793590026519</v>
      </c>
      <c r="V174" s="269">
        <f t="shared" si="39"/>
        <v>5.4456368616101107</v>
      </c>
      <c r="W174" s="269">
        <f t="shared" si="39"/>
        <v>5.4638145518622325</v>
      </c>
      <c r="X174" s="269">
        <f t="shared" si="39"/>
        <v>2.7003237027396656</v>
      </c>
      <c r="Y174" s="269">
        <f t="shared" si="39"/>
        <v>3.2616295052439512</v>
      </c>
      <c r="Z174" s="269">
        <f t="shared" si="39"/>
        <v>3.2838072520212327</v>
      </c>
      <c r="AA174" s="269">
        <f t="shared" si="39"/>
        <v>3.2629052486974102</v>
      </c>
      <c r="AB174" s="269">
        <f t="shared" si="39"/>
        <v>8.9815561600255727</v>
      </c>
      <c r="AC174" s="269">
        <f t="shared" si="39"/>
        <v>2.2716093653288469</v>
      </c>
      <c r="AD174" s="269">
        <f t="shared" si="39"/>
        <v>2.4329771291602511</v>
      </c>
      <c r="AE174" s="269">
        <f t="shared" si="39"/>
        <v>2.2087634178515456</v>
      </c>
      <c r="AF174" s="269">
        <f t="shared" si="39"/>
        <v>2.6001330097923567</v>
      </c>
      <c r="AG174" s="269">
        <f t="shared" si="39"/>
        <v>4.0735933630445116</v>
      </c>
      <c r="AH174" s="269">
        <f t="shared" si="39"/>
        <v>-1.8105046069397848</v>
      </c>
      <c r="AI174" s="269">
        <f t="shared" si="39"/>
        <v>-1.181306839442827</v>
      </c>
      <c r="AJ174" s="269">
        <f t="shared" si="39"/>
        <v>-1.3145651093824264</v>
      </c>
      <c r="AK174" s="269" t="str">
        <f t="shared" si="39"/>
        <v>-</v>
      </c>
      <c r="AL174" s="269" t="str">
        <f t="shared" si="39"/>
        <v>-</v>
      </c>
      <c r="AM174" s="269" t="str">
        <f t="shared" si="39"/>
        <v>-</v>
      </c>
      <c r="AN174" s="269">
        <f t="shared" si="39"/>
        <v>-0.88323894670501024</v>
      </c>
      <c r="AO174" s="269" t="str">
        <f t="shared" si="39"/>
        <v>-</v>
      </c>
      <c r="AP174" s="268"/>
      <c r="AQ174" s="268"/>
    </row>
    <row r="175" spans="2:43" x14ac:dyDescent="0.25">
      <c r="C175" s="105"/>
      <c r="D175" s="2"/>
      <c r="E175" s="2"/>
      <c r="G175" s="61"/>
    </row>
    <row r="176" spans="2:43" x14ac:dyDescent="0.25">
      <c r="B176" s="85" t="s">
        <v>744</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25">
      <c r="F177" s="3"/>
      <c r="G177" s="354"/>
      <c r="H177" s="3"/>
      <c r="I177" s="3"/>
    </row>
    <row r="178" spans="3:43" x14ac:dyDescent="0.25">
      <c r="C178" s="93" t="str">
        <f ca="1">INDEX('Version control'!$H$41:$H$64,MATCH($A$1,'Version control'!$F$41:$F$64,0),1)&amp;"-J: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25">
      <c r="C179" s="105"/>
      <c r="D179" s="2"/>
      <c r="E179" s="2"/>
      <c r="G179" s="61"/>
    </row>
    <row r="180" spans="3:43" x14ac:dyDescent="0.25">
      <c r="E180" s="75" t="s">
        <v>745</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25">
      <c r="E181" s="86" t="s">
        <v>746</v>
      </c>
    </row>
    <row r="182" spans="3:43" x14ac:dyDescent="0.25">
      <c r="E182" s="94"/>
      <c r="F182" s="95" t="s">
        <v>156</v>
      </c>
      <c r="G182" s="143" t="s">
        <v>747</v>
      </c>
      <c r="H182" s="364"/>
      <c r="I182" s="95"/>
      <c r="J182" s="147">
        <f t="shared" ref="J182:AO182" si="40" xml:space="preserve"> IF( J$25 &lt;&gt; 0, J$22 * thousand * J64 / hundred / J$25, 0)</f>
        <v>38.252546219330675</v>
      </c>
      <c r="K182" s="147">
        <f t="shared" si="40"/>
        <v>0</v>
      </c>
      <c r="L182" s="147">
        <f t="shared" si="40"/>
        <v>128.86109685283785</v>
      </c>
      <c r="M182" s="147">
        <f t="shared" si="40"/>
        <v>21.500635455441497</v>
      </c>
      <c r="N182" s="147">
        <f t="shared" si="40"/>
        <v>88.198110148227087</v>
      </c>
      <c r="O182" s="147">
        <f t="shared" si="40"/>
        <v>178.02520846577255</v>
      </c>
      <c r="P182" s="147">
        <f t="shared" si="40"/>
        <v>432.00709480857245</v>
      </c>
      <c r="Q182" s="147">
        <f t="shared" si="40"/>
        <v>0</v>
      </c>
      <c r="R182" s="147">
        <f t="shared" si="40"/>
        <v>174.44641196845799</v>
      </c>
      <c r="S182" s="147">
        <f t="shared" si="40"/>
        <v>569.61923158177376</v>
      </c>
      <c r="T182" s="147">
        <f t="shared" si="40"/>
        <v>1020.3062884689537</v>
      </c>
      <c r="U182" s="147">
        <f t="shared" si="40"/>
        <v>1568.1062606976498</v>
      </c>
      <c r="V182" s="147">
        <f t="shared" si="40"/>
        <v>2881.5070822648545</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538.95669615086388</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25">
      <c r="E183" s="94"/>
      <c r="F183" t="s">
        <v>157</v>
      </c>
      <c r="G183" s="61" t="s">
        <v>747</v>
      </c>
      <c r="H183" s="250"/>
      <c r="J183" s="168">
        <f t="shared" ref="J183:AO183" si="41" xml:space="preserve"> IF( J$25 &lt;&gt; 0, J$23 * thousand * J65 / hundred / J$25, 0)</f>
        <v>16.363910274489907</v>
      </c>
      <c r="K183" s="168">
        <f t="shared" si="41"/>
        <v>0</v>
      </c>
      <c r="L183" s="168">
        <f t="shared" si="41"/>
        <v>85.936246895494463</v>
      </c>
      <c r="M183" s="168">
        <f t="shared" si="41"/>
        <v>14.409450236281474</v>
      </c>
      <c r="N183" s="168">
        <f t="shared" si="41"/>
        <v>59.109242689536771</v>
      </c>
      <c r="O183" s="168">
        <f t="shared" si="41"/>
        <v>119.31021236593074</v>
      </c>
      <c r="P183" s="168">
        <f t="shared" si="41"/>
        <v>289.52561645284783</v>
      </c>
      <c r="Q183" s="168">
        <f t="shared" si="41"/>
        <v>0</v>
      </c>
      <c r="R183" s="168">
        <f t="shared" si="41"/>
        <v>85.80238220752392</v>
      </c>
      <c r="S183" s="168">
        <f t="shared" si="41"/>
        <v>295.62295463382463</v>
      </c>
      <c r="T183" s="168">
        <f t="shared" si="41"/>
        <v>529.52207879477555</v>
      </c>
      <c r="U183" s="168">
        <f t="shared" si="41"/>
        <v>813.82119890853505</v>
      </c>
      <c r="V183" s="168">
        <f t="shared" si="41"/>
        <v>1495.4544899966891</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290.31848432159387</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25">
      <c r="E184" s="94"/>
      <c r="F184" t="s">
        <v>158</v>
      </c>
      <c r="G184" s="61" t="s">
        <v>747</v>
      </c>
      <c r="H184" s="250"/>
      <c r="J184" s="168">
        <f t="shared" ref="J184:AO184" si="42" xml:space="preserve"> IF( J$25 &lt;&gt; 0, J$24 * thousand * J66 / hundred / J$25, 0)</f>
        <v>2.0413081294204014</v>
      </c>
      <c r="K184" s="168">
        <f t="shared" si="42"/>
        <v>0</v>
      </c>
      <c r="L184" s="168">
        <f t="shared" si="42"/>
        <v>9.6755617821517852</v>
      </c>
      <c r="M184" s="168">
        <f t="shared" si="42"/>
        <v>1.3021776365260165</v>
      </c>
      <c r="N184" s="168">
        <f t="shared" si="42"/>
        <v>5.3416842891409928</v>
      </c>
      <c r="O184" s="168">
        <f t="shared" si="42"/>
        <v>10.782027614134574</v>
      </c>
      <c r="P184" s="168">
        <f t="shared" si="42"/>
        <v>26.16434192589989</v>
      </c>
      <c r="Q184" s="168">
        <f t="shared" si="42"/>
        <v>0</v>
      </c>
      <c r="R184" s="168">
        <f t="shared" si="42"/>
        <v>10.05063398768611</v>
      </c>
      <c r="S184" s="168">
        <f t="shared" si="42"/>
        <v>28.089721823128734</v>
      </c>
      <c r="T184" s="168">
        <f t="shared" si="42"/>
        <v>50.314522804814125</v>
      </c>
      <c r="U184" s="168">
        <f t="shared" si="42"/>
        <v>77.328268095492064</v>
      </c>
      <c r="V184" s="168">
        <f t="shared" si="42"/>
        <v>142.09620722852185</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279.68943396799347</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25">
      <c r="E185" s="94"/>
      <c r="F185" s="95" t="s">
        <v>159</v>
      </c>
      <c r="G185" s="143" t="s">
        <v>747</v>
      </c>
      <c r="H185" s="364"/>
      <c r="I185" s="95"/>
      <c r="J185" s="147">
        <f t="shared" ref="J185:AO185" si="43" xml:space="preserve"> IF( J$25 &lt;&gt; 0, J$25 * J67 * days_in_year / hundred / J$25, 0)</f>
        <v>28.287500000000001</v>
      </c>
      <c r="K185" s="147">
        <f t="shared" si="43"/>
        <v>0</v>
      </c>
      <c r="L185" s="147">
        <f t="shared" si="43"/>
        <v>39.164500000000004</v>
      </c>
      <c r="M185" s="147">
        <f t="shared" si="43"/>
        <v>40.551499999999997</v>
      </c>
      <c r="N185" s="147">
        <f t="shared" si="43"/>
        <v>44.821999999999996</v>
      </c>
      <c r="O185" s="147">
        <f t="shared" si="43"/>
        <v>50.552499999999995</v>
      </c>
      <c r="P185" s="147">
        <f t="shared" si="43"/>
        <v>66.831499999999991</v>
      </c>
      <c r="Q185" s="147">
        <f t="shared" si="43"/>
        <v>0</v>
      </c>
      <c r="R185" s="147">
        <f t="shared" si="43"/>
        <v>38.981999999999999</v>
      </c>
      <c r="S185" s="147">
        <f t="shared" si="43"/>
        <v>93.44</v>
      </c>
      <c r="T185" s="147">
        <f t="shared" si="43"/>
        <v>136.83850000000001</v>
      </c>
      <c r="U185" s="147">
        <f t="shared" si="43"/>
        <v>195.45749999999998</v>
      </c>
      <c r="V185" s="147">
        <f t="shared" si="43"/>
        <v>385.54949999999997</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25">
      <c r="E186" s="94"/>
      <c r="F186" t="s">
        <v>160</v>
      </c>
      <c r="G186" s="61" t="s">
        <v>747</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897.33804809286994</v>
      </c>
      <c r="S186" s="168">
        <f t="shared" si="44"/>
        <v>1258.1687902246615</v>
      </c>
      <c r="T186" s="168">
        <f t="shared" si="44"/>
        <v>3288.1770736282047</v>
      </c>
      <c r="U186" s="168">
        <f t="shared" si="44"/>
        <v>5332.0583235616014</v>
      </c>
      <c r="V186" s="168">
        <f t="shared" si="44"/>
        <v>10267.739158128434</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25">
      <c r="E187" s="94"/>
      <c r="F187" t="s">
        <v>161</v>
      </c>
      <c r="G187" s="61" t="s">
        <v>747</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80.200920721230801</v>
      </c>
      <c r="S187" s="168">
        <f t="shared" si="45"/>
        <v>36.206052747043216</v>
      </c>
      <c r="T187" s="168">
        <f t="shared" si="45"/>
        <v>94.623164629717763</v>
      </c>
      <c r="U187" s="168">
        <f t="shared" si="45"/>
        <v>153.43949588728091</v>
      </c>
      <c r="V187" s="168">
        <f t="shared" si="45"/>
        <v>295.4725220021536</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25">
      <c r="E188" s="94"/>
      <c r="F188" s="95" t="s">
        <v>162</v>
      </c>
      <c r="G188" s="143" t="s">
        <v>747</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7.7921639076006404</v>
      </c>
      <c r="S188" s="147">
        <f t="shared" si="46"/>
        <v>9.7171141506964389</v>
      </c>
      <c r="T188" s="147">
        <f t="shared" si="46"/>
        <v>17.405368576118615</v>
      </c>
      <c r="U188" s="147">
        <f t="shared" si="46"/>
        <v>26.750268759901136</v>
      </c>
      <c r="V188" s="147">
        <f t="shared" si="46"/>
        <v>49.155526520154368</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25">
      <c r="E189" s="94"/>
      <c r="F189" s="145" t="s">
        <v>101</v>
      </c>
      <c r="G189" s="356" t="s">
        <v>747</v>
      </c>
      <c r="H189" s="365"/>
      <c r="I189" s="145"/>
      <c r="J189" s="146">
        <f t="shared" ref="J189" si="47">SUM(J182:J188)</f>
        <v>84.945264623240973</v>
      </c>
      <c r="K189" s="146">
        <f t="shared" ref="K189:AO189" si="48">SUM(K182:K188)</f>
        <v>0</v>
      </c>
      <c r="L189" s="146">
        <f t="shared" si="48"/>
        <v>263.6374055304841</v>
      </c>
      <c r="M189" s="146">
        <f t="shared" si="48"/>
        <v>77.763763328248984</v>
      </c>
      <c r="N189" s="146">
        <f t="shared" si="48"/>
        <v>197.47103712690486</v>
      </c>
      <c r="O189" s="146">
        <f t="shared" si="48"/>
        <v>358.66994844583786</v>
      </c>
      <c r="P189" s="146">
        <f t="shared" si="48"/>
        <v>814.52855318732009</v>
      </c>
      <c r="Q189" s="146">
        <f t="shared" si="48"/>
        <v>0</v>
      </c>
      <c r="R189" s="146">
        <f t="shared" si="48"/>
        <v>1294.6125608853695</v>
      </c>
      <c r="S189" s="146">
        <f t="shared" si="48"/>
        <v>2290.8638651611282</v>
      </c>
      <c r="T189" s="146">
        <f t="shared" si="48"/>
        <v>5137.1869969025838</v>
      </c>
      <c r="U189" s="146">
        <f t="shared" si="48"/>
        <v>8166.9613159104601</v>
      </c>
      <c r="V189" s="146">
        <f t="shared" si="48"/>
        <v>15516.974486140809</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1108.9646144404512</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2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25">
      <c r="E191" s="75" t="s">
        <v>748</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25">
      <c r="E192" s="86" t="s">
        <v>749</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25">
      <c r="C193" s="105"/>
      <c r="F193" s="95" t="s">
        <v>156</v>
      </c>
      <c r="G193" s="143" t="s">
        <v>747</v>
      </c>
      <c r="H193" s="364"/>
      <c r="I193" s="95"/>
      <c r="J193" s="147">
        <f t="shared" ref="J193:AO193" si="49" xml:space="preserve"> IF( J$25 &lt;&gt; 0, J$22 * thousand * J73 / hundred / J$25,0)</f>
        <v>25.54259179879617</v>
      </c>
      <c r="K193" s="147">
        <f t="shared" si="49"/>
        <v>0</v>
      </c>
      <c r="L193" s="147">
        <f t="shared" si="49"/>
        <v>86.039775642193618</v>
      </c>
      <c r="M193" s="147">
        <f t="shared" si="49"/>
        <v>14.355844362115096</v>
      </c>
      <c r="N193" s="147">
        <f t="shared" si="49"/>
        <v>58.889345151898105</v>
      </c>
      <c r="O193" s="147">
        <f t="shared" si="49"/>
        <v>118.86635586023645</v>
      </c>
      <c r="P193" s="147">
        <f t="shared" si="49"/>
        <v>288.44852652165565</v>
      </c>
      <c r="Q193" s="147">
        <f t="shared" si="49"/>
        <v>0</v>
      </c>
      <c r="R193" s="147">
        <f t="shared" si="49"/>
        <v>116.46925089005934</v>
      </c>
      <c r="S193" s="147">
        <f t="shared" si="49"/>
        <v>380.30661935824776</v>
      </c>
      <c r="T193" s="147">
        <f t="shared" si="49"/>
        <v>681.2081014190336</v>
      </c>
      <c r="U193" s="147">
        <f t="shared" si="49"/>
        <v>1046.9470792697657</v>
      </c>
      <c r="V193" s="147">
        <f t="shared" si="49"/>
        <v>1923.8399203445356</v>
      </c>
      <c r="W193" s="147">
        <f t="shared" si="49"/>
        <v>233.26757956904652</v>
      </c>
      <c r="X193" s="147">
        <f t="shared" si="49"/>
        <v>515.03625484663053</v>
      </c>
      <c r="Y193" s="147">
        <f t="shared" si="49"/>
        <v>882.99689458919499</v>
      </c>
      <c r="Z193" s="147">
        <f t="shared" si="49"/>
        <v>1431.7466828329623</v>
      </c>
      <c r="AA193" s="147">
        <f t="shared" si="49"/>
        <v>3072.1353570171345</v>
      </c>
      <c r="AB193" s="147">
        <f t="shared" si="49"/>
        <v>169.35366662890718</v>
      </c>
      <c r="AC193" s="147">
        <f t="shared" si="49"/>
        <v>2498.3492570664389</v>
      </c>
      <c r="AD193" s="147">
        <f t="shared" si="49"/>
        <v>5777.2819904701746</v>
      </c>
      <c r="AE193" s="147">
        <f t="shared" si="49"/>
        <v>13062.2751947425</v>
      </c>
      <c r="AF193" s="147">
        <f t="shared" si="49"/>
        <v>25992.853148287406</v>
      </c>
      <c r="AG193" s="147">
        <f t="shared" si="49"/>
        <v>359.86791824628926</v>
      </c>
      <c r="AH193" s="147">
        <f t="shared" si="49"/>
        <v>0</v>
      </c>
      <c r="AI193" s="147">
        <f t="shared" si="49"/>
        <v>0</v>
      </c>
      <c r="AJ193" s="147">
        <f t="shared" si="49"/>
        <v>0</v>
      </c>
      <c r="AK193" s="147">
        <f t="shared" si="49"/>
        <v>0</v>
      </c>
      <c r="AL193" s="147">
        <f t="shared" si="49"/>
        <v>0</v>
      </c>
      <c r="AM193" s="147">
        <f t="shared" si="49"/>
        <v>0</v>
      </c>
      <c r="AN193" s="147">
        <f t="shared" si="49"/>
        <v>-13771.601525351349</v>
      </c>
      <c r="AO193" s="147">
        <f t="shared" si="49"/>
        <v>0</v>
      </c>
    </row>
    <row r="194" spans="3:43" x14ac:dyDescent="0.25">
      <c r="C194" s="105"/>
      <c r="F194" t="s">
        <v>157</v>
      </c>
      <c r="G194" s="61" t="s">
        <v>747</v>
      </c>
      <c r="H194" s="250"/>
      <c r="J194" s="168">
        <f t="shared" ref="J194:AO194" si="50" xml:space="preserve"> IF( J$25 &lt;&gt; 0, J$23 * thousand * J74 / hundred / J$25, 0)</f>
        <v>10.923897207367254</v>
      </c>
      <c r="K194" s="168">
        <f t="shared" si="50"/>
        <v>0</v>
      </c>
      <c r="L194" s="168">
        <f t="shared" si="50"/>
        <v>57.411190152872358</v>
      </c>
      <c r="M194" s="168">
        <f t="shared" si="50"/>
        <v>9.6264814603729185</v>
      </c>
      <c r="N194" s="168">
        <f t="shared" si="50"/>
        <v>39.488947847211541</v>
      </c>
      <c r="O194" s="168">
        <f t="shared" si="50"/>
        <v>79.707242715054591</v>
      </c>
      <c r="P194" s="168">
        <f t="shared" si="50"/>
        <v>193.42257569749086</v>
      </c>
      <c r="Q194" s="168">
        <f t="shared" si="50"/>
        <v>0</v>
      </c>
      <c r="R194" s="168">
        <f t="shared" si="50"/>
        <v>57.201588138349287</v>
      </c>
      <c r="S194" s="168">
        <f t="shared" si="50"/>
        <v>197.08196975588308</v>
      </c>
      <c r="T194" s="168">
        <f t="shared" si="50"/>
        <v>353.01471919651698</v>
      </c>
      <c r="U194" s="168">
        <f t="shared" si="50"/>
        <v>542.54746593902337</v>
      </c>
      <c r="V194" s="168">
        <f t="shared" si="50"/>
        <v>996.96965999779286</v>
      </c>
      <c r="W194" s="168">
        <f t="shared" si="50"/>
        <v>129.11850399386611</v>
      </c>
      <c r="X194" s="168">
        <f t="shared" si="50"/>
        <v>196.46005496186038</v>
      </c>
      <c r="Y194" s="168">
        <f t="shared" si="50"/>
        <v>336.81826630593787</v>
      </c>
      <c r="Z194" s="168">
        <f t="shared" si="50"/>
        <v>546.13831425243279</v>
      </c>
      <c r="AA194" s="168">
        <f t="shared" si="50"/>
        <v>1171.8629036505188</v>
      </c>
      <c r="AB194" s="168">
        <f t="shared" si="50"/>
        <v>94.26095577449307</v>
      </c>
      <c r="AC194" s="168">
        <f t="shared" si="50"/>
        <v>732.02061339994975</v>
      </c>
      <c r="AD194" s="168">
        <f t="shared" si="50"/>
        <v>1692.7535229458897</v>
      </c>
      <c r="AE194" s="168">
        <f t="shared" si="50"/>
        <v>3827.2690150943431</v>
      </c>
      <c r="AF194" s="168">
        <f t="shared" si="50"/>
        <v>7615.9505128462351</v>
      </c>
      <c r="AG194" s="168">
        <f t="shared" si="50"/>
        <v>193.94499388196346</v>
      </c>
      <c r="AH194" s="168">
        <f t="shared" si="50"/>
        <v>0</v>
      </c>
      <c r="AI194" s="168">
        <f t="shared" si="50"/>
        <v>0</v>
      </c>
      <c r="AJ194" s="168">
        <f t="shared" si="50"/>
        <v>0</v>
      </c>
      <c r="AK194" s="168">
        <f t="shared" si="50"/>
        <v>0</v>
      </c>
      <c r="AL194" s="168">
        <f t="shared" si="50"/>
        <v>0</v>
      </c>
      <c r="AM194" s="168">
        <f t="shared" si="50"/>
        <v>0</v>
      </c>
      <c r="AN194" s="168">
        <f t="shared" si="50"/>
        <v>-4096.4106265053242</v>
      </c>
      <c r="AO194" s="168">
        <f t="shared" si="50"/>
        <v>0</v>
      </c>
    </row>
    <row r="195" spans="3:43" x14ac:dyDescent="0.25">
      <c r="C195" s="105"/>
      <c r="F195" t="s">
        <v>158</v>
      </c>
      <c r="G195" s="61" t="s">
        <v>747</v>
      </c>
      <c r="H195" s="250"/>
      <c r="J195" s="168">
        <f t="shared" ref="J195:AO195" si="51" xml:space="preserve"> IF( J$25 &lt;&gt; 0, J$24 * thousand * J75 / hundred / J$25, 0)</f>
        <v>1.372026775512073</v>
      </c>
      <c r="K195" s="168">
        <f t="shared" si="51"/>
        <v>0</v>
      </c>
      <c r="L195" s="168">
        <f t="shared" si="51"/>
        <v>6.4751836542092693</v>
      </c>
      <c r="M195" s="168">
        <f t="shared" si="51"/>
        <v>0.87145734136741093</v>
      </c>
      <c r="N195" s="168">
        <f t="shared" si="51"/>
        <v>3.5748194858097406</v>
      </c>
      <c r="O195" s="168">
        <f t="shared" si="51"/>
        <v>7.2156646340746748</v>
      </c>
      <c r="P195" s="168">
        <f t="shared" si="51"/>
        <v>17.509982673486849</v>
      </c>
      <c r="Q195" s="168">
        <f t="shared" si="51"/>
        <v>0</v>
      </c>
      <c r="R195" s="168">
        <f t="shared" si="51"/>
        <v>6.7482828203035305</v>
      </c>
      <c r="S195" s="168">
        <f t="shared" si="51"/>
        <v>18.860241795529294</v>
      </c>
      <c r="T195" s="168">
        <f t="shared" si="51"/>
        <v>33.782608168946624</v>
      </c>
      <c r="U195" s="168">
        <f t="shared" si="51"/>
        <v>51.920408578401805</v>
      </c>
      <c r="V195" s="168">
        <f t="shared" si="51"/>
        <v>95.407453424864656</v>
      </c>
      <c r="W195" s="168">
        <f t="shared" si="51"/>
        <v>8.9051045674059122</v>
      </c>
      <c r="X195" s="168">
        <f t="shared" si="51"/>
        <v>19.53436439526422</v>
      </c>
      <c r="Y195" s="168">
        <f t="shared" si="51"/>
        <v>33.49042506518002</v>
      </c>
      <c r="Z195" s="168">
        <f t="shared" si="51"/>
        <v>54.303480892812821</v>
      </c>
      <c r="AA195" s="168">
        <f t="shared" si="51"/>
        <v>116.52036331581843</v>
      </c>
      <c r="AB195" s="168">
        <f t="shared" si="51"/>
        <v>11.830512639519307</v>
      </c>
      <c r="AC195" s="168">
        <f t="shared" si="51"/>
        <v>77.387296511813702</v>
      </c>
      <c r="AD195" s="168">
        <f t="shared" si="51"/>
        <v>178.95345623287577</v>
      </c>
      <c r="AE195" s="168">
        <f t="shared" si="51"/>
        <v>404.60882751092674</v>
      </c>
      <c r="AF195" s="168">
        <f t="shared" si="51"/>
        <v>805.13828404298829</v>
      </c>
      <c r="AG195" s="168">
        <f t="shared" si="51"/>
        <v>186.85382903569965</v>
      </c>
      <c r="AH195" s="168">
        <f t="shared" si="51"/>
        <v>0</v>
      </c>
      <c r="AI195" s="168">
        <f t="shared" si="51"/>
        <v>0</v>
      </c>
      <c r="AJ195" s="168">
        <f t="shared" si="51"/>
        <v>0</v>
      </c>
      <c r="AK195" s="168">
        <f t="shared" si="51"/>
        <v>0</v>
      </c>
      <c r="AL195" s="168">
        <f t="shared" si="51"/>
        <v>0</v>
      </c>
      <c r="AM195" s="168">
        <f t="shared" si="51"/>
        <v>0</v>
      </c>
      <c r="AN195" s="168">
        <f t="shared" si="51"/>
        <v>-350.25425183069905</v>
      </c>
      <c r="AO195" s="168">
        <f t="shared" si="51"/>
        <v>0</v>
      </c>
    </row>
    <row r="196" spans="3:43" x14ac:dyDescent="0.25">
      <c r="C196" s="105"/>
      <c r="F196" s="95" t="s">
        <v>159</v>
      </c>
      <c r="G196" s="143" t="s">
        <v>747</v>
      </c>
      <c r="H196" s="364"/>
      <c r="I196" s="95"/>
      <c r="J196" s="147">
        <f t="shared" ref="J196:AO196" si="52" xml:space="preserve"> IF( J$25 &lt;&gt; 0, J$25 * J76 * days_in_year / hundred / J$25, 0)</f>
        <v>18.906999999999996</v>
      </c>
      <c r="K196" s="147">
        <f t="shared" si="52"/>
        <v>0</v>
      </c>
      <c r="L196" s="147">
        <f t="shared" si="52"/>
        <v>26.170500000000004</v>
      </c>
      <c r="M196" s="147">
        <f t="shared" si="52"/>
        <v>27.083000000000002</v>
      </c>
      <c r="N196" s="147">
        <f t="shared" si="52"/>
        <v>29.929999999999996</v>
      </c>
      <c r="O196" s="147">
        <f t="shared" si="52"/>
        <v>33.762500000000003</v>
      </c>
      <c r="P196" s="147">
        <f t="shared" si="52"/>
        <v>44.639500000000005</v>
      </c>
      <c r="Q196" s="147">
        <f t="shared" si="52"/>
        <v>0</v>
      </c>
      <c r="R196" s="147">
        <f t="shared" si="52"/>
        <v>26.0245</v>
      </c>
      <c r="S196" s="147">
        <f t="shared" si="52"/>
        <v>62.378499999999988</v>
      </c>
      <c r="T196" s="147">
        <f t="shared" si="52"/>
        <v>91.359500000000011</v>
      </c>
      <c r="U196" s="147">
        <f t="shared" si="52"/>
        <v>130.48749999999998</v>
      </c>
      <c r="V196" s="147">
        <f t="shared" si="52"/>
        <v>257.43450000000001</v>
      </c>
      <c r="W196" s="147">
        <f t="shared" si="52"/>
        <v>33.981499999999997</v>
      </c>
      <c r="X196" s="147">
        <f t="shared" si="52"/>
        <v>94.826999999999998</v>
      </c>
      <c r="Y196" s="147">
        <f t="shared" si="52"/>
        <v>143.33550000000002</v>
      </c>
      <c r="Z196" s="147">
        <f t="shared" si="52"/>
        <v>208.81650000000002</v>
      </c>
      <c r="AA196" s="147">
        <f t="shared" si="52"/>
        <v>421.24649999999997</v>
      </c>
      <c r="AB196" s="147">
        <f t="shared" si="52"/>
        <v>373.39500000000004</v>
      </c>
      <c r="AC196" s="147">
        <f t="shared" si="52"/>
        <v>893.73900000000015</v>
      </c>
      <c r="AD196" s="147">
        <f t="shared" si="52"/>
        <v>1571.6534999999999</v>
      </c>
      <c r="AE196" s="147">
        <f t="shared" si="52"/>
        <v>3041.2530000000002</v>
      </c>
      <c r="AF196" s="147">
        <f t="shared" si="52"/>
        <v>5711.1549999999988</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25">
      <c r="C197" s="105"/>
      <c r="F197" t="s">
        <v>160</v>
      </c>
      <c r="G197" s="61" t="s">
        <v>747</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598.6236512576935</v>
      </c>
      <c r="S197" s="168">
        <f t="shared" si="53"/>
        <v>839.33763502337592</v>
      </c>
      <c r="T197" s="168">
        <f t="shared" si="53"/>
        <v>2193.5775151634225</v>
      </c>
      <c r="U197" s="168">
        <f t="shared" si="53"/>
        <v>3557.0721972095362</v>
      </c>
      <c r="V197" s="168">
        <f t="shared" si="53"/>
        <v>6849.7168018939346</v>
      </c>
      <c r="W197" s="168">
        <f t="shared" si="53"/>
        <v>2063.3113487804876</v>
      </c>
      <c r="X197" s="168">
        <f t="shared" si="53"/>
        <v>1437.6157067564716</v>
      </c>
      <c r="Y197" s="168">
        <f t="shared" si="53"/>
        <v>3290.4555578513632</v>
      </c>
      <c r="Z197" s="168">
        <f t="shared" si="53"/>
        <v>5410.3272271254964</v>
      </c>
      <c r="AA197" s="168">
        <f t="shared" si="53"/>
        <v>11531.122033146423</v>
      </c>
      <c r="AB197" s="168">
        <f t="shared" si="53"/>
        <v>4980.5874795907357</v>
      </c>
      <c r="AC197" s="168">
        <f t="shared" si="53"/>
        <v>8262.8812613593527</v>
      </c>
      <c r="AD197" s="168">
        <f t="shared" si="53"/>
        <v>21647.661083201332</v>
      </c>
      <c r="AE197" s="168">
        <f t="shared" si="53"/>
        <v>43018.834366693234</v>
      </c>
      <c r="AF197" s="168">
        <f t="shared" si="53"/>
        <v>108293.43662387104</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25">
      <c r="C198" s="105"/>
      <c r="F198" t="s">
        <v>161</v>
      </c>
      <c r="G198" s="61" t="s">
        <v>747</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53.502877871287126</v>
      </c>
      <c r="S198" s="168">
        <f t="shared" si="54"/>
        <v>24.153438650157991</v>
      </c>
      <c r="T198" s="168">
        <f t="shared" si="54"/>
        <v>63.124108494658593</v>
      </c>
      <c r="U198" s="168">
        <f t="shared" si="54"/>
        <v>102.36110178365878</v>
      </c>
      <c r="V198" s="168">
        <f t="shared" si="54"/>
        <v>197.11282759397992</v>
      </c>
      <c r="W198" s="168">
        <f t="shared" si="54"/>
        <v>67.193428943089444</v>
      </c>
      <c r="X198" s="168">
        <f t="shared" si="54"/>
        <v>17.489296160893037</v>
      </c>
      <c r="Y198" s="168">
        <f t="shared" si="54"/>
        <v>40.029996531797373</v>
      </c>
      <c r="Z198" s="168">
        <f t="shared" si="54"/>
        <v>65.819269195401091</v>
      </c>
      <c r="AA198" s="168">
        <f t="shared" si="54"/>
        <v>140.28172296482811</v>
      </c>
      <c r="AB198" s="168">
        <f t="shared" si="54"/>
        <v>1148.7336544499126</v>
      </c>
      <c r="AC198" s="168">
        <f t="shared" si="54"/>
        <v>53.841244564912223</v>
      </c>
      <c r="AD198" s="168">
        <f t="shared" si="54"/>
        <v>141.05697247393698</v>
      </c>
      <c r="AE198" s="168">
        <f t="shared" si="54"/>
        <v>280.31234006302759</v>
      </c>
      <c r="AF198" s="168">
        <f t="shared" si="54"/>
        <v>705.64409939027064</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25">
      <c r="C199" s="105"/>
      <c r="F199" s="95" t="s">
        <v>162</v>
      </c>
      <c r="G199" s="143" t="s">
        <v>747</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5.2143051712515556</v>
      </c>
      <c r="S199" s="147">
        <f t="shared" si="55"/>
        <v>6.5024297700149107</v>
      </c>
      <c r="T199" s="147">
        <f t="shared" si="55"/>
        <v>11.647201528380123</v>
      </c>
      <c r="U199" s="147">
        <f t="shared" si="55"/>
        <v>17.90055578670076</v>
      </c>
      <c r="V199" s="147">
        <f t="shared" si="55"/>
        <v>32.89354782175743</v>
      </c>
      <c r="W199" s="147">
        <f t="shared" si="55"/>
        <v>13.172361321951218</v>
      </c>
      <c r="X199" s="147">
        <f t="shared" si="55"/>
        <v>9.1193704462541838</v>
      </c>
      <c r="Y199" s="147">
        <f t="shared" si="55"/>
        <v>15.634580495792072</v>
      </c>
      <c r="Z199" s="147">
        <f t="shared" si="55"/>
        <v>25.35089183156132</v>
      </c>
      <c r="AA199" s="147">
        <f t="shared" si="55"/>
        <v>54.396054875820916</v>
      </c>
      <c r="AB199" s="147">
        <f t="shared" si="55"/>
        <v>20.120117778936066</v>
      </c>
      <c r="AC199" s="147">
        <f t="shared" si="55"/>
        <v>32.810861115506412</v>
      </c>
      <c r="AD199" s="147">
        <f t="shared" si="55"/>
        <v>75.873137624085359</v>
      </c>
      <c r="AE199" s="147">
        <f t="shared" si="55"/>
        <v>171.54707095294771</v>
      </c>
      <c r="AF199" s="147">
        <f t="shared" si="55"/>
        <v>341.36455991170163</v>
      </c>
      <c r="AG199" s="147">
        <f t="shared" si="55"/>
        <v>0</v>
      </c>
      <c r="AH199" s="147">
        <f t="shared" si="55"/>
        <v>0</v>
      </c>
      <c r="AI199" s="147">
        <f t="shared" si="55"/>
        <v>0</v>
      </c>
      <c r="AJ199" s="147">
        <f t="shared" si="55"/>
        <v>0</v>
      </c>
      <c r="AK199" s="147">
        <f t="shared" si="55"/>
        <v>0</v>
      </c>
      <c r="AL199" s="147">
        <f t="shared" si="55"/>
        <v>0</v>
      </c>
      <c r="AM199" s="147">
        <f t="shared" si="55"/>
        <v>0</v>
      </c>
      <c r="AN199" s="147">
        <f t="shared" si="55"/>
        <v>43.891767625099995</v>
      </c>
      <c r="AO199" s="147">
        <f t="shared" si="55"/>
        <v>0</v>
      </c>
    </row>
    <row r="200" spans="3:43" x14ac:dyDescent="0.25">
      <c r="C200" s="105"/>
      <c r="F200" s="145" t="s">
        <v>101</v>
      </c>
      <c r="G200" s="356" t="s">
        <v>747</v>
      </c>
      <c r="H200" s="365"/>
      <c r="I200" s="145"/>
      <c r="J200" s="146">
        <f t="shared" ref="J200" si="56">SUM(J193:J199)</f>
        <v>56.7455157816755</v>
      </c>
      <c r="K200" s="146">
        <f t="shared" ref="K200:AO200" si="57">SUM(K193:K199)</f>
        <v>0</v>
      </c>
      <c r="L200" s="146">
        <f t="shared" si="57"/>
        <v>176.09664944927525</v>
      </c>
      <c r="M200" s="146">
        <f t="shared" si="57"/>
        <v>51.936783163855424</v>
      </c>
      <c r="N200" s="146">
        <f t="shared" si="57"/>
        <v>131.88311248491939</v>
      </c>
      <c r="O200" s="146">
        <f t="shared" si="57"/>
        <v>239.55176320936573</v>
      </c>
      <c r="P200" s="146">
        <f t="shared" si="57"/>
        <v>544.02058489263334</v>
      </c>
      <c r="Q200" s="146">
        <f t="shared" si="57"/>
        <v>0</v>
      </c>
      <c r="R200" s="146">
        <f t="shared" si="57"/>
        <v>863.78445614894429</v>
      </c>
      <c r="S200" s="146">
        <f t="shared" si="57"/>
        <v>1528.6208343532091</v>
      </c>
      <c r="T200" s="146">
        <f t="shared" si="57"/>
        <v>3427.7137539709588</v>
      </c>
      <c r="U200" s="146">
        <f t="shared" si="57"/>
        <v>5449.2363085670859</v>
      </c>
      <c r="V200" s="146">
        <f t="shared" si="57"/>
        <v>10353.374711076864</v>
      </c>
      <c r="W200" s="146">
        <f t="shared" si="57"/>
        <v>2548.9498271758466</v>
      </c>
      <c r="X200" s="146">
        <f t="shared" si="57"/>
        <v>2290.082047567374</v>
      </c>
      <c r="Y200" s="146">
        <f t="shared" si="57"/>
        <v>4742.7612208392648</v>
      </c>
      <c r="Z200" s="146">
        <f t="shared" si="57"/>
        <v>7742.5023661306668</v>
      </c>
      <c r="AA200" s="146">
        <f t="shared" si="57"/>
        <v>16507.564934970545</v>
      </c>
      <c r="AB200" s="146">
        <f t="shared" si="57"/>
        <v>6798.2813868625044</v>
      </c>
      <c r="AC200" s="146">
        <f t="shared" si="57"/>
        <v>12551.029534017973</v>
      </c>
      <c r="AD200" s="146">
        <f t="shared" si="57"/>
        <v>31085.233662948296</v>
      </c>
      <c r="AE200" s="146">
        <f t="shared" si="57"/>
        <v>63806.099815056979</v>
      </c>
      <c r="AF200" s="146">
        <f t="shared" si="57"/>
        <v>149465.54222834966</v>
      </c>
      <c r="AG200" s="146">
        <f t="shared" si="57"/>
        <v>740.66674116395234</v>
      </c>
      <c r="AH200" s="146">
        <f t="shared" si="57"/>
        <v>0</v>
      </c>
      <c r="AI200" s="146">
        <f t="shared" si="57"/>
        <v>0</v>
      </c>
      <c r="AJ200" s="146">
        <f t="shared" si="57"/>
        <v>0</v>
      </c>
      <c r="AK200" s="146">
        <f t="shared" si="57"/>
        <v>0</v>
      </c>
      <c r="AL200" s="146">
        <f t="shared" si="57"/>
        <v>0</v>
      </c>
      <c r="AM200" s="146">
        <f t="shared" si="57"/>
        <v>0</v>
      </c>
      <c r="AN200" s="146">
        <f t="shared" si="57"/>
        <v>-18174.374636062272</v>
      </c>
      <c r="AO200" s="146">
        <f t="shared" si="57"/>
        <v>0</v>
      </c>
    </row>
    <row r="201" spans="3:43" x14ac:dyDescent="0.25">
      <c r="C201" s="105"/>
      <c r="D201" s="2"/>
      <c r="E201" s="2"/>
      <c r="G201" s="61"/>
    </row>
    <row r="202" spans="3:43" x14ac:dyDescent="0.25">
      <c r="C202" s="93" t="str">
        <f ca="1">INDEX('Version control'!$H$41:$H$64,MATCH($A$1,'Version control'!$F$41:$F$64,0),1)&amp;"-K: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25">
      <c r="C203" s="105"/>
      <c r="D203" s="2"/>
      <c r="E203" s="2"/>
      <c r="G203" s="61"/>
    </row>
    <row r="204" spans="3:43" x14ac:dyDescent="0.25">
      <c r="C204" s="105"/>
      <c r="D204" s="2" t="s">
        <v>750</v>
      </c>
      <c r="E204" s="2"/>
      <c r="G204" s="61"/>
    </row>
    <row r="205" spans="3:43" x14ac:dyDescent="0.2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25">
      <c r="C206" s="105"/>
      <c r="D206" s="2"/>
      <c r="E206" t="s">
        <v>751</v>
      </c>
      <c r="G206" s="94" t="s">
        <v>167</v>
      </c>
      <c r="J206" s="158">
        <f>IF( AND( ISNUMBER(J$140), J$140 &lt;&gt; 0), ( J$140 - J189 ) / J$140, 0)</f>
        <v>0.38335883395492915</v>
      </c>
      <c r="K206" s="158">
        <f>IF( AND( ISNUMBER(K$140), K$140 &lt;&gt; 0), ( K$140 - K189 ) / K$140, 0)</f>
        <v>0</v>
      </c>
      <c r="L206" s="158">
        <f t="shared" ref="L206:AK206" si="58">IF( AND( ISNUMBER(L$140), L$140 &lt;&gt; 0), ( L$140 - L189 ) / L$140, 0)</f>
        <v>0.38343039127057388</v>
      </c>
      <c r="M206" s="158">
        <f t="shared" si="58"/>
        <v>0.38342384354978049</v>
      </c>
      <c r="N206" s="158">
        <f t="shared" si="58"/>
        <v>0.38341604769578985</v>
      </c>
      <c r="O206" s="158">
        <f t="shared" si="58"/>
        <v>0.38337668715122597</v>
      </c>
      <c r="P206" s="158">
        <f t="shared" si="58"/>
        <v>0.38337420078409773</v>
      </c>
      <c r="Q206" s="158">
        <f t="shared" si="58"/>
        <v>0</v>
      </c>
      <c r="R206" s="158">
        <f t="shared" si="58"/>
        <v>0.38339646490694101</v>
      </c>
      <c r="S206" s="158">
        <f t="shared" si="58"/>
        <v>0.38338393333192639</v>
      </c>
      <c r="T206" s="158">
        <f t="shared" si="58"/>
        <v>0.38339121966433182</v>
      </c>
      <c r="U206" s="158">
        <f t="shared" si="58"/>
        <v>0.38339374165407075</v>
      </c>
      <c r="V206" s="158">
        <f t="shared" si="58"/>
        <v>0.38339379001162804</v>
      </c>
      <c r="W206" s="158">
        <f t="shared" si="58"/>
        <v>1</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0.38349389579081355</v>
      </c>
      <c r="AH206" s="158">
        <f t="shared" si="58"/>
        <v>0</v>
      </c>
      <c r="AI206" s="366"/>
      <c r="AJ206" s="158">
        <f t="shared" si="58"/>
        <v>0</v>
      </c>
      <c r="AK206" s="158">
        <f t="shared" si="58"/>
        <v>0</v>
      </c>
      <c r="AL206" s="366"/>
      <c r="AM206" s="366"/>
      <c r="AN206" s="366"/>
      <c r="AO206" s="366"/>
    </row>
    <row r="207" spans="3:43" x14ac:dyDescent="0.25">
      <c r="C207" s="105"/>
      <c r="D207" s="2"/>
      <c r="E207" t="s">
        <v>752</v>
      </c>
      <c r="G207" s="94" t="s">
        <v>167</v>
      </c>
      <c r="J207" s="158">
        <f>IF( AND( ISNUMBER(J$140), J$140 &lt;&gt; 0), ( J$140 - J200 ) / J$140, 0)</f>
        <v>0.58806860894906599</v>
      </c>
      <c r="K207" s="158">
        <f>IF( AND( ISNUMBER(K$140), K$140 &lt;&gt; 0), ( K$140 - K200 ) / K$140, 0)</f>
        <v>0</v>
      </c>
      <c r="L207" s="158">
        <f t="shared" ref="L207:AO207" si="59">IF( AND( ISNUMBER(L$140), L$140 &lt;&gt; 0), ( L$140 - L200 ) / L$140, 0)</f>
        <v>0.58816222595185552</v>
      </c>
      <c r="M207" s="158">
        <f t="shared" si="59"/>
        <v>0.58820174370437694</v>
      </c>
      <c r="N207" s="158">
        <f t="shared" si="59"/>
        <v>0.58820791179683785</v>
      </c>
      <c r="O207" s="158">
        <f t="shared" si="59"/>
        <v>0.58816398622470578</v>
      </c>
      <c r="P207" s="158">
        <f t="shared" si="59"/>
        <v>0.58815792689323154</v>
      </c>
      <c r="Q207" s="158">
        <f t="shared" si="59"/>
        <v>0</v>
      </c>
      <c r="R207" s="158">
        <f t="shared" si="59"/>
        <v>0.58859309316786845</v>
      </c>
      <c r="S207" s="158">
        <f t="shared" si="59"/>
        <v>0.58855164611038602</v>
      </c>
      <c r="T207" s="158">
        <f t="shared" si="59"/>
        <v>0.58857670580218779</v>
      </c>
      <c r="U207" s="158">
        <f t="shared" si="59"/>
        <v>0.58858220565799813</v>
      </c>
      <c r="V207" s="158">
        <f t="shared" si="59"/>
        <v>0.58858248127632906</v>
      </c>
      <c r="W207" s="158">
        <f t="shared" si="59"/>
        <v>0.31058522397758354</v>
      </c>
      <c r="X207" s="158">
        <f t="shared" si="59"/>
        <v>0.31074252754811138</v>
      </c>
      <c r="Y207" s="158">
        <f t="shared" si="59"/>
        <v>0.31067897106982467</v>
      </c>
      <c r="Z207" s="158">
        <f t="shared" si="59"/>
        <v>0.310678896938341</v>
      </c>
      <c r="AA207" s="158">
        <f t="shared" si="59"/>
        <v>0.31067778328346324</v>
      </c>
      <c r="AB207" s="158">
        <f t="shared" si="59"/>
        <v>0.17991732048227635</v>
      </c>
      <c r="AC207" s="158">
        <f t="shared" si="59"/>
        <v>0.17988890003424313</v>
      </c>
      <c r="AD207" s="158">
        <f t="shared" si="59"/>
        <v>0.17988891274986157</v>
      </c>
      <c r="AE207" s="158">
        <f t="shared" si="59"/>
        <v>0.17988584373598951</v>
      </c>
      <c r="AF207" s="158">
        <f t="shared" si="59"/>
        <v>0.17989076294932455</v>
      </c>
      <c r="AG207" s="158">
        <f t="shared" si="59"/>
        <v>0.58824153524258205</v>
      </c>
      <c r="AH207" s="158">
        <f t="shared" si="59"/>
        <v>0</v>
      </c>
      <c r="AI207" s="158">
        <f t="shared" si="59"/>
        <v>0</v>
      </c>
      <c r="AJ207" s="158">
        <f t="shared" si="59"/>
        <v>0</v>
      </c>
      <c r="AK207" s="158">
        <f t="shared" si="59"/>
        <v>0</v>
      </c>
      <c r="AL207" s="158">
        <f t="shared" si="59"/>
        <v>0</v>
      </c>
      <c r="AM207" s="158">
        <f t="shared" si="59"/>
        <v>0</v>
      </c>
      <c r="AN207" s="158">
        <f t="shared" si="59"/>
        <v>-1.5930790111532499E-2</v>
      </c>
      <c r="AO207" s="158">
        <f t="shared" si="59"/>
        <v>0</v>
      </c>
    </row>
    <row r="208" spans="3:43" x14ac:dyDescent="0.25">
      <c r="C208" s="105"/>
      <c r="D208" s="2"/>
      <c r="E208" s="2"/>
      <c r="F208" s="250"/>
      <c r="G208" s="250"/>
    </row>
    <row r="209" spans="2:43" x14ac:dyDescent="0.25">
      <c r="B209" s="85" t="s">
        <v>231</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25">
      <c r="F210" s="3"/>
      <c r="G210" s="354"/>
      <c r="H210" s="3"/>
      <c r="I210" s="3"/>
    </row>
    <row r="211" spans="2:43" x14ac:dyDescent="0.25">
      <c r="D211" t="s">
        <v>232</v>
      </c>
      <c r="G211" s="6" t="s">
        <v>56</v>
      </c>
      <c r="H211" s="113">
        <f t="array" ref="H211">SUM(IF(ISERROR($H$13:$AP$207), 1))</f>
        <v>0</v>
      </c>
      <c r="I211" s="3"/>
    </row>
    <row r="212" spans="2:43" x14ac:dyDescent="0.25">
      <c r="F212" s="3"/>
      <c r="G212" s="3"/>
      <c r="H212" s="3"/>
      <c r="I212" s="3"/>
    </row>
    <row r="213" spans="2:43" x14ac:dyDescent="0.25">
      <c r="B213" s="85" t="s">
        <v>107</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activeCell="J21" sqref="J21"/>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NGED South West - [enter data version name]</v>
      </c>
    </row>
    <row r="3" spans="1:44" s="5" customFormat="1" x14ac:dyDescent="0.25">
      <c r="A3" s="5" t="str">
        <f>Cover!D2&amp;" - "&amp;Cover!D8&amp;" v"&amp;Cover!D10&amp;" - "&amp;Cover!D19</f>
        <v>CDCM charging model - Release for charge setting v11 - 2026/27</v>
      </c>
    </row>
    <row r="4" spans="1:44" x14ac:dyDescent="0.25">
      <c r="A4" s="60" t="str">
        <f>H119 &amp; IF(H119 = 1, " issue", " issues") &amp;" identified in checks on this sheet"</f>
        <v>0 issues identified in checks on this sheet</v>
      </c>
      <c r="B4" s="61"/>
      <c r="C4" s="61"/>
      <c r="D4" s="61"/>
      <c r="E4" s="61"/>
      <c r="F4" s="61"/>
      <c r="G4" s="61"/>
      <c r="H4" s="62"/>
      <c r="I4" s="62"/>
      <c r="J4" s="61"/>
    </row>
    <row r="5" spans="1:44" ht="45" x14ac:dyDescent="0.25">
      <c r="B5" s="89" t="s">
        <v>142</v>
      </c>
      <c r="C5" s="90"/>
      <c r="D5" s="90"/>
      <c r="E5" s="90"/>
      <c r="F5" s="90"/>
      <c r="G5" s="91"/>
      <c r="H5" s="91" t="s">
        <v>753</v>
      </c>
      <c r="J5" s="92" t="s">
        <v>754</v>
      </c>
      <c r="K5" s="92" t="s">
        <v>755</v>
      </c>
      <c r="L5" s="92" t="s">
        <v>756</v>
      </c>
      <c r="M5" s="92" t="s">
        <v>757</v>
      </c>
      <c r="N5" s="92" t="s">
        <v>758</v>
      </c>
      <c r="O5" s="92" t="s">
        <v>759</v>
      </c>
      <c r="P5" s="92" t="s">
        <v>760</v>
      </c>
      <c r="R5" s="91" t="s">
        <v>145</v>
      </c>
    </row>
    <row r="7" spans="1:44"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25">
      <c r="C9" s="86" t="s">
        <v>761</v>
      </c>
    </row>
    <row r="11" spans="1:44" x14ac:dyDescent="0.25">
      <c r="B11" s="85" t="s">
        <v>97</v>
      </c>
      <c r="C11" s="85"/>
      <c r="D11" s="85"/>
      <c r="E11" s="85"/>
      <c r="F11" s="85"/>
      <c r="G11" s="85"/>
      <c r="H11" s="85"/>
      <c r="I11" s="85"/>
      <c r="J11" s="85"/>
      <c r="K11" s="85"/>
      <c r="L11" s="152"/>
      <c r="M11" s="152"/>
      <c r="N11" s="152"/>
      <c r="O11" s="152"/>
      <c r="P11" s="152"/>
      <c r="Q11" s="152"/>
      <c r="R11" s="152"/>
    </row>
    <row r="12" spans="1:44" x14ac:dyDescent="0.25">
      <c r="D12"/>
      <c r="E12"/>
    </row>
    <row r="13" spans="1:44" x14ac:dyDescent="0.25">
      <c r="C13" s="93" t="str">
        <f>"Output 101-A: Tariffs for "&amp; charging_year</f>
        <v>Output 101-A: Tariffs for 2026/27</v>
      </c>
      <c r="D13" s="93"/>
      <c r="E13" s="93"/>
      <c r="F13" s="93"/>
      <c r="G13" s="93"/>
      <c r="H13" s="93"/>
      <c r="I13" s="93"/>
      <c r="J13" s="93"/>
      <c r="K13" s="93"/>
      <c r="L13" s="93"/>
      <c r="M13" s="93"/>
      <c r="N13" s="93"/>
      <c r="O13" s="93"/>
      <c r="P13" s="93"/>
      <c r="Q13" s="93"/>
      <c r="R13" s="93"/>
    </row>
    <row r="14" spans="1:44" x14ac:dyDescent="0.25">
      <c r="D14"/>
      <c r="E14"/>
    </row>
    <row r="15" spans="1:44" x14ac:dyDescent="0.25">
      <c r="D15" s="75"/>
      <c r="E15" s="75" t="s">
        <v>762</v>
      </c>
    </row>
    <row r="16" spans="1:44" x14ac:dyDescent="0.25">
      <c r="F16" s="95" t="s">
        <v>1116</v>
      </c>
      <c r="G16" s="95"/>
      <c r="H16" s="95" t="s">
        <v>730</v>
      </c>
      <c r="I16" s="95"/>
      <c r="J16" s="367">
        <f t="array" ref="J16:P47">TRANSPOSE(Rounding!J150:AO156)</f>
        <v>22.754000000000001</v>
      </c>
      <c r="K16" s="367">
        <v>1.8140000000000001</v>
      </c>
      <c r="L16" s="367">
        <v>0.19800000000000001</v>
      </c>
      <c r="M16" s="368">
        <v>12.57</v>
      </c>
      <c r="N16" s="369">
        <v>0</v>
      </c>
      <c r="O16" s="369">
        <v>0</v>
      </c>
      <c r="P16" s="367">
        <v>0</v>
      </c>
    </row>
    <row r="17" spans="6:16" x14ac:dyDescent="0.25">
      <c r="F17" t="s">
        <v>785</v>
      </c>
      <c r="H17" t="s">
        <v>730</v>
      </c>
      <c r="J17" s="370">
        <v>22.754000000000001</v>
      </c>
      <c r="K17" s="370">
        <v>1.8140000000000001</v>
      </c>
      <c r="L17" s="370">
        <v>0.19800000000000001</v>
      </c>
      <c r="M17" s="371">
        <v>0</v>
      </c>
      <c r="N17" s="372">
        <v>0</v>
      </c>
      <c r="O17" s="372">
        <v>0</v>
      </c>
      <c r="P17" s="370">
        <v>0</v>
      </c>
    </row>
    <row r="18" spans="6:16" x14ac:dyDescent="0.25">
      <c r="F18" t="s">
        <v>1117</v>
      </c>
      <c r="H18" t="s">
        <v>730</v>
      </c>
      <c r="J18" s="370">
        <v>24.204000000000001</v>
      </c>
      <c r="K18" s="370">
        <v>1.93</v>
      </c>
      <c r="L18" s="370">
        <v>0.21099999999999999</v>
      </c>
      <c r="M18" s="371">
        <v>17.41</v>
      </c>
      <c r="N18" s="372">
        <v>0</v>
      </c>
      <c r="O18" s="372">
        <v>0</v>
      </c>
      <c r="P18" s="370">
        <v>0</v>
      </c>
    </row>
    <row r="19" spans="6:16" x14ac:dyDescent="0.25">
      <c r="F19" t="s">
        <v>1118</v>
      </c>
      <c r="H19" t="s">
        <v>730</v>
      </c>
      <c r="J19" s="370">
        <v>24.204000000000001</v>
      </c>
      <c r="K19" s="370">
        <v>1.93</v>
      </c>
      <c r="L19" s="370">
        <v>0.21099999999999999</v>
      </c>
      <c r="M19" s="371">
        <v>18.02</v>
      </c>
      <c r="N19" s="372">
        <v>0</v>
      </c>
      <c r="O19" s="372">
        <v>0</v>
      </c>
      <c r="P19" s="370">
        <v>0</v>
      </c>
    </row>
    <row r="20" spans="6:16" x14ac:dyDescent="0.25">
      <c r="F20" t="s">
        <v>1119</v>
      </c>
      <c r="H20" t="s">
        <v>730</v>
      </c>
      <c r="J20" s="370">
        <v>24.204000000000001</v>
      </c>
      <c r="K20" s="370">
        <v>1.93</v>
      </c>
      <c r="L20" s="370">
        <v>0.21099999999999999</v>
      </c>
      <c r="M20" s="371">
        <v>19.920000000000002</v>
      </c>
      <c r="N20" s="372">
        <v>0</v>
      </c>
      <c r="O20" s="372">
        <v>0</v>
      </c>
      <c r="P20" s="370">
        <v>0</v>
      </c>
    </row>
    <row r="21" spans="6:16" x14ac:dyDescent="0.25">
      <c r="F21" t="s">
        <v>1120</v>
      </c>
      <c r="H21" t="s">
        <v>730</v>
      </c>
      <c r="J21" s="370">
        <v>24.204000000000001</v>
      </c>
      <c r="K21" s="370">
        <v>1.93</v>
      </c>
      <c r="L21" s="370">
        <v>0.21099999999999999</v>
      </c>
      <c r="M21" s="371">
        <v>22.46</v>
      </c>
      <c r="N21" s="372">
        <v>0</v>
      </c>
      <c r="O21" s="372">
        <v>0</v>
      </c>
      <c r="P21" s="370">
        <v>0</v>
      </c>
    </row>
    <row r="22" spans="6:16" x14ac:dyDescent="0.25">
      <c r="F22" t="s">
        <v>1121</v>
      </c>
      <c r="H22" t="s">
        <v>730</v>
      </c>
      <c r="J22" s="370">
        <v>24.204000000000001</v>
      </c>
      <c r="K22" s="370">
        <v>1.93</v>
      </c>
      <c r="L22" s="370">
        <v>0.21099999999999999</v>
      </c>
      <c r="M22" s="371">
        <v>29.69</v>
      </c>
      <c r="N22" s="372">
        <v>0</v>
      </c>
      <c r="O22" s="372">
        <v>0</v>
      </c>
      <c r="P22" s="370">
        <v>0</v>
      </c>
    </row>
    <row r="23" spans="6:16" x14ac:dyDescent="0.25">
      <c r="F23" t="s">
        <v>786</v>
      </c>
      <c r="H23" t="s">
        <v>730</v>
      </c>
      <c r="J23" s="370">
        <v>24.204000000000001</v>
      </c>
      <c r="K23" s="370">
        <v>1.93</v>
      </c>
      <c r="L23" s="370">
        <v>0.21099999999999999</v>
      </c>
      <c r="M23" s="371">
        <v>0</v>
      </c>
      <c r="N23" s="372">
        <v>0</v>
      </c>
      <c r="O23" s="372">
        <v>0</v>
      </c>
      <c r="P23" s="370">
        <v>0</v>
      </c>
    </row>
    <row r="24" spans="6:16" x14ac:dyDescent="0.25">
      <c r="F24" t="s">
        <v>862</v>
      </c>
      <c r="H24" t="s">
        <v>730</v>
      </c>
      <c r="J24" s="370">
        <v>14.833</v>
      </c>
      <c r="K24" s="370">
        <v>1.0649999999999999</v>
      </c>
      <c r="L24" s="370">
        <v>0.114</v>
      </c>
      <c r="M24" s="371">
        <v>17.309999999999999</v>
      </c>
      <c r="N24" s="372">
        <v>12.18</v>
      </c>
      <c r="O24" s="372">
        <v>12.18</v>
      </c>
      <c r="P24" s="370">
        <v>0.216</v>
      </c>
    </row>
    <row r="25" spans="6:16" x14ac:dyDescent="0.25">
      <c r="F25" t="s">
        <v>863</v>
      </c>
      <c r="H25" t="s">
        <v>730</v>
      </c>
      <c r="J25" s="370">
        <v>14.833</v>
      </c>
      <c r="K25" s="370">
        <v>1.0649999999999999</v>
      </c>
      <c r="L25" s="370">
        <v>0.114</v>
      </c>
      <c r="M25" s="371">
        <v>41.51</v>
      </c>
      <c r="N25" s="372">
        <v>12.18</v>
      </c>
      <c r="O25" s="372">
        <v>12.18</v>
      </c>
      <c r="P25" s="370">
        <v>0.216</v>
      </c>
    </row>
    <row r="26" spans="6:16" x14ac:dyDescent="0.25">
      <c r="F26" t="s">
        <v>864</v>
      </c>
      <c r="H26" t="s">
        <v>730</v>
      </c>
      <c r="J26" s="370">
        <v>14.833</v>
      </c>
      <c r="K26" s="370">
        <v>1.0649999999999999</v>
      </c>
      <c r="L26" s="370">
        <v>0.114</v>
      </c>
      <c r="M26" s="371">
        <v>60.79</v>
      </c>
      <c r="N26" s="372">
        <v>12.18</v>
      </c>
      <c r="O26" s="372">
        <v>12.18</v>
      </c>
      <c r="P26" s="370">
        <v>0.216</v>
      </c>
    </row>
    <row r="27" spans="6:16" x14ac:dyDescent="0.25">
      <c r="F27" t="s">
        <v>865</v>
      </c>
      <c r="H27" t="s">
        <v>730</v>
      </c>
      <c r="J27" s="370">
        <v>14.833</v>
      </c>
      <c r="K27" s="370">
        <v>1.0649999999999999</v>
      </c>
      <c r="L27" s="370">
        <v>0.114</v>
      </c>
      <c r="M27" s="371">
        <v>86.84</v>
      </c>
      <c r="N27" s="372">
        <v>12.18</v>
      </c>
      <c r="O27" s="372">
        <v>12.18</v>
      </c>
      <c r="P27" s="370">
        <v>0.216</v>
      </c>
    </row>
    <row r="28" spans="6:16" x14ac:dyDescent="0.25">
      <c r="F28" t="s">
        <v>866</v>
      </c>
      <c r="H28" t="s">
        <v>730</v>
      </c>
      <c r="J28" s="370">
        <v>14.833</v>
      </c>
      <c r="K28" s="370">
        <v>1.0649999999999999</v>
      </c>
      <c r="L28" s="370">
        <v>0.114</v>
      </c>
      <c r="M28" s="371">
        <v>171.29</v>
      </c>
      <c r="N28" s="372">
        <v>12.18</v>
      </c>
      <c r="O28" s="372">
        <v>12.18</v>
      </c>
      <c r="P28" s="370">
        <v>0.216</v>
      </c>
    </row>
    <row r="29" spans="6:16" x14ac:dyDescent="0.25">
      <c r="F29" t="s">
        <v>867</v>
      </c>
      <c r="H29" t="s">
        <v>730</v>
      </c>
      <c r="J29" s="370">
        <v>9.3740000000000006</v>
      </c>
      <c r="K29" s="370">
        <v>0.496</v>
      </c>
      <c r="L29" s="370">
        <v>4.9000000000000002E-2</v>
      </c>
      <c r="M29" s="371">
        <v>13.51</v>
      </c>
      <c r="N29" s="372">
        <v>10.47</v>
      </c>
      <c r="O29" s="372">
        <v>10.47</v>
      </c>
      <c r="P29" s="370">
        <v>0.11799999999999999</v>
      </c>
    </row>
    <row r="30" spans="6:16" x14ac:dyDescent="0.25">
      <c r="F30" t="s">
        <v>868</v>
      </c>
      <c r="H30" t="s">
        <v>730</v>
      </c>
      <c r="J30" s="370">
        <v>9.3740000000000006</v>
      </c>
      <c r="K30" s="370">
        <v>0.496</v>
      </c>
      <c r="L30" s="370">
        <v>4.9000000000000002E-2</v>
      </c>
      <c r="M30" s="371">
        <v>37.71</v>
      </c>
      <c r="N30" s="372">
        <v>10.47</v>
      </c>
      <c r="O30" s="372">
        <v>10.47</v>
      </c>
      <c r="P30" s="370">
        <v>0.11799999999999999</v>
      </c>
    </row>
    <row r="31" spans="6:16" x14ac:dyDescent="0.25">
      <c r="F31" t="s">
        <v>869</v>
      </c>
      <c r="H31" t="s">
        <v>730</v>
      </c>
      <c r="J31" s="373">
        <v>9.3740000000000006</v>
      </c>
      <c r="K31" s="373">
        <v>0.496</v>
      </c>
      <c r="L31" s="373">
        <v>4.9000000000000002E-2</v>
      </c>
      <c r="M31" s="374">
        <v>56.99</v>
      </c>
      <c r="N31" s="375">
        <v>10.47</v>
      </c>
      <c r="O31" s="375">
        <v>10.47</v>
      </c>
      <c r="P31" s="373">
        <v>0.11799999999999999</v>
      </c>
    </row>
    <row r="32" spans="6:16" x14ac:dyDescent="0.25">
      <c r="F32" t="s">
        <v>870</v>
      </c>
      <c r="H32" t="s">
        <v>730</v>
      </c>
      <c r="J32" s="373">
        <v>9.3740000000000006</v>
      </c>
      <c r="K32" s="373">
        <v>0.496</v>
      </c>
      <c r="L32" s="373">
        <v>4.9000000000000002E-2</v>
      </c>
      <c r="M32" s="374">
        <v>83.04</v>
      </c>
      <c r="N32" s="375">
        <v>10.47</v>
      </c>
      <c r="O32" s="375">
        <v>10.47</v>
      </c>
      <c r="P32" s="373">
        <v>0.11799999999999999</v>
      </c>
    </row>
    <row r="33" spans="6:16" x14ac:dyDescent="0.25">
      <c r="F33" t="s">
        <v>871</v>
      </c>
      <c r="H33" t="s">
        <v>730</v>
      </c>
      <c r="J33" s="373">
        <v>9.3740000000000006</v>
      </c>
      <c r="K33" s="373">
        <v>0.496</v>
      </c>
      <c r="L33" s="373">
        <v>4.9000000000000002E-2</v>
      </c>
      <c r="M33" s="374">
        <v>167.5</v>
      </c>
      <c r="N33" s="375">
        <v>10.47</v>
      </c>
      <c r="O33" s="375">
        <v>10.47</v>
      </c>
      <c r="P33" s="373">
        <v>0.11799999999999999</v>
      </c>
    </row>
    <row r="34" spans="6:16" x14ac:dyDescent="0.25">
      <c r="F34" t="s">
        <v>872</v>
      </c>
      <c r="H34" t="s">
        <v>730</v>
      </c>
      <c r="J34" s="373">
        <v>7.242</v>
      </c>
      <c r="K34" s="373">
        <v>0.30199999999999999</v>
      </c>
      <c r="L34" s="373">
        <v>2.8000000000000001E-2</v>
      </c>
      <c r="M34" s="374">
        <v>124.75</v>
      </c>
      <c r="N34" s="375">
        <v>10.06</v>
      </c>
      <c r="O34" s="375">
        <v>10.06</v>
      </c>
      <c r="P34" s="373">
        <v>8.2000000000000003E-2</v>
      </c>
    </row>
    <row r="35" spans="6:16" x14ac:dyDescent="0.25">
      <c r="F35" t="s">
        <v>873</v>
      </c>
      <c r="H35" t="s">
        <v>730</v>
      </c>
      <c r="J35" s="373">
        <v>7.242</v>
      </c>
      <c r="K35" s="373">
        <v>0.30199999999999999</v>
      </c>
      <c r="L35" s="373">
        <v>2.8000000000000001E-2</v>
      </c>
      <c r="M35" s="374">
        <v>298.61</v>
      </c>
      <c r="N35" s="375">
        <v>10.06</v>
      </c>
      <c r="O35" s="375">
        <v>10.06</v>
      </c>
      <c r="P35" s="373">
        <v>8.2000000000000003E-2</v>
      </c>
    </row>
    <row r="36" spans="6:16" x14ac:dyDescent="0.25">
      <c r="F36" t="s">
        <v>874</v>
      </c>
      <c r="H36" t="s">
        <v>730</v>
      </c>
      <c r="J36" s="373">
        <v>7.242</v>
      </c>
      <c r="K36" s="373">
        <v>0.30199999999999999</v>
      </c>
      <c r="L36" s="373">
        <v>2.8000000000000001E-2</v>
      </c>
      <c r="M36" s="374">
        <v>525.1</v>
      </c>
      <c r="N36" s="375">
        <v>10.06</v>
      </c>
      <c r="O36" s="375">
        <v>10.06</v>
      </c>
      <c r="P36" s="373">
        <v>8.2000000000000003E-2</v>
      </c>
    </row>
    <row r="37" spans="6:16" x14ac:dyDescent="0.25">
      <c r="F37" t="s">
        <v>875</v>
      </c>
      <c r="H37" t="s">
        <v>730</v>
      </c>
      <c r="J37" s="373">
        <v>7.242</v>
      </c>
      <c r="K37" s="373">
        <v>0.30199999999999999</v>
      </c>
      <c r="L37" s="373">
        <v>2.8000000000000001E-2</v>
      </c>
      <c r="M37" s="374">
        <v>1016.12</v>
      </c>
      <c r="N37" s="375">
        <v>10.06</v>
      </c>
      <c r="O37" s="375">
        <v>10.06</v>
      </c>
      <c r="P37" s="373">
        <v>8.2000000000000003E-2</v>
      </c>
    </row>
    <row r="38" spans="6:16" x14ac:dyDescent="0.25">
      <c r="F38" t="s">
        <v>876</v>
      </c>
      <c r="H38" t="s">
        <v>730</v>
      </c>
      <c r="J38" s="373">
        <v>7.242</v>
      </c>
      <c r="K38" s="373">
        <v>0.30199999999999999</v>
      </c>
      <c r="L38" s="373">
        <v>2.8000000000000001E-2</v>
      </c>
      <c r="M38" s="374">
        <v>1908.16</v>
      </c>
      <c r="N38" s="375">
        <v>10.06</v>
      </c>
      <c r="O38" s="375">
        <v>10.06</v>
      </c>
      <c r="P38" s="373">
        <v>8.2000000000000003E-2</v>
      </c>
    </row>
    <row r="39" spans="6:16" x14ac:dyDescent="0.25">
      <c r="F39" t="s">
        <v>795</v>
      </c>
      <c r="H39" t="s">
        <v>730</v>
      </c>
      <c r="J39" s="373">
        <v>68.251000000000005</v>
      </c>
      <c r="K39" s="373">
        <v>3.5379999999999998</v>
      </c>
      <c r="L39" s="373">
        <v>1.5349999999999999</v>
      </c>
      <c r="M39" s="374">
        <v>0</v>
      </c>
      <c r="N39" s="375">
        <v>0</v>
      </c>
      <c r="O39" s="375">
        <v>0</v>
      </c>
      <c r="P39" s="373">
        <v>0</v>
      </c>
    </row>
    <row r="40" spans="6:16" x14ac:dyDescent="0.25">
      <c r="F40" t="s">
        <v>787</v>
      </c>
      <c r="H40" t="s">
        <v>730</v>
      </c>
      <c r="J40" s="373">
        <v>-14.503</v>
      </c>
      <c r="K40" s="373">
        <v>-1.1559999999999999</v>
      </c>
      <c r="L40" s="373">
        <v>-0.126</v>
      </c>
      <c r="M40" s="374">
        <v>0</v>
      </c>
      <c r="N40" s="375">
        <v>0</v>
      </c>
      <c r="O40" s="375">
        <v>0</v>
      </c>
      <c r="P40" s="373">
        <v>0</v>
      </c>
    </row>
    <row r="41" spans="6:16" x14ac:dyDescent="0.25">
      <c r="F41" t="s">
        <v>788</v>
      </c>
      <c r="H41" t="s">
        <v>730</v>
      </c>
      <c r="J41" s="373">
        <v>-12.444000000000001</v>
      </c>
      <c r="K41" s="373">
        <v>-0.93100000000000005</v>
      </c>
      <c r="L41" s="373">
        <v>-0.10100000000000001</v>
      </c>
      <c r="M41" s="374">
        <v>0</v>
      </c>
      <c r="N41" s="375">
        <v>0</v>
      </c>
      <c r="O41" s="375">
        <v>0</v>
      </c>
      <c r="P41" s="373">
        <v>0</v>
      </c>
    </row>
    <row r="42" spans="6:16" x14ac:dyDescent="0.25">
      <c r="F42" t="s">
        <v>789</v>
      </c>
      <c r="H42" t="s">
        <v>730</v>
      </c>
      <c r="J42" s="373">
        <v>-14.503</v>
      </c>
      <c r="K42" s="373">
        <v>-1.1559999999999999</v>
      </c>
      <c r="L42" s="373">
        <v>-0.126</v>
      </c>
      <c r="M42" s="374">
        <v>0</v>
      </c>
      <c r="N42" s="375">
        <v>0</v>
      </c>
      <c r="O42" s="375">
        <v>0</v>
      </c>
      <c r="P42" s="373">
        <v>0.26400000000000001</v>
      </c>
    </row>
    <row r="43" spans="6:16" x14ac:dyDescent="0.25">
      <c r="F43" t="s">
        <v>798</v>
      </c>
      <c r="H43" t="s">
        <v>730</v>
      </c>
      <c r="J43" s="373">
        <v>-14.503</v>
      </c>
      <c r="K43" s="373">
        <v>-1.1559999999999999</v>
      </c>
      <c r="L43" s="373">
        <v>-0.126</v>
      </c>
      <c r="M43" s="374">
        <v>0</v>
      </c>
      <c r="N43" s="375">
        <v>0</v>
      </c>
      <c r="O43" s="375">
        <v>0</v>
      </c>
      <c r="P43" s="373">
        <v>0</v>
      </c>
    </row>
    <row r="44" spans="6:16" x14ac:dyDescent="0.25">
      <c r="F44" t="s">
        <v>790</v>
      </c>
      <c r="H44" t="s">
        <v>730</v>
      </c>
      <c r="J44" s="373">
        <v>-12.444000000000001</v>
      </c>
      <c r="K44" s="373">
        <v>-0.93100000000000005</v>
      </c>
      <c r="L44" s="373">
        <v>-0.10100000000000001</v>
      </c>
      <c r="M44" s="374">
        <v>0</v>
      </c>
      <c r="N44" s="375">
        <v>0</v>
      </c>
      <c r="O44" s="375">
        <v>0</v>
      </c>
      <c r="P44" s="373">
        <v>0.189</v>
      </c>
    </row>
    <row r="45" spans="6:16" x14ac:dyDescent="0.25">
      <c r="F45" t="s">
        <v>797</v>
      </c>
      <c r="H45" t="s">
        <v>730</v>
      </c>
      <c r="J45" s="373">
        <v>-12.444000000000001</v>
      </c>
      <c r="K45" s="373">
        <v>-0.93100000000000005</v>
      </c>
      <c r="L45" s="373">
        <v>-0.10100000000000001</v>
      </c>
      <c r="M45" s="374">
        <v>0</v>
      </c>
      <c r="N45" s="375">
        <v>0</v>
      </c>
      <c r="O45" s="375">
        <v>0</v>
      </c>
      <c r="P45" s="373">
        <v>0</v>
      </c>
    </row>
    <row r="46" spans="6:16" x14ac:dyDescent="0.25">
      <c r="F46" t="s">
        <v>791</v>
      </c>
      <c r="H46" t="s">
        <v>730</v>
      </c>
      <c r="J46" s="373">
        <v>-7.7859999999999996</v>
      </c>
      <c r="K46" s="373">
        <v>-0.41199999999999998</v>
      </c>
      <c r="L46" s="373">
        <v>-4.1000000000000002E-2</v>
      </c>
      <c r="M46" s="374">
        <v>78.08</v>
      </c>
      <c r="N46" s="375">
        <v>0</v>
      </c>
      <c r="O46" s="375">
        <v>0</v>
      </c>
      <c r="P46" s="373">
        <v>0.159</v>
      </c>
    </row>
    <row r="47" spans="6:16" x14ac:dyDescent="0.25">
      <c r="F47" s="96" t="s">
        <v>796</v>
      </c>
      <c r="G47" s="96"/>
      <c r="H47" s="96" t="s">
        <v>730</v>
      </c>
      <c r="I47" s="96"/>
      <c r="J47" s="376">
        <v>-7.7859999999999996</v>
      </c>
      <c r="K47" s="376">
        <v>-0.41199999999999998</v>
      </c>
      <c r="L47" s="376">
        <v>-4.1000000000000002E-2</v>
      </c>
      <c r="M47" s="377">
        <v>78.08</v>
      </c>
      <c r="N47" s="378">
        <v>0</v>
      </c>
      <c r="O47" s="378">
        <v>0</v>
      </c>
      <c r="P47" s="376">
        <v>0</v>
      </c>
    </row>
    <row r="48" spans="6:16" x14ac:dyDescent="0.25">
      <c r="F48" s="2"/>
      <c r="J48" s="62"/>
      <c r="K48" s="62"/>
      <c r="L48" s="62"/>
      <c r="M48" s="379"/>
      <c r="N48" s="379"/>
      <c r="O48" s="379"/>
      <c r="P48" s="62"/>
    </row>
    <row r="49" spans="4:16" x14ac:dyDescent="0.25">
      <c r="D49" s="75"/>
      <c r="E49" s="75" t="s">
        <v>763</v>
      </c>
      <c r="F49" s="2"/>
      <c r="J49" s="62"/>
      <c r="K49" s="62"/>
      <c r="L49" s="62"/>
      <c r="M49" s="379"/>
      <c r="N49" s="379"/>
      <c r="O49" s="379"/>
      <c r="P49" s="62"/>
    </row>
    <row r="50" spans="4:16" x14ac:dyDescent="0.25">
      <c r="F50" s="95" t="s">
        <v>1116</v>
      </c>
      <c r="G50" s="95"/>
      <c r="H50" s="95" t="s">
        <v>405</v>
      </c>
      <c r="I50" s="95"/>
      <c r="J50" s="367">
        <f t="array" ref="J50:P81">TRANSPOSE(Rounding!J159:AO165)</f>
        <v>14.031000000000001</v>
      </c>
      <c r="K50" s="367">
        <v>1.119</v>
      </c>
      <c r="L50" s="367">
        <v>0.122</v>
      </c>
      <c r="M50" s="368">
        <v>7.75</v>
      </c>
      <c r="N50" s="369">
        <v>0</v>
      </c>
      <c r="O50" s="369">
        <v>0</v>
      </c>
      <c r="P50" s="367">
        <v>0</v>
      </c>
    </row>
    <row r="51" spans="4:16" x14ac:dyDescent="0.25">
      <c r="F51" t="s">
        <v>785</v>
      </c>
      <c r="H51" t="s">
        <v>405</v>
      </c>
      <c r="J51" s="370">
        <v>14.031000000000001</v>
      </c>
      <c r="K51" s="370">
        <v>1.119</v>
      </c>
      <c r="L51" s="370">
        <v>0.122</v>
      </c>
      <c r="M51" s="371">
        <v>0</v>
      </c>
      <c r="N51" s="372">
        <v>0</v>
      </c>
      <c r="O51" s="372">
        <v>0</v>
      </c>
      <c r="P51" s="370">
        <v>0</v>
      </c>
    </row>
    <row r="52" spans="4:16" x14ac:dyDescent="0.25">
      <c r="F52" t="s">
        <v>1117</v>
      </c>
      <c r="H52" t="s">
        <v>405</v>
      </c>
      <c r="J52" s="370">
        <v>14.926</v>
      </c>
      <c r="K52" s="370">
        <v>1.19</v>
      </c>
      <c r="L52" s="370">
        <v>0.13</v>
      </c>
      <c r="M52" s="371">
        <v>10.73</v>
      </c>
      <c r="N52" s="372">
        <v>0</v>
      </c>
      <c r="O52" s="372">
        <v>0</v>
      </c>
      <c r="P52" s="370">
        <v>0</v>
      </c>
    </row>
    <row r="53" spans="4:16" x14ac:dyDescent="0.25">
      <c r="F53" t="s">
        <v>1118</v>
      </c>
      <c r="H53" t="s">
        <v>405</v>
      </c>
      <c r="J53" s="370">
        <v>14.926</v>
      </c>
      <c r="K53" s="370">
        <v>1.19</v>
      </c>
      <c r="L53" s="370">
        <v>0.13</v>
      </c>
      <c r="M53" s="371">
        <v>11.11</v>
      </c>
      <c r="N53" s="372">
        <v>0</v>
      </c>
      <c r="O53" s="372">
        <v>0</v>
      </c>
      <c r="P53" s="370">
        <v>0</v>
      </c>
    </row>
    <row r="54" spans="4:16" x14ac:dyDescent="0.25">
      <c r="F54" t="s">
        <v>1119</v>
      </c>
      <c r="H54" t="s">
        <v>405</v>
      </c>
      <c r="J54" s="370">
        <v>14.926</v>
      </c>
      <c r="K54" s="370">
        <v>1.19</v>
      </c>
      <c r="L54" s="370">
        <v>0.13</v>
      </c>
      <c r="M54" s="371">
        <v>12.28</v>
      </c>
      <c r="N54" s="372">
        <v>0</v>
      </c>
      <c r="O54" s="372">
        <v>0</v>
      </c>
      <c r="P54" s="370">
        <v>0</v>
      </c>
    </row>
    <row r="55" spans="4:16" x14ac:dyDescent="0.25">
      <c r="F55" t="s">
        <v>1120</v>
      </c>
      <c r="H55" t="s">
        <v>405</v>
      </c>
      <c r="J55" s="370">
        <v>14.926</v>
      </c>
      <c r="K55" s="370">
        <v>1.19</v>
      </c>
      <c r="L55" s="370">
        <v>0.13</v>
      </c>
      <c r="M55" s="371">
        <v>13.85</v>
      </c>
      <c r="N55" s="372">
        <v>0</v>
      </c>
      <c r="O55" s="372">
        <v>0</v>
      </c>
      <c r="P55" s="370">
        <v>0</v>
      </c>
    </row>
    <row r="56" spans="4:16" x14ac:dyDescent="0.25">
      <c r="F56" t="s">
        <v>1121</v>
      </c>
      <c r="H56" t="s">
        <v>405</v>
      </c>
      <c r="J56" s="370">
        <v>14.926</v>
      </c>
      <c r="K56" s="370">
        <v>1.19</v>
      </c>
      <c r="L56" s="370">
        <v>0.13</v>
      </c>
      <c r="M56" s="371">
        <v>18.309999999999999</v>
      </c>
      <c r="N56" s="372">
        <v>0</v>
      </c>
      <c r="O56" s="372">
        <v>0</v>
      </c>
      <c r="P56" s="370">
        <v>0</v>
      </c>
    </row>
    <row r="57" spans="4:16" x14ac:dyDescent="0.25">
      <c r="F57" t="s">
        <v>786</v>
      </c>
      <c r="H57" t="s">
        <v>405</v>
      </c>
      <c r="J57" s="370">
        <v>14.926</v>
      </c>
      <c r="K57" s="370">
        <v>1.19</v>
      </c>
      <c r="L57" s="370">
        <v>0.13</v>
      </c>
      <c r="M57" s="371">
        <v>0</v>
      </c>
      <c r="N57" s="372">
        <v>0</v>
      </c>
      <c r="O57" s="372">
        <v>0</v>
      </c>
      <c r="P57" s="370">
        <v>0</v>
      </c>
    </row>
    <row r="58" spans="4:16" x14ac:dyDescent="0.25">
      <c r="F58" t="s">
        <v>862</v>
      </c>
      <c r="H58" t="s">
        <v>405</v>
      </c>
      <c r="J58" s="370">
        <v>9.1470000000000002</v>
      </c>
      <c r="K58" s="370">
        <v>0.65700000000000003</v>
      </c>
      <c r="L58" s="370">
        <v>7.0000000000000007E-2</v>
      </c>
      <c r="M58" s="371">
        <v>10.68</v>
      </c>
      <c r="N58" s="372">
        <v>7.51</v>
      </c>
      <c r="O58" s="372">
        <v>7.51</v>
      </c>
      <c r="P58" s="370">
        <v>0.13300000000000001</v>
      </c>
    </row>
    <row r="59" spans="4:16" x14ac:dyDescent="0.25">
      <c r="F59" t="s">
        <v>863</v>
      </c>
      <c r="H59" t="s">
        <v>405</v>
      </c>
      <c r="J59" s="370">
        <v>9.1470000000000002</v>
      </c>
      <c r="K59" s="370">
        <v>0.65700000000000003</v>
      </c>
      <c r="L59" s="370">
        <v>7.0000000000000007E-2</v>
      </c>
      <c r="M59" s="371">
        <v>25.6</v>
      </c>
      <c r="N59" s="372">
        <v>7.51</v>
      </c>
      <c r="O59" s="372">
        <v>7.51</v>
      </c>
      <c r="P59" s="370">
        <v>0.13300000000000001</v>
      </c>
    </row>
    <row r="60" spans="4:16" x14ac:dyDescent="0.25">
      <c r="F60" t="s">
        <v>864</v>
      </c>
      <c r="H60" t="s">
        <v>405</v>
      </c>
      <c r="J60" s="370">
        <v>9.1470000000000002</v>
      </c>
      <c r="K60" s="370">
        <v>0.65700000000000003</v>
      </c>
      <c r="L60" s="370">
        <v>7.0000000000000007E-2</v>
      </c>
      <c r="M60" s="371">
        <v>37.49</v>
      </c>
      <c r="N60" s="372">
        <v>7.51</v>
      </c>
      <c r="O60" s="372">
        <v>7.51</v>
      </c>
      <c r="P60" s="370">
        <v>0.13300000000000001</v>
      </c>
    </row>
    <row r="61" spans="4:16" x14ac:dyDescent="0.25">
      <c r="F61" t="s">
        <v>865</v>
      </c>
      <c r="H61" t="s">
        <v>405</v>
      </c>
      <c r="J61" s="370">
        <v>9.1470000000000002</v>
      </c>
      <c r="K61" s="370">
        <v>0.65700000000000003</v>
      </c>
      <c r="L61" s="370">
        <v>7.0000000000000007E-2</v>
      </c>
      <c r="M61" s="371">
        <v>53.55</v>
      </c>
      <c r="N61" s="372">
        <v>7.51</v>
      </c>
      <c r="O61" s="372">
        <v>7.51</v>
      </c>
      <c r="P61" s="370">
        <v>0.13300000000000001</v>
      </c>
    </row>
    <row r="62" spans="4:16" x14ac:dyDescent="0.25">
      <c r="F62" t="s">
        <v>866</v>
      </c>
      <c r="H62" t="s">
        <v>405</v>
      </c>
      <c r="J62" s="370">
        <v>9.1470000000000002</v>
      </c>
      <c r="K62" s="370">
        <v>0.65700000000000003</v>
      </c>
      <c r="L62" s="370">
        <v>7.0000000000000007E-2</v>
      </c>
      <c r="M62" s="371">
        <v>105.63</v>
      </c>
      <c r="N62" s="372">
        <v>7.51</v>
      </c>
      <c r="O62" s="372">
        <v>7.51</v>
      </c>
      <c r="P62" s="370">
        <v>0.13300000000000001</v>
      </c>
    </row>
    <row r="63" spans="4:16" x14ac:dyDescent="0.25">
      <c r="F63" t="s">
        <v>867</v>
      </c>
      <c r="H63" t="s">
        <v>405</v>
      </c>
      <c r="J63" s="380">
        <v>0</v>
      </c>
      <c r="K63" s="380">
        <v>0</v>
      </c>
      <c r="L63" s="380">
        <v>0</v>
      </c>
      <c r="M63" s="381">
        <v>0</v>
      </c>
      <c r="N63" s="382">
        <v>0</v>
      </c>
      <c r="O63" s="382">
        <v>0</v>
      </c>
      <c r="P63" s="380">
        <v>0</v>
      </c>
    </row>
    <row r="64" spans="4:16" x14ac:dyDescent="0.25">
      <c r="F64" t="s">
        <v>868</v>
      </c>
      <c r="H64" t="s">
        <v>405</v>
      </c>
      <c r="J64" s="380">
        <v>0</v>
      </c>
      <c r="K64" s="380">
        <v>0</v>
      </c>
      <c r="L64" s="380">
        <v>0</v>
      </c>
      <c r="M64" s="381">
        <v>0</v>
      </c>
      <c r="N64" s="382">
        <v>0</v>
      </c>
      <c r="O64" s="382">
        <v>0</v>
      </c>
      <c r="P64" s="380">
        <v>0</v>
      </c>
    </row>
    <row r="65" spans="6:16" x14ac:dyDescent="0.25">
      <c r="F65" t="s">
        <v>869</v>
      </c>
      <c r="H65" t="s">
        <v>405</v>
      </c>
      <c r="J65" s="383">
        <v>0</v>
      </c>
      <c r="K65" s="383">
        <v>0</v>
      </c>
      <c r="L65" s="383">
        <v>0</v>
      </c>
      <c r="M65" s="384">
        <v>0</v>
      </c>
      <c r="N65" s="385">
        <v>0</v>
      </c>
      <c r="O65" s="385">
        <v>0</v>
      </c>
      <c r="P65" s="383">
        <v>0</v>
      </c>
    </row>
    <row r="66" spans="6:16" x14ac:dyDescent="0.25">
      <c r="F66" t="s">
        <v>870</v>
      </c>
      <c r="H66" t="s">
        <v>405</v>
      </c>
      <c r="J66" s="383">
        <v>0</v>
      </c>
      <c r="K66" s="383">
        <v>0</v>
      </c>
      <c r="L66" s="383">
        <v>0</v>
      </c>
      <c r="M66" s="384">
        <v>0</v>
      </c>
      <c r="N66" s="385">
        <v>0</v>
      </c>
      <c r="O66" s="385">
        <v>0</v>
      </c>
      <c r="P66" s="383">
        <v>0</v>
      </c>
    </row>
    <row r="67" spans="6:16" x14ac:dyDescent="0.25">
      <c r="F67" t="s">
        <v>871</v>
      </c>
      <c r="H67" t="s">
        <v>405</v>
      </c>
      <c r="J67" s="383">
        <v>0</v>
      </c>
      <c r="K67" s="383">
        <v>0</v>
      </c>
      <c r="L67" s="383">
        <v>0</v>
      </c>
      <c r="M67" s="384">
        <v>0</v>
      </c>
      <c r="N67" s="385">
        <v>0</v>
      </c>
      <c r="O67" s="385">
        <v>0</v>
      </c>
      <c r="P67" s="383">
        <v>0</v>
      </c>
    </row>
    <row r="68" spans="6:16" x14ac:dyDescent="0.25">
      <c r="F68" t="s">
        <v>872</v>
      </c>
      <c r="H68" t="s">
        <v>405</v>
      </c>
      <c r="J68" s="383">
        <v>0</v>
      </c>
      <c r="K68" s="383">
        <v>0</v>
      </c>
      <c r="L68" s="383">
        <v>0</v>
      </c>
      <c r="M68" s="384">
        <v>0</v>
      </c>
      <c r="N68" s="385">
        <v>0</v>
      </c>
      <c r="O68" s="385">
        <v>0</v>
      </c>
      <c r="P68" s="383">
        <v>0</v>
      </c>
    </row>
    <row r="69" spans="6:16" x14ac:dyDescent="0.25">
      <c r="F69" t="s">
        <v>873</v>
      </c>
      <c r="H69" t="s">
        <v>405</v>
      </c>
      <c r="J69" s="383">
        <v>0</v>
      </c>
      <c r="K69" s="383">
        <v>0</v>
      </c>
      <c r="L69" s="383">
        <v>0</v>
      </c>
      <c r="M69" s="384">
        <v>0</v>
      </c>
      <c r="N69" s="385">
        <v>0</v>
      </c>
      <c r="O69" s="385">
        <v>0</v>
      </c>
      <c r="P69" s="383">
        <v>0</v>
      </c>
    </row>
    <row r="70" spans="6:16" x14ac:dyDescent="0.25">
      <c r="F70" t="s">
        <v>874</v>
      </c>
      <c r="H70" t="s">
        <v>405</v>
      </c>
      <c r="J70" s="383">
        <v>0</v>
      </c>
      <c r="K70" s="383">
        <v>0</v>
      </c>
      <c r="L70" s="383">
        <v>0</v>
      </c>
      <c r="M70" s="384">
        <v>0</v>
      </c>
      <c r="N70" s="385">
        <v>0</v>
      </c>
      <c r="O70" s="385">
        <v>0</v>
      </c>
      <c r="P70" s="383">
        <v>0</v>
      </c>
    </row>
    <row r="71" spans="6:16" x14ac:dyDescent="0.25">
      <c r="F71" t="s">
        <v>875</v>
      </c>
      <c r="H71" t="s">
        <v>405</v>
      </c>
      <c r="J71" s="383">
        <v>0</v>
      </c>
      <c r="K71" s="383">
        <v>0</v>
      </c>
      <c r="L71" s="383">
        <v>0</v>
      </c>
      <c r="M71" s="384">
        <v>0</v>
      </c>
      <c r="N71" s="385">
        <v>0</v>
      </c>
      <c r="O71" s="385">
        <v>0</v>
      </c>
      <c r="P71" s="383">
        <v>0</v>
      </c>
    </row>
    <row r="72" spans="6:16" x14ac:dyDescent="0.25">
      <c r="F72" t="s">
        <v>876</v>
      </c>
      <c r="H72" t="s">
        <v>405</v>
      </c>
      <c r="J72" s="383">
        <v>0</v>
      </c>
      <c r="K72" s="383">
        <v>0</v>
      </c>
      <c r="L72" s="383">
        <v>0</v>
      </c>
      <c r="M72" s="384">
        <v>0</v>
      </c>
      <c r="N72" s="385">
        <v>0</v>
      </c>
      <c r="O72" s="385">
        <v>0</v>
      </c>
      <c r="P72" s="383">
        <v>0</v>
      </c>
    </row>
    <row r="73" spans="6:16" x14ac:dyDescent="0.25">
      <c r="F73" t="s">
        <v>795</v>
      </c>
      <c r="H73" t="s">
        <v>405</v>
      </c>
      <c r="J73" s="373">
        <v>42.087000000000003</v>
      </c>
      <c r="K73" s="373">
        <v>2.181</v>
      </c>
      <c r="L73" s="373">
        <v>0.94599999999999995</v>
      </c>
      <c r="M73" s="374">
        <v>0</v>
      </c>
      <c r="N73" s="375">
        <v>0</v>
      </c>
      <c r="O73" s="375">
        <v>0</v>
      </c>
      <c r="P73" s="373">
        <v>0</v>
      </c>
    </row>
    <row r="74" spans="6:16" x14ac:dyDescent="0.25">
      <c r="F74" t="s">
        <v>787</v>
      </c>
      <c r="H74" t="s">
        <v>405</v>
      </c>
      <c r="J74" s="373">
        <v>-14.503</v>
      </c>
      <c r="K74" s="373">
        <v>-1.1559999999999999</v>
      </c>
      <c r="L74" s="373">
        <v>-0.126</v>
      </c>
      <c r="M74" s="374">
        <v>0</v>
      </c>
      <c r="N74" s="375">
        <v>0</v>
      </c>
      <c r="O74" s="375">
        <v>0</v>
      </c>
      <c r="P74" s="373">
        <v>0</v>
      </c>
    </row>
    <row r="75" spans="6:16" x14ac:dyDescent="0.25">
      <c r="F75" t="s">
        <v>788</v>
      </c>
      <c r="H75" t="s">
        <v>405</v>
      </c>
      <c r="J75" s="383">
        <v>0</v>
      </c>
      <c r="K75" s="383">
        <v>0</v>
      </c>
      <c r="L75" s="383">
        <v>0</v>
      </c>
      <c r="M75" s="384">
        <v>0</v>
      </c>
      <c r="N75" s="385">
        <v>0</v>
      </c>
      <c r="O75" s="385">
        <v>0</v>
      </c>
      <c r="P75" s="383">
        <v>0</v>
      </c>
    </row>
    <row r="76" spans="6:16" x14ac:dyDescent="0.25">
      <c r="F76" t="s">
        <v>789</v>
      </c>
      <c r="H76" t="s">
        <v>405</v>
      </c>
      <c r="J76" s="373">
        <v>-14.503</v>
      </c>
      <c r="K76" s="373">
        <v>-1.1559999999999999</v>
      </c>
      <c r="L76" s="373">
        <v>-0.126</v>
      </c>
      <c r="M76" s="374">
        <v>0</v>
      </c>
      <c r="N76" s="375">
        <v>0</v>
      </c>
      <c r="O76" s="375">
        <v>0</v>
      </c>
      <c r="P76" s="373">
        <v>0.26400000000000001</v>
      </c>
    </row>
    <row r="77" spans="6:16" x14ac:dyDescent="0.25">
      <c r="F77" t="s">
        <v>798</v>
      </c>
      <c r="H77" t="s">
        <v>405</v>
      </c>
      <c r="J77" s="383">
        <v>0</v>
      </c>
      <c r="K77" s="383">
        <v>0</v>
      </c>
      <c r="L77" s="383">
        <v>0</v>
      </c>
      <c r="M77" s="384">
        <v>0</v>
      </c>
      <c r="N77" s="385">
        <v>0</v>
      </c>
      <c r="O77" s="385">
        <v>0</v>
      </c>
      <c r="P77" s="383">
        <v>0</v>
      </c>
    </row>
    <row r="78" spans="6:16" x14ac:dyDescent="0.25">
      <c r="F78" t="s">
        <v>790</v>
      </c>
      <c r="H78" t="s">
        <v>405</v>
      </c>
      <c r="J78" s="383">
        <v>0</v>
      </c>
      <c r="K78" s="383">
        <v>0</v>
      </c>
      <c r="L78" s="383">
        <v>0</v>
      </c>
      <c r="M78" s="384">
        <v>0</v>
      </c>
      <c r="N78" s="385">
        <v>0</v>
      </c>
      <c r="O78" s="385">
        <v>0</v>
      </c>
      <c r="P78" s="383">
        <v>0</v>
      </c>
    </row>
    <row r="79" spans="6:16" x14ac:dyDescent="0.25">
      <c r="F79" t="s">
        <v>797</v>
      </c>
      <c r="H79" t="s">
        <v>405</v>
      </c>
      <c r="J79" s="383">
        <v>0</v>
      </c>
      <c r="K79" s="383">
        <v>0</v>
      </c>
      <c r="L79" s="383">
        <v>0</v>
      </c>
      <c r="M79" s="384">
        <v>0</v>
      </c>
      <c r="N79" s="385">
        <v>0</v>
      </c>
      <c r="O79" s="385">
        <v>0</v>
      </c>
      <c r="P79" s="383">
        <v>0</v>
      </c>
    </row>
    <row r="80" spans="6:16" x14ac:dyDescent="0.25">
      <c r="F80" t="s">
        <v>791</v>
      </c>
      <c r="H80" t="s">
        <v>405</v>
      </c>
      <c r="J80" s="383">
        <v>0</v>
      </c>
      <c r="K80" s="383">
        <v>0</v>
      </c>
      <c r="L80" s="383">
        <v>0</v>
      </c>
      <c r="M80" s="384">
        <v>0</v>
      </c>
      <c r="N80" s="385">
        <v>0</v>
      </c>
      <c r="O80" s="385">
        <v>0</v>
      </c>
      <c r="P80" s="383">
        <v>0</v>
      </c>
    </row>
    <row r="81" spans="4:16" x14ac:dyDescent="0.25">
      <c r="F81" s="96" t="s">
        <v>796</v>
      </c>
      <c r="G81" s="96"/>
      <c r="H81" s="96" t="s">
        <v>405</v>
      </c>
      <c r="I81" s="96"/>
      <c r="J81" s="386">
        <v>0</v>
      </c>
      <c r="K81" s="386">
        <v>0</v>
      </c>
      <c r="L81" s="386">
        <v>0</v>
      </c>
      <c r="M81" s="387">
        <v>0</v>
      </c>
      <c r="N81" s="388">
        <v>0</v>
      </c>
      <c r="O81" s="388">
        <v>0</v>
      </c>
      <c r="P81" s="386">
        <v>0</v>
      </c>
    </row>
    <row r="82" spans="4:16" x14ac:dyDescent="0.25">
      <c r="D82"/>
      <c r="E82"/>
      <c r="M82" s="389"/>
      <c r="N82" s="389"/>
      <c r="O82" s="389"/>
    </row>
    <row r="83" spans="4:16" x14ac:dyDescent="0.25">
      <c r="D83" s="75"/>
      <c r="E83" s="75" t="s">
        <v>764</v>
      </c>
      <c r="M83" s="389"/>
      <c r="N83" s="389"/>
      <c r="O83" s="389"/>
    </row>
    <row r="84" spans="4:16" x14ac:dyDescent="0.25">
      <c r="F84" s="95" t="s">
        <v>1116</v>
      </c>
      <c r="G84" s="95"/>
      <c r="H84" s="95" t="s">
        <v>406</v>
      </c>
      <c r="I84" s="95"/>
      <c r="J84" s="367">
        <f t="array" ref="J84:P115">TRANSPOSE(Rounding!J168:AO174)</f>
        <v>9.3689999999999998</v>
      </c>
      <c r="K84" s="367">
        <v>0.747</v>
      </c>
      <c r="L84" s="367">
        <v>8.2000000000000003E-2</v>
      </c>
      <c r="M84" s="368">
        <v>5.18</v>
      </c>
      <c r="N84" s="369">
        <v>0</v>
      </c>
      <c r="O84" s="369">
        <v>0</v>
      </c>
      <c r="P84" s="367">
        <v>0</v>
      </c>
    </row>
    <row r="85" spans="4:16" x14ac:dyDescent="0.25">
      <c r="F85" t="s">
        <v>785</v>
      </c>
      <c r="H85" t="s">
        <v>406</v>
      </c>
      <c r="J85" s="370">
        <v>9.3689999999999998</v>
      </c>
      <c r="K85" s="370">
        <v>0.747</v>
      </c>
      <c r="L85" s="370">
        <v>8.2000000000000003E-2</v>
      </c>
      <c r="M85" s="371">
        <v>0</v>
      </c>
      <c r="N85" s="372">
        <v>0</v>
      </c>
      <c r="O85" s="372">
        <v>0</v>
      </c>
      <c r="P85" s="370">
        <v>0</v>
      </c>
    </row>
    <row r="86" spans="4:16" x14ac:dyDescent="0.25">
      <c r="F86" t="s">
        <v>1117</v>
      </c>
      <c r="H86" t="s">
        <v>406</v>
      </c>
      <c r="J86" s="370">
        <v>9.9659999999999993</v>
      </c>
      <c r="K86" s="370">
        <v>0.79500000000000004</v>
      </c>
      <c r="L86" s="370">
        <v>8.6999999999999994E-2</v>
      </c>
      <c r="M86" s="371">
        <v>7.17</v>
      </c>
      <c r="N86" s="372">
        <v>0</v>
      </c>
      <c r="O86" s="372">
        <v>0</v>
      </c>
      <c r="P86" s="370">
        <v>0</v>
      </c>
    </row>
    <row r="87" spans="4:16" x14ac:dyDescent="0.25">
      <c r="F87" t="s">
        <v>1118</v>
      </c>
      <c r="H87" t="s">
        <v>406</v>
      </c>
      <c r="J87" s="370">
        <v>9.9659999999999993</v>
      </c>
      <c r="K87" s="370">
        <v>0.79500000000000004</v>
      </c>
      <c r="L87" s="370">
        <v>8.6999999999999994E-2</v>
      </c>
      <c r="M87" s="371">
        <v>7.42</v>
      </c>
      <c r="N87" s="372">
        <v>0</v>
      </c>
      <c r="O87" s="372">
        <v>0</v>
      </c>
      <c r="P87" s="370">
        <v>0</v>
      </c>
    </row>
    <row r="88" spans="4:16" x14ac:dyDescent="0.25">
      <c r="F88" t="s">
        <v>1119</v>
      </c>
      <c r="H88" t="s">
        <v>406</v>
      </c>
      <c r="J88" s="370">
        <v>9.9659999999999993</v>
      </c>
      <c r="K88" s="370">
        <v>0.79500000000000004</v>
      </c>
      <c r="L88" s="370">
        <v>8.6999999999999994E-2</v>
      </c>
      <c r="M88" s="371">
        <v>8.1999999999999993</v>
      </c>
      <c r="N88" s="372">
        <v>0</v>
      </c>
      <c r="O88" s="372">
        <v>0</v>
      </c>
      <c r="P88" s="370">
        <v>0</v>
      </c>
    </row>
    <row r="89" spans="4:16" x14ac:dyDescent="0.25">
      <c r="F89" t="s">
        <v>1120</v>
      </c>
      <c r="H89" t="s">
        <v>406</v>
      </c>
      <c r="J89" s="370">
        <v>9.9659999999999993</v>
      </c>
      <c r="K89" s="370">
        <v>0.79500000000000004</v>
      </c>
      <c r="L89" s="370">
        <v>8.6999999999999994E-2</v>
      </c>
      <c r="M89" s="371">
        <v>9.25</v>
      </c>
      <c r="N89" s="372">
        <v>0</v>
      </c>
      <c r="O89" s="372">
        <v>0</v>
      </c>
      <c r="P89" s="370">
        <v>0</v>
      </c>
    </row>
    <row r="90" spans="4:16" x14ac:dyDescent="0.25">
      <c r="F90" t="s">
        <v>1121</v>
      </c>
      <c r="H90" t="s">
        <v>406</v>
      </c>
      <c r="J90" s="370">
        <v>9.9659999999999993</v>
      </c>
      <c r="K90" s="370">
        <v>0.79500000000000004</v>
      </c>
      <c r="L90" s="370">
        <v>8.6999999999999994E-2</v>
      </c>
      <c r="M90" s="371">
        <v>12.23</v>
      </c>
      <c r="N90" s="372">
        <v>0</v>
      </c>
      <c r="O90" s="372">
        <v>0</v>
      </c>
      <c r="P90" s="370">
        <v>0</v>
      </c>
    </row>
    <row r="91" spans="4:16" x14ac:dyDescent="0.25">
      <c r="F91" t="s">
        <v>786</v>
      </c>
      <c r="H91" t="s">
        <v>406</v>
      </c>
      <c r="J91" s="370">
        <v>9.9659999999999993</v>
      </c>
      <c r="K91" s="370">
        <v>0.79500000000000004</v>
      </c>
      <c r="L91" s="370">
        <v>8.6999999999999994E-2</v>
      </c>
      <c r="M91" s="371">
        <v>0</v>
      </c>
      <c r="N91" s="372">
        <v>0</v>
      </c>
      <c r="O91" s="372">
        <v>0</v>
      </c>
      <c r="P91" s="370">
        <v>0</v>
      </c>
    </row>
    <row r="92" spans="4:16" x14ac:dyDescent="0.25">
      <c r="F92" t="s">
        <v>862</v>
      </c>
      <c r="H92" t="s">
        <v>406</v>
      </c>
      <c r="J92" s="370">
        <v>6.1070000000000002</v>
      </c>
      <c r="K92" s="370">
        <v>0.438</v>
      </c>
      <c r="L92" s="370">
        <v>4.7E-2</v>
      </c>
      <c r="M92" s="371">
        <v>7.13</v>
      </c>
      <c r="N92" s="372">
        <v>5.01</v>
      </c>
      <c r="O92" s="372">
        <v>5.01</v>
      </c>
      <c r="P92" s="370">
        <v>8.8999999999999996E-2</v>
      </c>
    </row>
    <row r="93" spans="4:16" x14ac:dyDescent="0.25">
      <c r="F93" t="s">
        <v>863</v>
      </c>
      <c r="H93" t="s">
        <v>406</v>
      </c>
      <c r="J93" s="370">
        <v>6.1070000000000002</v>
      </c>
      <c r="K93" s="370">
        <v>0.438</v>
      </c>
      <c r="L93" s="370">
        <v>4.7E-2</v>
      </c>
      <c r="M93" s="371">
        <v>17.09</v>
      </c>
      <c r="N93" s="372">
        <v>5.01</v>
      </c>
      <c r="O93" s="372">
        <v>5.01</v>
      </c>
      <c r="P93" s="370">
        <v>8.8999999999999996E-2</v>
      </c>
    </row>
    <row r="94" spans="4:16" x14ac:dyDescent="0.25">
      <c r="F94" t="s">
        <v>864</v>
      </c>
      <c r="H94" t="s">
        <v>406</v>
      </c>
      <c r="J94" s="370">
        <v>6.1070000000000002</v>
      </c>
      <c r="K94" s="370">
        <v>0.438</v>
      </c>
      <c r="L94" s="370">
        <v>4.7E-2</v>
      </c>
      <c r="M94" s="371">
        <v>25.03</v>
      </c>
      <c r="N94" s="372">
        <v>5.01</v>
      </c>
      <c r="O94" s="372">
        <v>5.01</v>
      </c>
      <c r="P94" s="370">
        <v>8.8999999999999996E-2</v>
      </c>
    </row>
    <row r="95" spans="4:16" x14ac:dyDescent="0.25">
      <c r="F95" t="s">
        <v>865</v>
      </c>
      <c r="H95" t="s">
        <v>406</v>
      </c>
      <c r="J95" s="370">
        <v>6.1070000000000002</v>
      </c>
      <c r="K95" s="370">
        <v>0.438</v>
      </c>
      <c r="L95" s="370">
        <v>4.7E-2</v>
      </c>
      <c r="M95" s="371">
        <v>35.75</v>
      </c>
      <c r="N95" s="372">
        <v>5.01</v>
      </c>
      <c r="O95" s="372">
        <v>5.01</v>
      </c>
      <c r="P95" s="370">
        <v>8.8999999999999996E-2</v>
      </c>
    </row>
    <row r="96" spans="4:16" x14ac:dyDescent="0.25">
      <c r="F96" t="s">
        <v>866</v>
      </c>
      <c r="H96" t="s">
        <v>406</v>
      </c>
      <c r="J96" s="370">
        <v>6.1070000000000002</v>
      </c>
      <c r="K96" s="370">
        <v>0.438</v>
      </c>
      <c r="L96" s="370">
        <v>4.7E-2</v>
      </c>
      <c r="M96" s="371">
        <v>70.53</v>
      </c>
      <c r="N96" s="372">
        <v>5.01</v>
      </c>
      <c r="O96" s="372">
        <v>5.01</v>
      </c>
      <c r="P96" s="370">
        <v>8.8999999999999996E-2</v>
      </c>
    </row>
    <row r="97" spans="6:16" x14ac:dyDescent="0.25">
      <c r="F97" t="s">
        <v>867</v>
      </c>
      <c r="H97" t="s">
        <v>406</v>
      </c>
      <c r="J97" s="370">
        <v>6.4580000000000002</v>
      </c>
      <c r="K97" s="370">
        <v>0.34100000000000003</v>
      </c>
      <c r="L97" s="370">
        <v>3.4000000000000002E-2</v>
      </c>
      <c r="M97" s="371">
        <v>9.31</v>
      </c>
      <c r="N97" s="372">
        <v>7.22</v>
      </c>
      <c r="O97" s="372">
        <v>7.22</v>
      </c>
      <c r="P97" s="370">
        <v>8.1000000000000003E-2</v>
      </c>
    </row>
    <row r="98" spans="6:16" x14ac:dyDescent="0.25">
      <c r="F98" t="s">
        <v>868</v>
      </c>
      <c r="H98" t="s">
        <v>406</v>
      </c>
      <c r="J98" s="370">
        <v>6.4580000000000002</v>
      </c>
      <c r="K98" s="370">
        <v>0.34100000000000003</v>
      </c>
      <c r="L98" s="370">
        <v>3.4000000000000002E-2</v>
      </c>
      <c r="M98" s="371">
        <v>25.98</v>
      </c>
      <c r="N98" s="372">
        <v>7.22</v>
      </c>
      <c r="O98" s="372">
        <v>7.22</v>
      </c>
      <c r="P98" s="370">
        <v>8.1000000000000003E-2</v>
      </c>
    </row>
    <row r="99" spans="6:16" x14ac:dyDescent="0.25">
      <c r="F99" t="s">
        <v>869</v>
      </c>
      <c r="H99" t="s">
        <v>406</v>
      </c>
      <c r="J99" s="373">
        <v>6.4580000000000002</v>
      </c>
      <c r="K99" s="373">
        <v>0.34100000000000003</v>
      </c>
      <c r="L99" s="373">
        <v>3.4000000000000002E-2</v>
      </c>
      <c r="M99" s="374">
        <v>39.270000000000003</v>
      </c>
      <c r="N99" s="375">
        <v>7.22</v>
      </c>
      <c r="O99" s="375">
        <v>7.22</v>
      </c>
      <c r="P99" s="373">
        <v>8.1000000000000003E-2</v>
      </c>
    </row>
    <row r="100" spans="6:16" x14ac:dyDescent="0.25">
      <c r="F100" t="s">
        <v>870</v>
      </c>
      <c r="H100" t="s">
        <v>406</v>
      </c>
      <c r="J100" s="373">
        <v>6.4580000000000002</v>
      </c>
      <c r="K100" s="373">
        <v>0.34100000000000003</v>
      </c>
      <c r="L100" s="373">
        <v>3.4000000000000002E-2</v>
      </c>
      <c r="M100" s="374">
        <v>57.21</v>
      </c>
      <c r="N100" s="375">
        <v>7.22</v>
      </c>
      <c r="O100" s="375">
        <v>7.22</v>
      </c>
      <c r="P100" s="373">
        <v>8.1000000000000003E-2</v>
      </c>
    </row>
    <row r="101" spans="6:16" x14ac:dyDescent="0.25">
      <c r="F101" t="s">
        <v>871</v>
      </c>
      <c r="H101" t="s">
        <v>406</v>
      </c>
      <c r="J101" s="373">
        <v>6.4580000000000002</v>
      </c>
      <c r="K101" s="373">
        <v>0.34100000000000003</v>
      </c>
      <c r="L101" s="373">
        <v>3.4000000000000002E-2</v>
      </c>
      <c r="M101" s="374">
        <v>115.41</v>
      </c>
      <c r="N101" s="375">
        <v>7.22</v>
      </c>
      <c r="O101" s="375">
        <v>7.22</v>
      </c>
      <c r="P101" s="373">
        <v>8.1000000000000003E-2</v>
      </c>
    </row>
    <row r="102" spans="6:16" x14ac:dyDescent="0.25">
      <c r="F102" t="s">
        <v>872</v>
      </c>
      <c r="H102" t="s">
        <v>406</v>
      </c>
      <c r="J102" s="373">
        <v>5.9379999999999997</v>
      </c>
      <c r="K102" s="373">
        <v>0.248</v>
      </c>
      <c r="L102" s="373">
        <v>2.3E-2</v>
      </c>
      <c r="M102" s="374">
        <v>102.3</v>
      </c>
      <c r="N102" s="375">
        <v>8.25</v>
      </c>
      <c r="O102" s="375">
        <v>8.25</v>
      </c>
      <c r="P102" s="373">
        <v>6.7000000000000004E-2</v>
      </c>
    </row>
    <row r="103" spans="6:16" x14ac:dyDescent="0.25">
      <c r="F103" t="s">
        <v>873</v>
      </c>
      <c r="H103" t="s">
        <v>406</v>
      </c>
      <c r="J103" s="373">
        <v>5.9379999999999997</v>
      </c>
      <c r="K103" s="373">
        <v>0.248</v>
      </c>
      <c r="L103" s="373">
        <v>2.3E-2</v>
      </c>
      <c r="M103" s="374">
        <v>244.86</v>
      </c>
      <c r="N103" s="375">
        <v>8.25</v>
      </c>
      <c r="O103" s="375">
        <v>8.25</v>
      </c>
      <c r="P103" s="373">
        <v>6.7000000000000004E-2</v>
      </c>
    </row>
    <row r="104" spans="6:16" x14ac:dyDescent="0.25">
      <c r="F104" t="s">
        <v>874</v>
      </c>
      <c r="H104" t="s">
        <v>406</v>
      </c>
      <c r="J104" s="373">
        <v>5.9379999999999997</v>
      </c>
      <c r="K104" s="373">
        <v>0.248</v>
      </c>
      <c r="L104" s="373">
        <v>2.3E-2</v>
      </c>
      <c r="M104" s="374">
        <v>430.59</v>
      </c>
      <c r="N104" s="375">
        <v>8.25</v>
      </c>
      <c r="O104" s="375">
        <v>8.25</v>
      </c>
      <c r="P104" s="373">
        <v>6.7000000000000004E-2</v>
      </c>
    </row>
    <row r="105" spans="6:16" x14ac:dyDescent="0.25">
      <c r="F105" t="s">
        <v>875</v>
      </c>
      <c r="H105" t="s">
        <v>406</v>
      </c>
      <c r="J105" s="373">
        <v>5.9379999999999997</v>
      </c>
      <c r="K105" s="373">
        <v>0.248</v>
      </c>
      <c r="L105" s="373">
        <v>2.3E-2</v>
      </c>
      <c r="M105" s="374">
        <v>833.22</v>
      </c>
      <c r="N105" s="375">
        <v>8.25</v>
      </c>
      <c r="O105" s="375">
        <v>8.25</v>
      </c>
      <c r="P105" s="373">
        <v>6.7000000000000004E-2</v>
      </c>
    </row>
    <row r="106" spans="6:16" x14ac:dyDescent="0.25">
      <c r="F106" t="s">
        <v>876</v>
      </c>
      <c r="H106" t="s">
        <v>406</v>
      </c>
      <c r="J106" s="373">
        <v>5.9379999999999997</v>
      </c>
      <c r="K106" s="373">
        <v>0.248</v>
      </c>
      <c r="L106" s="373">
        <v>2.3E-2</v>
      </c>
      <c r="M106" s="374">
        <v>1564.7</v>
      </c>
      <c r="N106" s="375">
        <v>8.25</v>
      </c>
      <c r="O106" s="375">
        <v>8.25</v>
      </c>
      <c r="P106" s="373">
        <v>6.7000000000000004E-2</v>
      </c>
    </row>
    <row r="107" spans="6:16" x14ac:dyDescent="0.25">
      <c r="F107" t="s">
        <v>795</v>
      </c>
      <c r="H107" t="s">
        <v>406</v>
      </c>
      <c r="J107" s="373">
        <v>28.102</v>
      </c>
      <c r="K107" s="373">
        <v>1.4570000000000001</v>
      </c>
      <c r="L107" s="373">
        <v>0.63200000000000001</v>
      </c>
      <c r="M107" s="374">
        <v>0</v>
      </c>
      <c r="N107" s="375">
        <v>0</v>
      </c>
      <c r="O107" s="375">
        <v>0</v>
      </c>
      <c r="P107" s="373">
        <v>0</v>
      </c>
    </row>
    <row r="108" spans="6:16" x14ac:dyDescent="0.25">
      <c r="F108" t="s">
        <v>787</v>
      </c>
      <c r="H108" t="s">
        <v>406</v>
      </c>
      <c r="J108" s="373">
        <v>-14.503</v>
      </c>
      <c r="K108" s="373">
        <v>-1.1559999999999999</v>
      </c>
      <c r="L108" s="373">
        <v>-0.126</v>
      </c>
      <c r="M108" s="374">
        <v>0</v>
      </c>
      <c r="N108" s="375">
        <v>0</v>
      </c>
      <c r="O108" s="375">
        <v>0</v>
      </c>
      <c r="P108" s="373">
        <v>0</v>
      </c>
    </row>
    <row r="109" spans="6:16" x14ac:dyDescent="0.25">
      <c r="F109" t="s">
        <v>788</v>
      </c>
      <c r="H109" t="s">
        <v>406</v>
      </c>
      <c r="J109" s="373">
        <v>-12.444000000000001</v>
      </c>
      <c r="K109" s="373">
        <v>-0.93100000000000005</v>
      </c>
      <c r="L109" s="373">
        <v>-0.10100000000000001</v>
      </c>
      <c r="M109" s="374">
        <v>0</v>
      </c>
      <c r="N109" s="375">
        <v>0</v>
      </c>
      <c r="O109" s="375">
        <v>0</v>
      </c>
      <c r="P109" s="373">
        <v>0</v>
      </c>
    </row>
    <row r="110" spans="6:16" x14ac:dyDescent="0.25">
      <c r="F110" t="s">
        <v>789</v>
      </c>
      <c r="H110" t="s">
        <v>406</v>
      </c>
      <c r="J110" s="373">
        <v>-14.503</v>
      </c>
      <c r="K110" s="373">
        <v>-1.1559999999999999</v>
      </c>
      <c r="L110" s="373">
        <v>-0.126</v>
      </c>
      <c r="M110" s="374">
        <v>0</v>
      </c>
      <c r="N110" s="375">
        <v>0</v>
      </c>
      <c r="O110" s="375">
        <v>0</v>
      </c>
      <c r="P110" s="373">
        <v>0.26400000000000001</v>
      </c>
    </row>
    <row r="111" spans="6:16" x14ac:dyDescent="0.25">
      <c r="F111" t="s">
        <v>798</v>
      </c>
      <c r="H111" t="s">
        <v>406</v>
      </c>
      <c r="J111" s="383">
        <v>0</v>
      </c>
      <c r="K111" s="383">
        <v>0</v>
      </c>
      <c r="L111" s="383">
        <v>0</v>
      </c>
      <c r="M111" s="384">
        <v>0</v>
      </c>
      <c r="N111" s="385">
        <v>0</v>
      </c>
      <c r="O111" s="385">
        <v>0</v>
      </c>
      <c r="P111" s="383">
        <v>0</v>
      </c>
    </row>
    <row r="112" spans="6:16" x14ac:dyDescent="0.25">
      <c r="F112" t="s">
        <v>790</v>
      </c>
      <c r="H112" t="s">
        <v>406</v>
      </c>
      <c r="J112" s="373">
        <v>-12.444000000000001</v>
      </c>
      <c r="K112" s="373">
        <v>-0.93100000000000005</v>
      </c>
      <c r="L112" s="373">
        <v>-0.10100000000000001</v>
      </c>
      <c r="M112" s="374">
        <v>0</v>
      </c>
      <c r="N112" s="375">
        <v>0</v>
      </c>
      <c r="O112" s="375">
        <v>0</v>
      </c>
      <c r="P112" s="373">
        <v>0.189</v>
      </c>
    </row>
    <row r="113" spans="2:19" x14ac:dyDescent="0.25">
      <c r="F113" t="s">
        <v>797</v>
      </c>
      <c r="H113" t="s">
        <v>406</v>
      </c>
      <c r="J113" s="383">
        <v>0</v>
      </c>
      <c r="K113" s="383">
        <v>0</v>
      </c>
      <c r="L113" s="383">
        <v>0</v>
      </c>
      <c r="M113" s="384">
        <v>0</v>
      </c>
      <c r="N113" s="385">
        <v>0</v>
      </c>
      <c r="O113" s="385">
        <v>0</v>
      </c>
      <c r="P113" s="383">
        <v>0</v>
      </c>
    </row>
    <row r="114" spans="2:19" x14ac:dyDescent="0.25">
      <c r="F114" t="s">
        <v>791</v>
      </c>
      <c r="H114" t="s">
        <v>406</v>
      </c>
      <c r="J114" s="373">
        <v>-7.7859999999999996</v>
      </c>
      <c r="K114" s="373">
        <v>-0.41199999999999998</v>
      </c>
      <c r="L114" s="373">
        <v>-4.1000000000000002E-2</v>
      </c>
      <c r="M114" s="374">
        <v>0</v>
      </c>
      <c r="N114" s="375">
        <v>0</v>
      </c>
      <c r="O114" s="375">
        <v>0</v>
      </c>
      <c r="P114" s="373">
        <v>0.159</v>
      </c>
    </row>
    <row r="115" spans="2:19" x14ac:dyDescent="0.25">
      <c r="F115" s="96" t="s">
        <v>796</v>
      </c>
      <c r="G115" s="96"/>
      <c r="H115" s="96" t="s">
        <v>406</v>
      </c>
      <c r="I115" s="96"/>
      <c r="J115" s="386">
        <v>0</v>
      </c>
      <c r="K115" s="386">
        <v>0</v>
      </c>
      <c r="L115" s="386">
        <v>0</v>
      </c>
      <c r="M115" s="387">
        <v>0</v>
      </c>
      <c r="N115" s="388">
        <v>0</v>
      </c>
      <c r="O115" s="388">
        <v>0</v>
      </c>
      <c r="P115" s="386">
        <v>0</v>
      </c>
    </row>
    <row r="116" spans="2:19" x14ac:dyDescent="0.25">
      <c r="D116" s="75"/>
      <c r="E116" s="75"/>
      <c r="F116" s="75"/>
      <c r="G116" s="75"/>
      <c r="H116" s="75"/>
      <c r="I116" s="75"/>
      <c r="J116" s="75"/>
      <c r="K116" s="75"/>
      <c r="L116" s="75"/>
      <c r="M116" s="390"/>
      <c r="N116" s="390"/>
      <c r="O116" s="390"/>
      <c r="P116" s="75"/>
      <c r="Q116" s="75"/>
      <c r="R116" s="75"/>
      <c r="S116" s="75"/>
    </row>
    <row r="117" spans="2:19" x14ac:dyDescent="0.25">
      <c r="B117" s="85" t="s">
        <v>231</v>
      </c>
      <c r="C117" s="85"/>
      <c r="D117" s="85"/>
      <c r="E117" s="85"/>
      <c r="F117" s="85"/>
      <c r="G117" s="85"/>
      <c r="H117" s="85"/>
      <c r="I117" s="85"/>
      <c r="J117" s="85"/>
      <c r="K117" s="85"/>
      <c r="L117" s="159"/>
      <c r="M117" s="391"/>
      <c r="N117" s="391"/>
      <c r="O117" s="391"/>
      <c r="P117" s="159"/>
      <c r="Q117" s="159"/>
      <c r="R117" s="159"/>
    </row>
    <row r="118" spans="2:19" x14ac:dyDescent="0.25">
      <c r="M118" s="389"/>
      <c r="N118" s="389"/>
      <c r="O118" s="389"/>
    </row>
    <row r="119" spans="2:19" x14ac:dyDescent="0.25">
      <c r="D119"/>
      <c r="E119" t="s">
        <v>232</v>
      </c>
      <c r="G119" s="6" t="s">
        <v>56</v>
      </c>
      <c r="H119" s="113">
        <f t="array" ref="H119">SUM(IF(ISERROR(J16:P99), 1))</f>
        <v>0</v>
      </c>
      <c r="M119" s="389"/>
      <c r="N119" s="389"/>
      <c r="O119" s="389"/>
    </row>
    <row r="120" spans="2:19" x14ac:dyDescent="0.25">
      <c r="M120" s="389"/>
      <c r="N120" s="389"/>
      <c r="O120" s="389"/>
    </row>
    <row r="121" spans="2:19" x14ac:dyDescent="0.25">
      <c r="B121" s="85" t="s">
        <v>107</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activeCell="H19" sqref="H1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NGED South West - [enter data version name]</v>
      </c>
    </row>
    <row r="3" spans="1:40" s="5" customFormat="1" x14ac:dyDescent="0.25">
      <c r="A3" s="5" t="str">
        <f>Cover!D2&amp;" - "&amp;Cover!D8&amp;" v"&amp;Cover!D10&amp;" - "&amp;Cover!D19</f>
        <v>CDCM charging model - Release for charge setting v11 - 2026/27</v>
      </c>
    </row>
    <row r="4" spans="1:40" x14ac:dyDescent="0.25">
      <c r="A4" s="60" t="str">
        <f>H84 &amp; IF(H84 = 1, " issue", " issues") &amp;" identified in checks on this sheet"</f>
        <v>0 issues identified in checks on this sheet</v>
      </c>
      <c r="B4" s="61"/>
      <c r="C4" s="61"/>
      <c r="D4" s="61"/>
      <c r="E4" s="61"/>
      <c r="F4" s="61"/>
      <c r="G4" s="61"/>
      <c r="H4" s="62"/>
      <c r="I4" s="62"/>
      <c r="J4" s="61"/>
    </row>
    <row r="5" spans="1:40" x14ac:dyDescent="0.25">
      <c r="B5" s="89" t="s">
        <v>142</v>
      </c>
      <c r="C5" s="90"/>
      <c r="D5" s="90"/>
      <c r="E5" s="90"/>
      <c r="F5" s="90"/>
      <c r="G5" s="91" t="s">
        <v>143</v>
      </c>
      <c r="H5" s="138" t="s">
        <v>144</v>
      </c>
      <c r="AN5" s="91" t="s">
        <v>145</v>
      </c>
    </row>
    <row r="7" spans="1:40" x14ac:dyDescent="0.25">
      <c r="B7" s="85" t="s">
        <v>11</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25">
      <c r="C9" s="86" t="s">
        <v>765</v>
      </c>
      <c r="E9"/>
    </row>
    <row r="10" spans="1:40" x14ac:dyDescent="0.25">
      <c r="C10" s="86" t="s">
        <v>766</v>
      </c>
      <c r="E10"/>
    </row>
    <row r="12" spans="1:40" x14ac:dyDescent="0.25">
      <c r="B12" s="85" t="s">
        <v>767</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25">
      <c r="B14" s="86"/>
      <c r="C14" s="93" t="str">
        <f ca="1">INDEX('Version control'!$H$41:$H$64,MATCH($A$1,'Version control'!$F$41:$F$64,0),1)&amp;"-A: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25">
      <c r="D16" s="86" t="s">
        <v>768</v>
      </c>
      <c r="E16"/>
    </row>
    <row r="17" spans="2:40" x14ac:dyDescent="0.25">
      <c r="D17" s="86"/>
      <c r="E17"/>
    </row>
    <row r="18" spans="2:40" x14ac:dyDescent="0.25">
      <c r="E18" s="75" t="s">
        <v>769</v>
      </c>
    </row>
    <row r="19" spans="2:40" x14ac:dyDescent="0.25">
      <c r="F19" s="98" t="s">
        <v>192</v>
      </c>
      <c r="G19" s="95" t="s">
        <v>277</v>
      </c>
      <c r="H19" s="392">
        <f t="array" ref="H19:H23">TRANSPOSE('Unit costs'!L108:P108)</f>
        <v>566423151.07452452</v>
      </c>
    </row>
    <row r="20" spans="2:40" x14ac:dyDescent="0.25">
      <c r="E20"/>
      <c r="F20" s="94" t="s">
        <v>193</v>
      </c>
      <c r="G20" t="s">
        <v>277</v>
      </c>
      <c r="H20" s="393">
        <v>81135289.433103189</v>
      </c>
    </row>
    <row r="21" spans="2:40" x14ac:dyDescent="0.25">
      <c r="E21"/>
      <c r="F21" s="94" t="s">
        <v>194</v>
      </c>
      <c r="G21" t="s">
        <v>277</v>
      </c>
      <c r="H21" s="393">
        <v>267224229.2504352</v>
      </c>
    </row>
    <row r="22" spans="2:40" x14ac:dyDescent="0.25">
      <c r="E22"/>
      <c r="F22" s="94" t="s">
        <v>195</v>
      </c>
      <c r="G22" t="s">
        <v>277</v>
      </c>
      <c r="H22" s="393">
        <v>254439101.11140931</v>
      </c>
    </row>
    <row r="23" spans="2:40" x14ac:dyDescent="0.25">
      <c r="E23"/>
      <c r="F23" s="101" t="s">
        <v>196</v>
      </c>
      <c r="G23" s="96" t="s">
        <v>277</v>
      </c>
      <c r="H23" s="394">
        <v>0</v>
      </c>
    </row>
    <row r="25" spans="2:40" x14ac:dyDescent="0.25">
      <c r="C25" s="93" t="str">
        <f ca="1">INDEX('Version control'!$H$41:$H$64,MATCH($A$1,'Version control'!$F$41:$F$64,0),1)&amp;"-B: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25">
      <c r="D27" s="86" t="s">
        <v>1109</v>
      </c>
      <c r="E27"/>
    </row>
    <row r="28" spans="2:40" x14ac:dyDescent="0.25">
      <c r="D28" s="86"/>
      <c r="E28"/>
    </row>
    <row r="29" spans="2:40" x14ac:dyDescent="0.25">
      <c r="D29" s="86"/>
      <c r="E29" t="s">
        <v>310</v>
      </c>
      <c r="G29" t="s">
        <v>277</v>
      </c>
      <c r="H29" s="395">
        <f>'General inputs'!H92</f>
        <v>2268588.090305747</v>
      </c>
    </row>
    <row r="30" spans="2:40" x14ac:dyDescent="0.25">
      <c r="D30" s="86"/>
      <c r="E30"/>
    </row>
    <row r="31" spans="2:40" x14ac:dyDescent="0.25">
      <c r="B31" s="85" t="s">
        <v>770</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25">
      <c r="C33" s="93" t="str">
        <f ca="1">INDEX('Version control'!$H$41:$H$64,MATCH($A$1,'Version control'!$F$41:$F$64,0),1)&amp;"-C: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25">
      <c r="D35" s="86" t="s">
        <v>851</v>
      </c>
      <c r="E35"/>
    </row>
    <row r="37" spans="3:40" ht="45" x14ac:dyDescent="0.25">
      <c r="C37" s="123"/>
      <c r="E37" s="75" t="s">
        <v>771</v>
      </c>
      <c r="J37" s="309" t="s">
        <v>1116</v>
      </c>
      <c r="K37" s="309" t="s">
        <v>785</v>
      </c>
      <c r="L37" s="309" t="s">
        <v>1117</v>
      </c>
      <c r="M37" s="309" t="s">
        <v>1118</v>
      </c>
      <c r="N37" s="309" t="s">
        <v>1119</v>
      </c>
      <c r="O37" s="309" t="s">
        <v>1120</v>
      </c>
      <c r="P37" s="309" t="s">
        <v>1121</v>
      </c>
      <c r="Q37" s="309" t="s">
        <v>786</v>
      </c>
      <c r="R37" s="309" t="s">
        <v>862</v>
      </c>
      <c r="S37" s="309" t="s">
        <v>863</v>
      </c>
      <c r="T37" s="309" t="s">
        <v>864</v>
      </c>
      <c r="U37" s="309" t="s">
        <v>865</v>
      </c>
      <c r="V37" s="309" t="s">
        <v>866</v>
      </c>
      <c r="W37" s="309" t="s">
        <v>867</v>
      </c>
      <c r="X37" s="309" t="s">
        <v>868</v>
      </c>
      <c r="Y37" s="309" t="s">
        <v>869</v>
      </c>
      <c r="Z37" s="309" t="s">
        <v>870</v>
      </c>
      <c r="AA37" s="309" t="s">
        <v>871</v>
      </c>
      <c r="AB37" s="309" t="s">
        <v>872</v>
      </c>
      <c r="AC37" s="309" t="s">
        <v>873</v>
      </c>
      <c r="AD37" s="309" t="s">
        <v>874</v>
      </c>
      <c r="AE37" s="309" t="s">
        <v>875</v>
      </c>
      <c r="AF37" s="309" t="s">
        <v>876</v>
      </c>
      <c r="AG37" s="309" t="s">
        <v>795</v>
      </c>
      <c r="AH37" s="309" t="s">
        <v>787</v>
      </c>
      <c r="AI37" s="309" t="s">
        <v>788</v>
      </c>
      <c r="AJ37" s="309" t="s">
        <v>789</v>
      </c>
      <c r="AK37" s="309" t="s">
        <v>790</v>
      </c>
      <c r="AL37" s="309" t="s">
        <v>791</v>
      </c>
    </row>
    <row r="38" spans="3:40" x14ac:dyDescent="0.25">
      <c r="C38" s="123"/>
      <c r="D38"/>
      <c r="F38" s="396" t="s">
        <v>156</v>
      </c>
      <c r="G38" s="396" t="s">
        <v>269</v>
      </c>
      <c r="H38" s="266" t="s">
        <v>730</v>
      </c>
      <c r="I38" s="266"/>
      <c r="J38" s="397">
        <f>Rounding!J110</f>
        <v>22.754367788879499</v>
      </c>
      <c r="K38" s="397">
        <f>Rounding!K110</f>
        <v>22.754367788879499</v>
      </c>
      <c r="L38" s="397">
        <f>Rounding!L110</f>
        <v>24.204345157669163</v>
      </c>
      <c r="M38" s="397">
        <f>Rounding!M110</f>
        <v>24.204345157669163</v>
      </c>
      <c r="N38" s="397">
        <f>Rounding!N110</f>
        <v>24.204345157669163</v>
      </c>
      <c r="O38" s="397">
        <f>Rounding!O110</f>
        <v>24.204345157669163</v>
      </c>
      <c r="P38" s="397">
        <f>Rounding!P110</f>
        <v>24.204345157669163</v>
      </c>
      <c r="Q38" s="397">
        <f>Rounding!Q110</f>
        <v>24.204345157669163</v>
      </c>
      <c r="R38" s="397">
        <f>Rounding!R110</f>
        <v>14.833378766097514</v>
      </c>
      <c r="S38" s="397">
        <f>Rounding!S110</f>
        <v>14.833378766097514</v>
      </c>
      <c r="T38" s="397">
        <f>Rounding!T110</f>
        <v>14.833378766097514</v>
      </c>
      <c r="U38" s="397">
        <f>Rounding!U110</f>
        <v>14.833378766097514</v>
      </c>
      <c r="V38" s="397">
        <f>Rounding!V110</f>
        <v>14.833378766097514</v>
      </c>
      <c r="W38" s="397">
        <f>Rounding!W110</f>
        <v>9.3736478380256543</v>
      </c>
      <c r="X38" s="397">
        <f>Rounding!X110</f>
        <v>9.3736478380256543</v>
      </c>
      <c r="Y38" s="397">
        <f>Rounding!Y110</f>
        <v>9.3736478380256543</v>
      </c>
      <c r="Z38" s="397">
        <f>Rounding!Z110</f>
        <v>9.3736478380256543</v>
      </c>
      <c r="AA38" s="397">
        <f>Rounding!AA110</f>
        <v>9.3736478380256543</v>
      </c>
      <c r="AB38" s="397">
        <f>Rounding!AB110</f>
        <v>7.2418921898197315</v>
      </c>
      <c r="AC38" s="397">
        <f>Rounding!AC110</f>
        <v>7.2418921898197315</v>
      </c>
      <c r="AD38" s="397">
        <f>Rounding!AD110</f>
        <v>7.2418921898197315</v>
      </c>
      <c r="AE38" s="397">
        <f>Rounding!AE110</f>
        <v>7.2418921898197315</v>
      </c>
      <c r="AF38" s="397">
        <f>Rounding!AF110</f>
        <v>7.2418921898197315</v>
      </c>
      <c r="AG38" s="397">
        <f>Rounding!AG110</f>
        <v>68.251084597691374</v>
      </c>
      <c r="AH38" s="397">
        <f>Rounding!AH110</f>
        <v>-14.503014192473726</v>
      </c>
      <c r="AI38" s="397">
        <f>Rounding!AI110</f>
        <v>-12.444090350355333</v>
      </c>
      <c r="AJ38" s="397">
        <f>Rounding!AJ110</f>
        <v>-14.503014192473726</v>
      </c>
      <c r="AK38" s="397">
        <f>Rounding!AL110</f>
        <v>-12.444090350355333</v>
      </c>
      <c r="AL38" s="397">
        <f>Rounding!AN110</f>
        <v>-7.7863780978561934</v>
      </c>
    </row>
    <row r="39" spans="3:40" x14ac:dyDescent="0.25">
      <c r="C39" s="123"/>
      <c r="D39"/>
      <c r="F39" s="398" t="s">
        <v>157</v>
      </c>
      <c r="G39" s="398" t="s">
        <v>269</v>
      </c>
      <c r="H39" s="268" t="s">
        <v>730</v>
      </c>
      <c r="I39" s="268"/>
      <c r="J39" s="399">
        <f>Rounding!J111</f>
        <v>1.8142545868877058</v>
      </c>
      <c r="K39" s="399">
        <f>Rounding!K111</f>
        <v>1.8142545868877058</v>
      </c>
      <c r="L39" s="399">
        <f>Rounding!L111</f>
        <v>1.9298643949306107</v>
      </c>
      <c r="M39" s="399">
        <f>Rounding!M111</f>
        <v>1.9298643949306107</v>
      </c>
      <c r="N39" s="399">
        <f>Rounding!N111</f>
        <v>1.9298643949306107</v>
      </c>
      <c r="O39" s="399">
        <f>Rounding!O111</f>
        <v>1.9298643949306107</v>
      </c>
      <c r="P39" s="399">
        <f>Rounding!P111</f>
        <v>1.9298643949306107</v>
      </c>
      <c r="Q39" s="399">
        <f>Rounding!Q111</f>
        <v>1.9298643949306107</v>
      </c>
      <c r="R39" s="399">
        <f>Rounding!R111</f>
        <v>1.0647017530048353</v>
      </c>
      <c r="S39" s="399">
        <f>Rounding!S111</f>
        <v>1.0647017530048353</v>
      </c>
      <c r="T39" s="399">
        <f>Rounding!T111</f>
        <v>1.0647017530048353</v>
      </c>
      <c r="U39" s="399">
        <f>Rounding!U111</f>
        <v>1.0647017530048353</v>
      </c>
      <c r="V39" s="399">
        <f>Rounding!V111</f>
        <v>1.0647017530048353</v>
      </c>
      <c r="W39" s="399">
        <f>Rounding!W111</f>
        <v>0.49555677768372769</v>
      </c>
      <c r="X39" s="399">
        <f>Rounding!X111</f>
        <v>0.49555677768372769</v>
      </c>
      <c r="Y39" s="399">
        <f>Rounding!Y111</f>
        <v>0.49555677768372769</v>
      </c>
      <c r="Z39" s="399">
        <f>Rounding!Z111</f>
        <v>0.49555677768372769</v>
      </c>
      <c r="AA39" s="399">
        <f>Rounding!AA111</f>
        <v>0.49555677768372769</v>
      </c>
      <c r="AB39" s="399">
        <f>Rounding!AB111</f>
        <v>0.30212181510475317</v>
      </c>
      <c r="AC39" s="399">
        <f>Rounding!AC111</f>
        <v>0.30212181510475317</v>
      </c>
      <c r="AD39" s="399">
        <f>Rounding!AD111</f>
        <v>0.30212181510475317</v>
      </c>
      <c r="AE39" s="399">
        <f>Rounding!AE111</f>
        <v>0.30212181510475317</v>
      </c>
      <c r="AF39" s="399">
        <f>Rounding!AF111</f>
        <v>0.30212181510475317</v>
      </c>
      <c r="AG39" s="399">
        <f>Rounding!AG111</f>
        <v>3.5375929348429973</v>
      </c>
      <c r="AH39" s="399">
        <f>Rounding!AH111</f>
        <v>-1.15635645281484</v>
      </c>
      <c r="AI39" s="399">
        <f>Rounding!AI111</f>
        <v>-0.93051409035444521</v>
      </c>
      <c r="AJ39" s="399">
        <f>Rounding!AJ111</f>
        <v>-1.15635645281484</v>
      </c>
      <c r="AK39" s="399">
        <f>Rounding!AL111</f>
        <v>-0.93051409035444521</v>
      </c>
      <c r="AL39" s="399">
        <f>Rounding!AN111</f>
        <v>-0.41164256505858809</v>
      </c>
    </row>
    <row r="40" spans="3:40" x14ac:dyDescent="0.25">
      <c r="C40" s="123"/>
      <c r="D40"/>
      <c r="F40" s="398" t="s">
        <v>158</v>
      </c>
      <c r="G40" s="398" t="s">
        <v>269</v>
      </c>
      <c r="H40" s="268" t="s">
        <v>730</v>
      </c>
      <c r="I40" s="268"/>
      <c r="J40" s="399">
        <f>Rounding!J112</f>
        <v>0.1984681748021638</v>
      </c>
      <c r="K40" s="399">
        <f>Rounding!K112</f>
        <v>0.1984681748021638</v>
      </c>
      <c r="L40" s="399">
        <f>Rounding!L112</f>
        <v>0.21111516919718137</v>
      </c>
      <c r="M40" s="399">
        <f>Rounding!M112</f>
        <v>0.21111516919718137</v>
      </c>
      <c r="N40" s="399">
        <f>Rounding!N112</f>
        <v>0.21111516919718137</v>
      </c>
      <c r="O40" s="399">
        <f>Rounding!O112</f>
        <v>0.21111516919718137</v>
      </c>
      <c r="P40" s="399">
        <f>Rounding!P112</f>
        <v>0.21111516919718137</v>
      </c>
      <c r="Q40" s="399">
        <f>Rounding!Q112</f>
        <v>0.21111516919718137</v>
      </c>
      <c r="R40" s="399">
        <f>Rounding!R112</f>
        <v>0.11409479114169718</v>
      </c>
      <c r="S40" s="399">
        <f>Rounding!S112</f>
        <v>0.11409479114169718</v>
      </c>
      <c r="T40" s="399">
        <f>Rounding!T112</f>
        <v>0.11409479114169718</v>
      </c>
      <c r="U40" s="399">
        <f>Rounding!U112</f>
        <v>0.11409479114169718</v>
      </c>
      <c r="V40" s="399">
        <f>Rounding!V112</f>
        <v>0.11409479114169718</v>
      </c>
      <c r="W40" s="399">
        <f>Rounding!W112</f>
        <v>4.9137946589288356E-2</v>
      </c>
      <c r="X40" s="399">
        <f>Rounding!X112</f>
        <v>4.9137946589288356E-2</v>
      </c>
      <c r="Y40" s="399">
        <f>Rounding!Y112</f>
        <v>4.9137946589288356E-2</v>
      </c>
      <c r="Z40" s="399">
        <f>Rounding!Z112</f>
        <v>4.9137946589288356E-2</v>
      </c>
      <c r="AA40" s="399">
        <f>Rounding!AA112</f>
        <v>4.9137946589288356E-2</v>
      </c>
      <c r="AB40" s="399">
        <f>Rounding!AB112</f>
        <v>2.7504662128690939E-2</v>
      </c>
      <c r="AC40" s="399">
        <f>Rounding!AC112</f>
        <v>2.7504662128690939E-2</v>
      </c>
      <c r="AD40" s="399">
        <f>Rounding!AD112</f>
        <v>2.7504662128690939E-2</v>
      </c>
      <c r="AE40" s="399">
        <f>Rounding!AE112</f>
        <v>2.7504662128690939E-2</v>
      </c>
      <c r="AF40" s="399">
        <f>Rounding!AF112</f>
        <v>2.7504662128690939E-2</v>
      </c>
      <c r="AG40" s="399">
        <f>Rounding!AG112</f>
        <v>1.5345898099291992</v>
      </c>
      <c r="AH40" s="399">
        <f>Rounding!AH112</f>
        <v>-0.12649820828319655</v>
      </c>
      <c r="AI40" s="399">
        <f>Rounding!AI112</f>
        <v>-0.10054994344094254</v>
      </c>
      <c r="AJ40" s="399">
        <f>Rounding!AJ112</f>
        <v>-0.12649820828319655</v>
      </c>
      <c r="AK40" s="399">
        <f>Rounding!AL112</f>
        <v>-0.10054994344094254</v>
      </c>
      <c r="AL40" s="399">
        <f>Rounding!AN112</f>
        <v>-4.0817261082111422E-2</v>
      </c>
    </row>
    <row r="41" spans="3:40" x14ac:dyDescent="0.25">
      <c r="C41" s="123"/>
      <c r="D41"/>
      <c r="F41" s="398" t="s">
        <v>159</v>
      </c>
      <c r="G41" s="398" t="s">
        <v>270</v>
      </c>
      <c r="H41" t="s">
        <v>730</v>
      </c>
      <c r="J41" s="395">
        <f>Rounding!J113</f>
        <v>12.570106728166373</v>
      </c>
      <c r="K41" s="395">
        <f>Rounding!K113</f>
        <v>0</v>
      </c>
      <c r="L41" s="395">
        <f>Rounding!L113</f>
        <v>17.408191541114306</v>
      </c>
      <c r="M41" s="395">
        <f>Rounding!M113</f>
        <v>18.024392938454298</v>
      </c>
      <c r="N41" s="395">
        <f>Rounding!N113</f>
        <v>19.917020764129731</v>
      </c>
      <c r="O41" s="395">
        <f>Rounding!O113</f>
        <v>22.461513760762816</v>
      </c>
      <c r="P41" s="395">
        <f>Rounding!P113</f>
        <v>29.6912857837589</v>
      </c>
      <c r="Q41" s="395">
        <f>Rounding!Q113</f>
        <v>0</v>
      </c>
      <c r="R41" s="395">
        <f>Rounding!R113</f>
        <v>17.311572695706502</v>
      </c>
      <c r="S41" s="395">
        <f>Rounding!S113</f>
        <v>41.509535406849821</v>
      </c>
      <c r="T41" s="395">
        <f>Rounding!T113</f>
        <v>60.79045930213605</v>
      </c>
      <c r="U41" s="395">
        <f>Rounding!U113</f>
        <v>86.836703085163478</v>
      </c>
      <c r="V41" s="395">
        <f>Rounding!V113</f>
        <v>171.29495762571409</v>
      </c>
      <c r="W41" s="395">
        <f>Rounding!W113</f>
        <v>13.513542855749364</v>
      </c>
      <c r="X41" s="395">
        <f>Rounding!X113</f>
        <v>37.711505566892683</v>
      </c>
      <c r="Y41" s="395">
        <f>Rounding!Y113</f>
        <v>56.992429462178912</v>
      </c>
      <c r="Z41" s="395">
        <f>Rounding!Z113</f>
        <v>83.03867324520634</v>
      </c>
      <c r="AA41" s="395">
        <f>Rounding!AA113</f>
        <v>167.49692778575698</v>
      </c>
      <c r="AB41" s="395">
        <f>Rounding!AB113</f>
        <v>124.75480667074974</v>
      </c>
      <c r="AC41" s="395">
        <f>Rounding!AC113</f>
        <v>298.60972780935435</v>
      </c>
      <c r="AD41" s="395">
        <f>Rounding!AD113</f>
        <v>525.10437900555576</v>
      </c>
      <c r="AE41" s="395">
        <f>Rounding!AE113</f>
        <v>1016.119070985754</v>
      </c>
      <c r="AF41" s="395">
        <f>Rounding!AF113</f>
        <v>1908.1613772236972</v>
      </c>
      <c r="AG41" s="395">
        <f>Rounding!AG113</f>
        <v>0</v>
      </c>
      <c r="AH41" s="395">
        <f>Rounding!AH113</f>
        <v>0</v>
      </c>
      <c r="AI41" s="395">
        <f>Rounding!AI113</f>
        <v>0</v>
      </c>
      <c r="AJ41" s="395">
        <f>Rounding!AJ113</f>
        <v>0</v>
      </c>
      <c r="AK41" s="395">
        <f>Rounding!AL113</f>
        <v>0</v>
      </c>
      <c r="AL41" s="395">
        <f>Rounding!AN113</f>
        <v>78.076882971343878</v>
      </c>
    </row>
    <row r="42" spans="3:40" x14ac:dyDescent="0.25">
      <c r="C42" s="123"/>
      <c r="D42"/>
      <c r="F42" s="398" t="s">
        <v>160</v>
      </c>
      <c r="G42" s="398" t="s">
        <v>271</v>
      </c>
      <c r="H42" t="s">
        <v>730</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12.178555674468734</v>
      </c>
      <c r="S42" s="395">
        <f>Rounding!S114</f>
        <v>12.178555674468734</v>
      </c>
      <c r="T42" s="395">
        <f>Rounding!T114</f>
        <v>12.178555674468734</v>
      </c>
      <c r="U42" s="395">
        <f>Rounding!U114</f>
        <v>12.178555674468734</v>
      </c>
      <c r="V42" s="395">
        <f>Rounding!V114</f>
        <v>12.178555674468734</v>
      </c>
      <c r="W42" s="395">
        <f>Rounding!W114</f>
        <v>10.473387803076831</v>
      </c>
      <c r="X42" s="395">
        <f>Rounding!X114</f>
        <v>10.473387803076831</v>
      </c>
      <c r="Y42" s="395">
        <f>Rounding!Y114</f>
        <v>10.473387803076831</v>
      </c>
      <c r="Z42" s="395">
        <f>Rounding!Z114</f>
        <v>10.473387803076831</v>
      </c>
      <c r="AA42" s="395">
        <f>Rounding!AA114</f>
        <v>10.473387803076831</v>
      </c>
      <c r="AB42" s="395">
        <f>Rounding!AB114</f>
        <v>10.058286050368954</v>
      </c>
      <c r="AC42" s="395">
        <f>Rounding!AC114</f>
        <v>10.058286050368954</v>
      </c>
      <c r="AD42" s="395">
        <f>Rounding!AD114</f>
        <v>10.058286050368954</v>
      </c>
      <c r="AE42" s="395">
        <f>Rounding!AE114</f>
        <v>10.058286050368954</v>
      </c>
      <c r="AF42" s="395">
        <f>Rounding!AF114</f>
        <v>10.058286050368954</v>
      </c>
      <c r="AG42" s="395">
        <f>Rounding!AG114</f>
        <v>0</v>
      </c>
      <c r="AH42" s="395">
        <f>Rounding!AH114</f>
        <v>0</v>
      </c>
      <c r="AI42" s="395">
        <f>Rounding!AI114</f>
        <v>0</v>
      </c>
      <c r="AJ42" s="395">
        <f>Rounding!AJ114</f>
        <v>0</v>
      </c>
      <c r="AK42" s="395">
        <f>Rounding!AL114</f>
        <v>0</v>
      </c>
      <c r="AL42" s="395">
        <f>Rounding!AN114</f>
        <v>0</v>
      </c>
    </row>
    <row r="43" spans="3:40" x14ac:dyDescent="0.25">
      <c r="C43" s="123"/>
      <c r="D43"/>
      <c r="F43" s="398" t="s">
        <v>161</v>
      </c>
      <c r="G43" s="398" t="s">
        <v>271</v>
      </c>
      <c r="H43" t="s">
        <v>730</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12.178555674468734</v>
      </c>
      <c r="S43" s="395">
        <f>Rounding!S115</f>
        <v>12.178555674468734</v>
      </c>
      <c r="T43" s="395">
        <f>Rounding!T115</f>
        <v>12.178555674468734</v>
      </c>
      <c r="U43" s="395">
        <f>Rounding!U115</f>
        <v>12.178555674468734</v>
      </c>
      <c r="V43" s="395">
        <f>Rounding!V115</f>
        <v>12.178555674468734</v>
      </c>
      <c r="W43" s="395">
        <f>Rounding!W115</f>
        <v>10.473387803076831</v>
      </c>
      <c r="X43" s="395">
        <f>Rounding!X115</f>
        <v>10.473387803076831</v>
      </c>
      <c r="Y43" s="395">
        <f>Rounding!Y115</f>
        <v>10.473387803076831</v>
      </c>
      <c r="Z43" s="395">
        <f>Rounding!Z115</f>
        <v>10.473387803076831</v>
      </c>
      <c r="AA43" s="395">
        <f>Rounding!AA115</f>
        <v>10.473387803076831</v>
      </c>
      <c r="AB43" s="395">
        <f>Rounding!AB115</f>
        <v>10.058286050368954</v>
      </c>
      <c r="AC43" s="395">
        <f>Rounding!AC115</f>
        <v>10.058286050368954</v>
      </c>
      <c r="AD43" s="395">
        <f>Rounding!AD115</f>
        <v>10.058286050368954</v>
      </c>
      <c r="AE43" s="395">
        <f>Rounding!AE115</f>
        <v>10.058286050368954</v>
      </c>
      <c r="AF43" s="395">
        <f>Rounding!AF115</f>
        <v>10.058286050368954</v>
      </c>
      <c r="AG43" s="395">
        <f>Rounding!AG115</f>
        <v>0</v>
      </c>
      <c r="AH43" s="395">
        <f>Rounding!AH115</f>
        <v>0</v>
      </c>
      <c r="AI43" s="395">
        <f>Rounding!AI115</f>
        <v>0</v>
      </c>
      <c r="AJ43" s="395">
        <f>Rounding!AJ115</f>
        <v>0</v>
      </c>
      <c r="AK43" s="395">
        <f>Rounding!AL115</f>
        <v>0</v>
      </c>
      <c r="AL43" s="395">
        <f>Rounding!AN115</f>
        <v>0</v>
      </c>
    </row>
    <row r="44" spans="3:40" x14ac:dyDescent="0.25">
      <c r="C44" s="123"/>
      <c r="D44"/>
      <c r="F44" s="400" t="s">
        <v>162</v>
      </c>
      <c r="G44" s="400" t="s">
        <v>272</v>
      </c>
      <c r="H44" s="270" t="s">
        <v>730</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0.2164864146325251</v>
      </c>
      <c r="S44" s="401">
        <f>Rounding!S116</f>
        <v>0.2164864146325251</v>
      </c>
      <c r="T44" s="401">
        <f>Rounding!T116</f>
        <v>0.2164864146325251</v>
      </c>
      <c r="U44" s="401">
        <f>Rounding!U116</f>
        <v>0.2164864146325251</v>
      </c>
      <c r="V44" s="401">
        <f>Rounding!V116</f>
        <v>0.2164864146325251</v>
      </c>
      <c r="W44" s="401">
        <f>Rounding!W116</f>
        <v>0.11781123493667237</v>
      </c>
      <c r="X44" s="401">
        <f>Rounding!X116</f>
        <v>0.11781123493667237</v>
      </c>
      <c r="Y44" s="401">
        <f>Rounding!Y116</f>
        <v>0.11781123493667237</v>
      </c>
      <c r="Z44" s="401">
        <f>Rounding!Z116</f>
        <v>0.11781123493667237</v>
      </c>
      <c r="AA44" s="401">
        <f>Rounding!AA116</f>
        <v>0.11781123493667237</v>
      </c>
      <c r="AB44" s="401">
        <f>Rounding!AB116</f>
        <v>8.1663719751251224E-2</v>
      </c>
      <c r="AC44" s="401">
        <f>Rounding!AC116</f>
        <v>8.1663719751251224E-2</v>
      </c>
      <c r="AD44" s="401">
        <f>Rounding!AD116</f>
        <v>8.1663719751251224E-2</v>
      </c>
      <c r="AE44" s="401">
        <f>Rounding!AE116</f>
        <v>8.1663719751251224E-2</v>
      </c>
      <c r="AF44" s="401">
        <f>Rounding!AF116</f>
        <v>8.1663719751251224E-2</v>
      </c>
      <c r="AG44" s="401">
        <f>Rounding!AG116</f>
        <v>0</v>
      </c>
      <c r="AH44" s="401">
        <f>Rounding!AH116</f>
        <v>0</v>
      </c>
      <c r="AI44" s="401">
        <f>Rounding!AI116</f>
        <v>0</v>
      </c>
      <c r="AJ44" s="401">
        <f>Rounding!AJ116</f>
        <v>0.26363615332089374</v>
      </c>
      <c r="AK44" s="401">
        <f>Rounding!AL116</f>
        <v>0.18939763111613869</v>
      </c>
      <c r="AL44" s="401">
        <f>Rounding!AN116</f>
        <v>0.15857605975235456</v>
      </c>
    </row>
    <row r="45" spans="3:40" x14ac:dyDescent="0.25">
      <c r="D45"/>
      <c r="E45"/>
      <c r="F45" s="402"/>
    </row>
    <row r="46" spans="3:40" x14ac:dyDescent="0.25">
      <c r="D46" s="86" t="s">
        <v>850</v>
      </c>
      <c r="E46"/>
    </row>
    <row r="48" spans="3:40" ht="60" customHeight="1" x14ac:dyDescent="0.25">
      <c r="D48"/>
      <c r="E48"/>
      <c r="F48" s="402"/>
      <c r="J48" s="309" t="s">
        <v>1116</v>
      </c>
      <c r="K48" s="309" t="s">
        <v>785</v>
      </c>
      <c r="L48" s="309" t="s">
        <v>1117</v>
      </c>
      <c r="M48" s="309" t="s">
        <v>1118</v>
      </c>
      <c r="N48" s="309" t="s">
        <v>1119</v>
      </c>
      <c r="O48" s="309" t="s">
        <v>1120</v>
      </c>
      <c r="P48" s="309" t="s">
        <v>1121</v>
      </c>
      <c r="Q48" s="309" t="s">
        <v>786</v>
      </c>
      <c r="R48" s="309" t="s">
        <v>862</v>
      </c>
      <c r="S48" s="309" t="s">
        <v>863</v>
      </c>
      <c r="T48" s="309" t="s">
        <v>864</v>
      </c>
      <c r="U48" s="309" t="s">
        <v>865</v>
      </c>
      <c r="V48" s="309" t="s">
        <v>866</v>
      </c>
      <c r="W48" s="309" t="s">
        <v>867</v>
      </c>
      <c r="X48" s="309" t="s">
        <v>868</v>
      </c>
      <c r="Y48" s="309" t="s">
        <v>869</v>
      </c>
      <c r="Z48" s="309" t="s">
        <v>870</v>
      </c>
      <c r="AA48" s="309" t="s">
        <v>871</v>
      </c>
      <c r="AB48" s="309" t="s">
        <v>872</v>
      </c>
      <c r="AC48" s="309" t="s">
        <v>873</v>
      </c>
      <c r="AD48" s="309" t="s">
        <v>874</v>
      </c>
      <c r="AE48" s="309" t="s">
        <v>875</v>
      </c>
      <c r="AF48" s="309" t="s">
        <v>876</v>
      </c>
      <c r="AG48" s="309" t="s">
        <v>795</v>
      </c>
      <c r="AH48" s="309" t="s">
        <v>787</v>
      </c>
      <c r="AI48" s="309" t="s">
        <v>788</v>
      </c>
      <c r="AJ48" s="309" t="s">
        <v>789</v>
      </c>
      <c r="AK48" s="309" t="s">
        <v>790</v>
      </c>
      <c r="AL48" s="309" t="s">
        <v>791</v>
      </c>
    </row>
    <row r="49" spans="2:40" x14ac:dyDescent="0.25">
      <c r="D49"/>
      <c r="E49" t="s">
        <v>847</v>
      </c>
      <c r="F49" s="402"/>
      <c r="G49" t="s">
        <v>270</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25">
      <c r="D50"/>
      <c r="E50"/>
      <c r="F50" s="402"/>
    </row>
    <row r="51" spans="2:40" x14ac:dyDescent="0.25">
      <c r="C51" s="93" t="str">
        <f ca="1">INDEX('Version control'!$H$41:$H$64,MATCH($A$1,'Version control'!$F$41:$F$64,0),1)&amp;"-D: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25">
      <c r="C52" s="2"/>
      <c r="D52"/>
    </row>
    <row r="53" spans="2:40" x14ac:dyDescent="0.25">
      <c r="D53" s="86" t="s">
        <v>772</v>
      </c>
      <c r="E53"/>
    </row>
    <row r="55" spans="2:40" x14ac:dyDescent="0.25">
      <c r="D55"/>
      <c r="F55" s="2"/>
      <c r="G55" s="2"/>
      <c r="H55" s="2"/>
      <c r="I55" s="2"/>
      <c r="J55" s="107" t="s">
        <v>191</v>
      </c>
      <c r="K55" s="107" t="s">
        <v>192</v>
      </c>
      <c r="L55" s="107" t="s">
        <v>193</v>
      </c>
      <c r="M55" s="107" t="s">
        <v>194</v>
      </c>
      <c r="N55" s="107" t="s">
        <v>195</v>
      </c>
      <c r="O55" s="107" t="s">
        <v>196</v>
      </c>
      <c r="P55" s="107" t="s">
        <v>197</v>
      </c>
      <c r="Q55" s="107" t="s">
        <v>198</v>
      </c>
      <c r="R55" s="107" t="s">
        <v>199</v>
      </c>
      <c r="S55" s="107" t="s">
        <v>334</v>
      </c>
      <c r="T55" s="107" t="s">
        <v>335</v>
      </c>
    </row>
    <row r="56" spans="2:40" x14ac:dyDescent="0.25">
      <c r="D56"/>
      <c r="E56" s="403" t="s">
        <v>783</v>
      </c>
      <c r="F56" s="403"/>
      <c r="G56" s="101" t="s">
        <v>167</v>
      </c>
      <c r="H56" s="96"/>
      <c r="I56" s="96"/>
      <c r="J56" s="404"/>
      <c r="K56" s="405">
        <f t="array" ref="K56:O56">TRANSPOSE('System peak demand'!H227:H231)</f>
        <v>5.3682000000000007E-2</v>
      </c>
      <c r="L56" s="405">
        <v>5.3682000000000007E-2</v>
      </c>
      <c r="M56" s="405">
        <v>0.13270815000000002</v>
      </c>
      <c r="N56" s="405">
        <v>0.13270815000000002</v>
      </c>
      <c r="O56" s="405">
        <v>5.3682000000000007E-2</v>
      </c>
      <c r="P56" s="404"/>
      <c r="Q56" s="404"/>
      <c r="R56" s="404"/>
      <c r="S56" s="404"/>
      <c r="T56" s="404"/>
    </row>
    <row r="57" spans="2:40" x14ac:dyDescent="0.25">
      <c r="D57"/>
      <c r="E57" s="406" t="s">
        <v>784</v>
      </c>
      <c r="F57" s="406"/>
      <c r="G57" s="145" t="s">
        <v>477</v>
      </c>
      <c r="H57" s="145"/>
      <c r="I57" s="145"/>
      <c r="J57" s="407">
        <f t="array" ref="J57:O57">TRANSPOSE('System peak demand'!H154:H159)</f>
        <v>2222220.1682747323</v>
      </c>
      <c r="K57" s="407">
        <v>2187860.1234774813</v>
      </c>
      <c r="L57" s="407">
        <v>2179152.222488516</v>
      </c>
      <c r="M57" s="407">
        <v>2115430.2020478016</v>
      </c>
      <c r="N57" s="407">
        <v>2102962.0476153004</v>
      </c>
      <c r="O57" s="407">
        <v>0</v>
      </c>
      <c r="P57" s="238"/>
      <c r="Q57" s="238"/>
      <c r="R57" s="238"/>
      <c r="S57" s="238"/>
      <c r="T57" s="238"/>
    </row>
    <row r="58" spans="2:40" x14ac:dyDescent="0.25">
      <c r="D58"/>
      <c r="E58" s="406" t="s">
        <v>773</v>
      </c>
      <c r="F58" s="406"/>
      <c r="G58" s="145" t="s">
        <v>277</v>
      </c>
      <c r="H58" s="145"/>
      <c r="I58" s="145"/>
      <c r="J58" s="238"/>
      <c r="K58" s="407">
        <f>'Unit costs'!L108</f>
        <v>566423151.07452452</v>
      </c>
      <c r="L58" s="407">
        <f>'Unit costs'!M108</f>
        <v>81135289.433103189</v>
      </c>
      <c r="M58" s="407">
        <f>'Unit costs'!N108</f>
        <v>267224229.2504352</v>
      </c>
      <c r="N58" s="407">
        <f>'Unit costs'!O108</f>
        <v>254439101.11140931</v>
      </c>
      <c r="O58" s="407">
        <f>'Unit costs'!P108</f>
        <v>0</v>
      </c>
      <c r="P58" s="407">
        <f>'Unit costs'!Q108</f>
        <v>1210352014.8238721</v>
      </c>
      <c r="Q58" s="407">
        <f>'Unit costs'!R108</f>
        <v>438396972.43351477</v>
      </c>
      <c r="R58" s="407">
        <f>'Unit costs'!S108</f>
        <v>822743144.32502246</v>
      </c>
      <c r="S58" s="407">
        <f>'Unit costs'!T108</f>
        <v>568871475.73806357</v>
      </c>
      <c r="T58" s="407">
        <f>'Unit costs'!U108</f>
        <v>14678694.823779795</v>
      </c>
    </row>
    <row r="59" spans="2:40" x14ac:dyDescent="0.25">
      <c r="D59"/>
      <c r="E59" s="408" t="s">
        <v>350</v>
      </c>
      <c r="F59" s="408"/>
      <c r="G59" s="95" t="s">
        <v>283</v>
      </c>
      <c r="H59" s="95"/>
      <c r="I59" s="95"/>
      <c r="J59" s="392">
        <f>'Load &amp; loss characteristics'!K29</f>
        <v>1</v>
      </c>
      <c r="K59" s="392">
        <f>'Load &amp; loss characteristics'!L29</f>
        <v>1.0009999999999999</v>
      </c>
      <c r="L59" s="392">
        <f>'Load &amp; loss characteristics'!M29</f>
        <v>1.0049999999999999</v>
      </c>
      <c r="M59" s="392">
        <f>'Load &amp; loss characteristics'!N29</f>
        <v>1.012</v>
      </c>
      <c r="N59" s="392">
        <f>'Load &amp; loss characteristics'!O29</f>
        <v>1.018</v>
      </c>
      <c r="O59" s="392">
        <f>'Load &amp; loss characteristics'!P29</f>
        <v>1.018</v>
      </c>
      <c r="P59" s="117"/>
      <c r="Q59" s="117"/>
      <c r="R59" s="117"/>
      <c r="S59" s="117"/>
      <c r="T59" s="117"/>
    </row>
    <row r="60" spans="2:40" x14ac:dyDescent="0.25">
      <c r="D60"/>
      <c r="E60"/>
      <c r="F60" s="402"/>
    </row>
    <row r="61" spans="2:40" x14ac:dyDescent="0.25">
      <c r="B61" s="85" t="s">
        <v>774</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25">
      <c r="C63" s="93" t="str">
        <f ca="1">INDEX('Version control'!$H$41:$H$64,MATCH($A$1,'Version control'!$F$41:$F$64,0),1)&amp;"-E: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25">
      <c r="D65" s="86" t="s">
        <v>775</v>
      </c>
      <c r="E65"/>
    </row>
    <row r="67" spans="3:40" ht="45" x14ac:dyDescent="0.25">
      <c r="F67" s="2"/>
      <c r="G67" s="2"/>
      <c r="H67" s="2"/>
      <c r="I67" s="2"/>
      <c r="J67" s="309" t="s">
        <v>1116</v>
      </c>
      <c r="K67" s="309" t="s">
        <v>785</v>
      </c>
      <c r="L67" s="309" t="s">
        <v>1117</v>
      </c>
      <c r="M67" s="309" t="s">
        <v>1118</v>
      </c>
      <c r="N67" s="309" t="s">
        <v>1119</v>
      </c>
      <c r="O67" s="309" t="s">
        <v>1120</v>
      </c>
      <c r="P67" s="309" t="s">
        <v>1121</v>
      </c>
      <c r="Q67" s="309" t="s">
        <v>786</v>
      </c>
      <c r="R67" s="309" t="s">
        <v>862</v>
      </c>
      <c r="S67" s="309" t="s">
        <v>863</v>
      </c>
      <c r="T67" s="309" t="s">
        <v>864</v>
      </c>
      <c r="U67" s="309" t="s">
        <v>865</v>
      </c>
      <c r="V67" s="309" t="s">
        <v>866</v>
      </c>
      <c r="W67" s="309" t="s">
        <v>867</v>
      </c>
      <c r="X67" s="309" t="s">
        <v>868</v>
      </c>
      <c r="Y67" s="309" t="s">
        <v>869</v>
      </c>
      <c r="Z67" s="309" t="s">
        <v>870</v>
      </c>
      <c r="AA67" s="309" t="s">
        <v>871</v>
      </c>
      <c r="AB67" s="309" t="s">
        <v>872</v>
      </c>
      <c r="AC67" s="309" t="s">
        <v>873</v>
      </c>
      <c r="AD67" s="309" t="s">
        <v>874</v>
      </c>
      <c r="AE67" s="309" t="s">
        <v>875</v>
      </c>
      <c r="AF67" s="309" t="s">
        <v>876</v>
      </c>
      <c r="AG67" s="309" t="s">
        <v>795</v>
      </c>
      <c r="AH67" s="309" t="s">
        <v>787</v>
      </c>
      <c r="AI67" s="309" t="s">
        <v>788</v>
      </c>
      <c r="AJ67" s="309" t="s">
        <v>789</v>
      </c>
      <c r="AK67" s="309" t="s">
        <v>790</v>
      </c>
      <c r="AL67" s="309" t="s">
        <v>791</v>
      </c>
    </row>
    <row r="68" spans="3:40" x14ac:dyDescent="0.25">
      <c r="C68" s="123"/>
      <c r="D68"/>
      <c r="E68" s="96" t="s">
        <v>728</v>
      </c>
      <c r="F68" s="96"/>
      <c r="G68" s="144" t="s">
        <v>277</v>
      </c>
      <c r="H68" s="96" t="s">
        <v>730</v>
      </c>
      <c r="I68" s="96"/>
      <c r="J68" s="394">
        <f>'Net revenue summary'!J140</f>
        <v>137.75477425234411</v>
      </c>
      <c r="K68" s="394">
        <f>'Net revenue summary'!K140</f>
        <v>0</v>
      </c>
      <c r="L68" s="394">
        <f>'Net revenue summary'!L140</f>
        <v>427.58741559410544</v>
      </c>
      <c r="M68" s="394">
        <f>'Net revenue summary'!M140</f>
        <v>126.12191132390537</v>
      </c>
      <c r="N68" s="394">
        <f>'Net revenue summary'!N140</f>
        <v>320.26626121056847</v>
      </c>
      <c r="O68" s="394">
        <f>'Net revenue summary'!O140</f>
        <v>581.66783670373673</v>
      </c>
      <c r="P68" s="394">
        <f>'Net revenue summary'!P140</f>
        <v>1320.944654315583</v>
      </c>
      <c r="Q68" s="394">
        <f>'Net revenue summary'!Q140</f>
        <v>0</v>
      </c>
      <c r="R68" s="394">
        <f>'Net revenue summary'!R140</f>
        <v>2099.586666641449</v>
      </c>
      <c r="S68" s="394">
        <f>'Net revenue summary'!S140</f>
        <v>3715.2192247275766</v>
      </c>
      <c r="T68" s="394">
        <f>'Net revenue summary'!T140</f>
        <v>8331.3555705548224</v>
      </c>
      <c r="U68" s="394">
        <f>'Net revenue summary'!U140</f>
        <v>13245.018527412709</v>
      </c>
      <c r="V68" s="394">
        <f>'Net revenue summary'!V140</f>
        <v>25165.128464135043</v>
      </c>
      <c r="W68" s="394">
        <f>'Net revenue summary'!W140</f>
        <v>3697.2660230493334</v>
      </c>
      <c r="X68" s="394">
        <f>'Net revenue summary'!X140</f>
        <v>3322.5349584109526</v>
      </c>
      <c r="Y68" s="394">
        <f>'Net revenue summary'!Y140</f>
        <v>6880.3373490578397</v>
      </c>
      <c r="Z68" s="394">
        <f>'Net revenue summary'!Z140</f>
        <v>11232.069251531544</v>
      </c>
      <c r="AA68" s="394">
        <f>'Net revenue summary'!AA140</f>
        <v>23947.530682532448</v>
      </c>
      <c r="AB68" s="394">
        <f>'Net revenue summary'!AB140</f>
        <v>8289.7512124758632</v>
      </c>
      <c r="AC68" s="394">
        <f>'Net revenue summary'!AC140</f>
        <v>15304.060065205838</v>
      </c>
      <c r="AD68" s="394">
        <f>'Net revenue summary'!AD140</f>
        <v>37903.686642230612</v>
      </c>
      <c r="AE68" s="394">
        <f>'Net revenue summary'!AE140</f>
        <v>77801.485717211021</v>
      </c>
      <c r="AF68" s="394">
        <f>'Net revenue summary'!AF140</f>
        <v>182250.77279444668</v>
      </c>
      <c r="AG68" s="394">
        <f>'Net revenue summary'!AG140</f>
        <v>1798.789349965899</v>
      </c>
      <c r="AH68" s="394">
        <f>'Net revenue summary'!AH140</f>
        <v>0</v>
      </c>
      <c r="AI68" s="394">
        <f>'Net revenue summary'!AI140</f>
        <v>0</v>
      </c>
      <c r="AJ68" s="394">
        <f>'Net revenue summary'!AJ140</f>
        <v>0</v>
      </c>
      <c r="AK68" s="394">
        <f>'Net revenue summary'!AL140</f>
        <v>0</v>
      </c>
      <c r="AL68" s="394">
        <f>'Net revenue summary'!AN140</f>
        <v>-17889.38263606227</v>
      </c>
    </row>
    <row r="69" spans="3:40" x14ac:dyDescent="0.25">
      <c r="C69" s="123"/>
      <c r="D69"/>
      <c r="E69" s="145" t="s">
        <v>733</v>
      </c>
      <c r="F69" s="145"/>
      <c r="G69" s="356" t="s">
        <v>269</v>
      </c>
      <c r="H69" s="409" t="s">
        <v>730</v>
      </c>
      <c r="I69" s="409"/>
      <c r="J69" s="410">
        <f>'Net revenue summary'!J146</f>
        <v>4.0418614624587885</v>
      </c>
      <c r="K69" s="410">
        <f>'Net revenue summary'!K146</f>
        <v>0.41858591259423517</v>
      </c>
      <c r="L69" s="410">
        <f>'Net revenue summary'!L146</f>
        <v>2.753723967824433</v>
      </c>
      <c r="M69" s="410">
        <f>'Net revenue summary'!M146</f>
        <v>5.3518557209713373</v>
      </c>
      <c r="N69" s="410">
        <f>'Net revenue summary'!N146</f>
        <v>3.3129666143604908</v>
      </c>
      <c r="O69" s="410">
        <f>'Net revenue summary'!O146</f>
        <v>2.9809774870712218</v>
      </c>
      <c r="P69" s="410">
        <f>'Net revenue summary'!P146</f>
        <v>2.7897089222662861</v>
      </c>
      <c r="Q69" s="410">
        <f>'Net revenue summary'!Q146</f>
        <v>0.47210972185120204</v>
      </c>
      <c r="R69" s="410">
        <f>'Net revenue summary'!R146</f>
        <v>7.1597365006562699</v>
      </c>
      <c r="S69" s="410">
        <f>'Net revenue summary'!S146</f>
        <v>4.0669517379111273</v>
      </c>
      <c r="T69" s="410">
        <f>'Net revenue summary'!T146</f>
        <v>5.0916005360761751</v>
      </c>
      <c r="U69" s="410">
        <f>'Net revenue summary'!U146</f>
        <v>5.266793590026519</v>
      </c>
      <c r="V69" s="410">
        <f>'Net revenue summary'!V146</f>
        <v>5.4456368616101107</v>
      </c>
      <c r="W69" s="410">
        <f>'Net revenue summary'!W146</f>
        <v>5.4638145518622325</v>
      </c>
      <c r="X69" s="410">
        <f>'Net revenue summary'!X146</f>
        <v>2.7003237027396656</v>
      </c>
      <c r="Y69" s="410">
        <f>'Net revenue summary'!Y146</f>
        <v>3.2616295052439508</v>
      </c>
      <c r="Z69" s="410">
        <f>'Net revenue summary'!Z146</f>
        <v>3.2838072520212327</v>
      </c>
      <c r="AA69" s="410">
        <f>'Net revenue summary'!AA146</f>
        <v>3.2629052486974106</v>
      </c>
      <c r="AB69" s="410">
        <f>'Net revenue summary'!AB146</f>
        <v>8.9815561600255709</v>
      </c>
      <c r="AC69" s="410">
        <f>'Net revenue summary'!AC146</f>
        <v>2.2716093653288469</v>
      </c>
      <c r="AD69" s="410">
        <f>'Net revenue summary'!AD146</f>
        <v>2.4329771291602511</v>
      </c>
      <c r="AE69" s="410">
        <f>'Net revenue summary'!AE146</f>
        <v>2.2087634178515461</v>
      </c>
      <c r="AF69" s="410">
        <f>'Net revenue summary'!AF146</f>
        <v>2.6001330097923567</v>
      </c>
      <c r="AG69" s="410">
        <f>'Net revenue summary'!AG146</f>
        <v>4.0735933630445116</v>
      </c>
      <c r="AH69" s="410">
        <f>'Net revenue summary'!AH146</f>
        <v>-1.8105046069397848</v>
      </c>
      <c r="AI69" s="410">
        <f>'Net revenue summary'!AI146</f>
        <v>-1.1813068394428272</v>
      </c>
      <c r="AJ69" s="410">
        <f>'Net revenue summary'!AJ146</f>
        <v>-1.3145651093824264</v>
      </c>
      <c r="AK69" s="410">
        <f>'Net revenue summary'!AL146</f>
        <v>0</v>
      </c>
      <c r="AL69" s="410">
        <f>'Net revenue summary'!AN146</f>
        <v>-0.88323894670501024</v>
      </c>
    </row>
    <row r="70" spans="3:40" x14ac:dyDescent="0.25">
      <c r="C70" s="123"/>
      <c r="D70"/>
      <c r="E70" s="145" t="s">
        <v>742</v>
      </c>
      <c r="F70" s="145"/>
      <c r="G70" s="145" t="s">
        <v>167</v>
      </c>
      <c r="H70" s="145" t="s">
        <v>730</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25">
      <c r="C71" s="123"/>
      <c r="D71"/>
      <c r="E71" s="95" t="s">
        <v>743</v>
      </c>
      <c r="F71" s="95"/>
      <c r="G71" s="95" t="s">
        <v>269</v>
      </c>
      <c r="H71" s="266" t="s">
        <v>730</v>
      </c>
      <c r="I71" s="266"/>
      <c r="J71" s="412">
        <f>'Net revenue summary'!J174</f>
        <v>4.0418614624587885</v>
      </c>
      <c r="K71" s="412">
        <f>'Net revenue summary'!K174</f>
        <v>0.41858591259423517</v>
      </c>
      <c r="L71" s="412">
        <f>'Net revenue summary'!L174</f>
        <v>2.7537239678244325</v>
      </c>
      <c r="M71" s="412">
        <f>'Net revenue summary'!M174</f>
        <v>5.3518557209713373</v>
      </c>
      <c r="N71" s="412">
        <f>'Net revenue summary'!N174</f>
        <v>3.3129666143604908</v>
      </c>
      <c r="O71" s="412">
        <f>'Net revenue summary'!O174</f>
        <v>2.9809774870712218</v>
      </c>
      <c r="P71" s="412">
        <f>'Net revenue summary'!P174</f>
        <v>2.7897089222662861</v>
      </c>
      <c r="Q71" s="412">
        <f>'Net revenue summary'!Q174</f>
        <v>0.47210972185120204</v>
      </c>
      <c r="R71" s="412">
        <f>'Net revenue summary'!R174</f>
        <v>7.1597365006562699</v>
      </c>
      <c r="S71" s="412">
        <f>'Net revenue summary'!S174</f>
        <v>4.0669517379111273</v>
      </c>
      <c r="T71" s="412">
        <f>'Net revenue summary'!T174</f>
        <v>5.0916005360761751</v>
      </c>
      <c r="U71" s="412">
        <f>'Net revenue summary'!U174</f>
        <v>5.266793590026519</v>
      </c>
      <c r="V71" s="412">
        <f>'Net revenue summary'!V174</f>
        <v>5.4456368616101107</v>
      </c>
      <c r="W71" s="412">
        <f>'Net revenue summary'!W174</f>
        <v>5.4638145518622325</v>
      </c>
      <c r="X71" s="412">
        <f>'Net revenue summary'!X174</f>
        <v>2.7003237027396656</v>
      </c>
      <c r="Y71" s="412">
        <f>'Net revenue summary'!Y174</f>
        <v>3.2616295052439512</v>
      </c>
      <c r="Z71" s="412">
        <f>'Net revenue summary'!Z174</f>
        <v>3.2838072520212327</v>
      </c>
      <c r="AA71" s="412">
        <f>'Net revenue summary'!AA174</f>
        <v>3.2629052486974102</v>
      </c>
      <c r="AB71" s="412">
        <f>'Net revenue summary'!AB174</f>
        <v>8.9815561600255727</v>
      </c>
      <c r="AC71" s="412">
        <f>'Net revenue summary'!AC174</f>
        <v>2.2716093653288469</v>
      </c>
      <c r="AD71" s="412">
        <f>'Net revenue summary'!AD174</f>
        <v>2.4329771291602511</v>
      </c>
      <c r="AE71" s="412">
        <f>'Net revenue summary'!AE174</f>
        <v>2.2087634178515456</v>
      </c>
      <c r="AF71" s="412">
        <f>'Net revenue summary'!AF174</f>
        <v>2.6001330097923567</v>
      </c>
      <c r="AG71" s="412">
        <f>'Net revenue summary'!AG174</f>
        <v>4.0735933630445116</v>
      </c>
      <c r="AH71" s="412">
        <f>'Net revenue summary'!AH174</f>
        <v>-1.8105046069397848</v>
      </c>
      <c r="AI71" s="412">
        <f>'Net revenue summary'!AI174</f>
        <v>-1.181306839442827</v>
      </c>
      <c r="AJ71" s="412">
        <f>'Net revenue summary'!AJ174</f>
        <v>-1.3145651093824264</v>
      </c>
      <c r="AK71" s="412" t="str">
        <f>'Net revenue summary'!AL174</f>
        <v>-</v>
      </c>
      <c r="AL71" s="412">
        <f>'Net revenue summary'!AN174</f>
        <v>-0.88323894670501024</v>
      </c>
    </row>
    <row r="72" spans="3:40" x14ac:dyDescent="0.25">
      <c r="C72" s="123"/>
    </row>
    <row r="73" spans="3:40" x14ac:dyDescent="0.25">
      <c r="C73" s="93" t="str">
        <f ca="1">INDEX('Version control'!$H$41:$H$64,MATCH($A$1,'Version control'!$F$41:$F$64,0),1)&amp;"-F: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25">
      <c r="D75" s="86" t="s">
        <v>776</v>
      </c>
      <c r="E75"/>
    </row>
    <row r="76" spans="3:40" x14ac:dyDescent="0.25">
      <c r="D76" s="86" t="s">
        <v>777</v>
      </c>
      <c r="E76"/>
    </row>
    <row r="78" spans="3:40" ht="45" x14ac:dyDescent="0.25">
      <c r="E78"/>
      <c r="J78" s="309" t="s">
        <v>1116</v>
      </c>
      <c r="K78" s="309" t="s">
        <v>785</v>
      </c>
      <c r="L78" s="309" t="s">
        <v>1117</v>
      </c>
      <c r="M78" s="309" t="s">
        <v>1118</v>
      </c>
      <c r="N78" s="309" t="s">
        <v>1119</v>
      </c>
      <c r="O78" s="309" t="s">
        <v>1120</v>
      </c>
      <c r="P78" s="309" t="s">
        <v>1121</v>
      </c>
      <c r="Q78" s="309" t="s">
        <v>786</v>
      </c>
      <c r="R78" s="309" t="s">
        <v>862</v>
      </c>
      <c r="S78" s="309" t="s">
        <v>863</v>
      </c>
      <c r="T78" s="309" t="s">
        <v>864</v>
      </c>
      <c r="U78" s="309" t="s">
        <v>865</v>
      </c>
      <c r="V78" s="309" t="s">
        <v>866</v>
      </c>
      <c r="W78" s="309" t="s">
        <v>867</v>
      </c>
      <c r="X78" s="309" t="s">
        <v>868</v>
      </c>
      <c r="Y78" s="309" t="s">
        <v>869</v>
      </c>
      <c r="Z78" s="309" t="s">
        <v>870</v>
      </c>
      <c r="AA78" s="309" t="s">
        <v>871</v>
      </c>
      <c r="AB78" s="309" t="s">
        <v>872</v>
      </c>
      <c r="AC78" s="309" t="s">
        <v>873</v>
      </c>
      <c r="AD78" s="309" t="s">
        <v>874</v>
      </c>
      <c r="AE78" s="309" t="s">
        <v>875</v>
      </c>
      <c r="AF78" s="309" t="s">
        <v>876</v>
      </c>
      <c r="AG78" s="309" t="s">
        <v>795</v>
      </c>
      <c r="AH78" s="309" t="s">
        <v>787</v>
      </c>
      <c r="AI78" s="309" t="s">
        <v>788</v>
      </c>
      <c r="AJ78" s="309" t="s">
        <v>789</v>
      </c>
      <c r="AK78" s="309" t="s">
        <v>790</v>
      </c>
      <c r="AL78" s="309" t="s">
        <v>791</v>
      </c>
    </row>
    <row r="79" spans="3:40" x14ac:dyDescent="0.25">
      <c r="C79" s="123"/>
      <c r="D79"/>
      <c r="E79" s="95" t="s">
        <v>751</v>
      </c>
      <c r="F79" s="95"/>
      <c r="G79" s="98" t="s">
        <v>167</v>
      </c>
      <c r="H79" s="95" t="s">
        <v>405</v>
      </c>
      <c r="I79" s="95"/>
      <c r="J79" s="413">
        <f>'Net revenue summary'!J206</f>
        <v>0.38335883395492915</v>
      </c>
      <c r="K79" s="413">
        <f>'Net revenue summary'!K206</f>
        <v>0</v>
      </c>
      <c r="L79" s="413">
        <f>'Net revenue summary'!L206</f>
        <v>0.38343039127057388</v>
      </c>
      <c r="M79" s="413">
        <f>'Net revenue summary'!M206</f>
        <v>0.38342384354978049</v>
      </c>
      <c r="N79" s="413">
        <f>'Net revenue summary'!N206</f>
        <v>0.38341604769578985</v>
      </c>
      <c r="O79" s="413">
        <f>'Net revenue summary'!O206</f>
        <v>0.38337668715122597</v>
      </c>
      <c r="P79" s="413">
        <f>'Net revenue summary'!P206</f>
        <v>0.38337420078409773</v>
      </c>
      <c r="Q79" s="413">
        <f>'Net revenue summary'!Q206</f>
        <v>0</v>
      </c>
      <c r="R79" s="413">
        <f>'Net revenue summary'!R206</f>
        <v>0.38339646490694101</v>
      </c>
      <c r="S79" s="413">
        <f>'Net revenue summary'!S206</f>
        <v>0.38338393333192639</v>
      </c>
      <c r="T79" s="413">
        <f>'Net revenue summary'!T206</f>
        <v>0.38339121966433182</v>
      </c>
      <c r="U79" s="413">
        <f>'Net revenue summary'!U206</f>
        <v>0.38339374165407075</v>
      </c>
      <c r="V79" s="413">
        <f>'Net revenue summary'!V206</f>
        <v>0.38339379001162804</v>
      </c>
      <c r="W79" s="414"/>
      <c r="X79" s="414"/>
      <c r="Y79" s="414"/>
      <c r="Z79" s="414"/>
      <c r="AA79" s="414"/>
      <c r="AB79" s="414"/>
      <c r="AC79" s="414"/>
      <c r="AD79" s="414"/>
      <c r="AE79" s="414"/>
      <c r="AF79" s="414"/>
      <c r="AG79" s="413">
        <f>'Net revenue summary'!AG206</f>
        <v>0.38349389579081355</v>
      </c>
      <c r="AH79" s="413">
        <f>'Net revenue summary'!AH206</f>
        <v>0</v>
      </c>
      <c r="AI79" s="414"/>
      <c r="AJ79" s="413">
        <f>'Net revenue summary'!AJ206</f>
        <v>0</v>
      </c>
      <c r="AK79" s="414"/>
      <c r="AL79" s="414"/>
    </row>
    <row r="80" spans="3:40" x14ac:dyDescent="0.25">
      <c r="C80" s="123"/>
      <c r="D80"/>
      <c r="E80" s="96" t="s">
        <v>752</v>
      </c>
      <c r="F80" s="96"/>
      <c r="G80" s="101" t="s">
        <v>167</v>
      </c>
      <c r="H80" s="96" t="s">
        <v>406</v>
      </c>
      <c r="I80" s="96"/>
      <c r="J80" s="415">
        <f>'Net revenue summary'!J207</f>
        <v>0.58806860894906599</v>
      </c>
      <c r="K80" s="415">
        <f>'Net revenue summary'!K207</f>
        <v>0</v>
      </c>
      <c r="L80" s="415">
        <f>'Net revenue summary'!L207</f>
        <v>0.58816222595185552</v>
      </c>
      <c r="M80" s="415">
        <f>'Net revenue summary'!M207</f>
        <v>0.58820174370437694</v>
      </c>
      <c r="N80" s="415">
        <f>'Net revenue summary'!N207</f>
        <v>0.58820791179683785</v>
      </c>
      <c r="O80" s="415">
        <f>'Net revenue summary'!O207</f>
        <v>0.58816398622470578</v>
      </c>
      <c r="P80" s="415">
        <f>'Net revenue summary'!P207</f>
        <v>0.58815792689323154</v>
      </c>
      <c r="Q80" s="415">
        <f>'Net revenue summary'!Q207</f>
        <v>0</v>
      </c>
      <c r="R80" s="415">
        <f>'Net revenue summary'!R207</f>
        <v>0.58859309316786845</v>
      </c>
      <c r="S80" s="415">
        <f>'Net revenue summary'!S207</f>
        <v>0.58855164611038602</v>
      </c>
      <c r="T80" s="415">
        <f>'Net revenue summary'!T207</f>
        <v>0.58857670580218779</v>
      </c>
      <c r="U80" s="415">
        <f>'Net revenue summary'!U207</f>
        <v>0.58858220565799813</v>
      </c>
      <c r="V80" s="415">
        <f>'Net revenue summary'!V207</f>
        <v>0.58858248127632906</v>
      </c>
      <c r="W80" s="415">
        <f>'Net revenue summary'!W207</f>
        <v>0.31058522397758354</v>
      </c>
      <c r="X80" s="415">
        <f>'Net revenue summary'!X207</f>
        <v>0.31074252754811138</v>
      </c>
      <c r="Y80" s="415">
        <f>'Net revenue summary'!Y207</f>
        <v>0.31067897106982467</v>
      </c>
      <c r="Z80" s="415">
        <f>'Net revenue summary'!Z207</f>
        <v>0.310678896938341</v>
      </c>
      <c r="AA80" s="415">
        <f>'Net revenue summary'!AA207</f>
        <v>0.31067778328346324</v>
      </c>
      <c r="AB80" s="415">
        <f>'Net revenue summary'!AB207</f>
        <v>0.17991732048227635</v>
      </c>
      <c r="AC80" s="415">
        <f>'Net revenue summary'!AC207</f>
        <v>0.17988890003424313</v>
      </c>
      <c r="AD80" s="415">
        <f>'Net revenue summary'!AD207</f>
        <v>0.17988891274986157</v>
      </c>
      <c r="AE80" s="415">
        <f>'Net revenue summary'!AE207</f>
        <v>0.17988584373598951</v>
      </c>
      <c r="AF80" s="415">
        <f>'Net revenue summary'!AF207</f>
        <v>0.17989076294932455</v>
      </c>
      <c r="AG80" s="415">
        <f>'Net revenue summary'!AG207</f>
        <v>0.58824153524258205</v>
      </c>
      <c r="AH80" s="415">
        <f>'Net revenue summary'!AH207</f>
        <v>0</v>
      </c>
      <c r="AI80" s="415">
        <f>'Net revenue summary'!AI207</f>
        <v>0</v>
      </c>
      <c r="AJ80" s="415">
        <f>'Net revenue summary'!AJ207</f>
        <v>0</v>
      </c>
      <c r="AK80" s="415">
        <f>'Net revenue summary'!AL207</f>
        <v>0</v>
      </c>
      <c r="AL80" s="415">
        <f>'Net revenue summary'!AN207</f>
        <v>-1.5930790111532499E-2</v>
      </c>
    </row>
    <row r="82" spans="2:40" x14ac:dyDescent="0.25">
      <c r="B82" s="85" t="s">
        <v>231</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25">
      <c r="E84" t="s">
        <v>232</v>
      </c>
      <c r="G84" s="6" t="s">
        <v>56</v>
      </c>
      <c r="H84" s="113">
        <f t="array" ref="H84">SUM(IF(ISERROR(H19:AL81), 1))</f>
        <v>0</v>
      </c>
    </row>
    <row r="86" spans="2:40" x14ac:dyDescent="0.25">
      <c r="B86" s="85" t="s">
        <v>107</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NGED South West - [enter data version name]</v>
      </c>
    </row>
    <row r="3" spans="1:9" s="5" customFormat="1" x14ac:dyDescent="0.25">
      <c r="A3" s="5" t="str">
        <f>Cover!D2&amp;" - "&amp;Cover!D8&amp;" v"&amp;Cover!D10&amp;" - "&amp;Cover!D19</f>
        <v>CDCM charging model - Release for charge setting v11 - 2026/27</v>
      </c>
    </row>
    <row r="5" spans="1:9" customFormat="1" x14ac:dyDescent="0.25">
      <c r="A5" s="71"/>
      <c r="B5" s="64" t="s">
        <v>108</v>
      </c>
      <c r="C5" s="64"/>
      <c r="D5" s="64"/>
      <c r="E5" s="64"/>
      <c r="F5" s="64"/>
      <c r="G5" s="64"/>
      <c r="H5" s="64"/>
      <c r="I5" s="64"/>
    </row>
    <row r="7" spans="1:9" ht="15" customHeight="1" x14ac:dyDescent="0.25">
      <c r="F7" s="82"/>
      <c r="G7" s="82"/>
      <c r="H7" s="83"/>
      <c r="I7" s="83"/>
    </row>
    <row r="8" spans="1:9" ht="15" customHeight="1" x14ac:dyDescent="0.25">
      <c r="F8" s="82"/>
      <c r="G8" s="82"/>
    </row>
    <row r="9" spans="1:9" ht="15" customHeight="1" x14ac:dyDescent="0.25">
      <c r="F9" s="82"/>
      <c r="G9" s="82"/>
      <c r="H9" s="82"/>
      <c r="I9" s="82"/>
    </row>
    <row r="10" spans="1:9" ht="15" customHeight="1" x14ac:dyDescent="0.25">
      <c r="F10" s="82"/>
      <c r="G10" s="82"/>
      <c r="H10" s="82"/>
      <c r="I10" s="82"/>
    </row>
    <row r="11" spans="1:9" ht="15" customHeight="1" x14ac:dyDescent="0.25">
      <c r="F11" s="82"/>
      <c r="G11" s="82"/>
      <c r="H11" s="82"/>
      <c r="I11" s="3"/>
    </row>
    <row r="12" spans="1:9" ht="15" customHeight="1" x14ac:dyDescent="0.25">
      <c r="F12" s="82"/>
      <c r="H12" s="82"/>
      <c r="I12" s="3"/>
    </row>
    <row r="13" spans="1:9" ht="15" customHeight="1" x14ac:dyDescent="0.25">
      <c r="F13" s="82"/>
      <c r="H13" s="82"/>
      <c r="I13" s="3"/>
    </row>
    <row r="14" spans="1:9" ht="15" customHeight="1" x14ac:dyDescent="0.25">
      <c r="F14" s="82"/>
      <c r="H14" s="82"/>
      <c r="I14" s="3"/>
    </row>
    <row r="15" spans="1:9" x14ac:dyDescent="0.25">
      <c r="F15" s="84"/>
      <c r="G15" s="84"/>
      <c r="H15" s="84"/>
      <c r="I15" s="84"/>
    </row>
    <row r="16" spans="1:9" ht="15" customHeight="1" x14ac:dyDescent="0.25">
      <c r="H16" s="84"/>
      <c r="I16" s="84"/>
    </row>
    <row r="17" spans="6:9" ht="15" customHeight="1" x14ac:dyDescent="0.25">
      <c r="H17" s="84"/>
      <c r="I17" s="84"/>
    </row>
    <row r="18" spans="6:9" ht="15" customHeight="1" x14ac:dyDescent="0.25">
      <c r="H18" s="84"/>
      <c r="I18" s="84"/>
    </row>
    <row r="19" spans="6:9" ht="15" customHeight="1" x14ac:dyDescent="0.25">
      <c r="F19" s="84"/>
      <c r="G19" s="84"/>
      <c r="H19" s="84"/>
      <c r="I19" s="84"/>
    </row>
    <row r="20" spans="6:9" ht="15" customHeight="1" x14ac:dyDescent="0.25">
      <c r="F20" s="84"/>
      <c r="G20" s="84"/>
      <c r="H20" s="84"/>
      <c r="I20" s="84"/>
    </row>
    <row r="21" spans="6:9" ht="15" customHeight="1" x14ac:dyDescent="0.25">
      <c r="F21" s="84"/>
      <c r="G21" s="84"/>
      <c r="H21" s="84"/>
      <c r="I21" s="84"/>
    </row>
    <row r="22" spans="6:9" ht="15" customHeight="1" x14ac:dyDescent="0.25">
      <c r="F22" s="84"/>
      <c r="G22" s="84"/>
      <c r="H22" s="84"/>
      <c r="I22" s="84"/>
    </row>
    <row r="23" spans="6:9" ht="15" customHeight="1" x14ac:dyDescent="0.25">
      <c r="F23" s="84"/>
      <c r="G23" s="84"/>
      <c r="H23" s="84"/>
      <c r="I23" s="84"/>
    </row>
    <row r="24" spans="6:9" ht="15" customHeight="1" x14ac:dyDescent="0.25">
      <c r="F24" s="84"/>
      <c r="G24" s="84"/>
      <c r="H24" s="84"/>
      <c r="I24" s="84"/>
    </row>
    <row r="25" spans="6:9" ht="15" customHeight="1" x14ac:dyDescent="0.25">
      <c r="F25" s="84"/>
      <c r="G25" s="84"/>
      <c r="H25" s="84"/>
      <c r="I25" s="84"/>
    </row>
    <row r="26" spans="6:9" ht="15" customHeight="1" x14ac:dyDescent="0.25">
      <c r="F26" s="84"/>
      <c r="G26" s="84"/>
      <c r="H26" s="84"/>
      <c r="I26" s="84"/>
    </row>
    <row r="27" spans="6:9" ht="15" customHeight="1" x14ac:dyDescent="0.25">
      <c r="F27" s="84"/>
      <c r="G27" s="84"/>
      <c r="H27" s="84"/>
      <c r="I27" s="84"/>
    </row>
    <row r="28" spans="6:9" ht="15" customHeight="1" x14ac:dyDescent="0.25">
      <c r="F28" s="84"/>
      <c r="G28" s="84"/>
      <c r="H28" s="84"/>
      <c r="I28" s="84"/>
    </row>
    <row r="29" spans="6:9" ht="15" customHeight="1" x14ac:dyDescent="0.25">
      <c r="F29" s="84"/>
      <c r="G29" s="84"/>
      <c r="H29" s="84"/>
      <c r="I29" s="84"/>
    </row>
    <row r="30" spans="6:9" ht="15" customHeight="1" x14ac:dyDescent="0.25">
      <c r="F30" s="84"/>
      <c r="G30" s="84"/>
      <c r="H30" s="84"/>
      <c r="I30" s="84"/>
    </row>
    <row r="31" spans="6:9" ht="15" customHeight="1" x14ac:dyDescent="0.25">
      <c r="F31" s="84"/>
      <c r="G31" s="84"/>
      <c r="H31" s="84"/>
      <c r="I31" s="84"/>
    </row>
    <row r="32" spans="6:9" ht="15" customHeight="1" x14ac:dyDescent="0.25">
      <c r="F32" s="84"/>
      <c r="G32" s="84"/>
      <c r="H32" s="84"/>
      <c r="I32" s="84"/>
    </row>
    <row r="33" spans="6:9" ht="15" customHeight="1" x14ac:dyDescent="0.25">
      <c r="F33" s="84"/>
      <c r="G33" s="84"/>
      <c r="H33" s="84"/>
      <c r="I33" s="84"/>
    </row>
    <row r="34" spans="6:9" customFormat="1" x14ac:dyDescent="0.25">
      <c r="F34" s="84"/>
      <c r="G34" s="84"/>
      <c r="H34" s="84"/>
      <c r="I34" s="84"/>
    </row>
    <row r="35" spans="6:9" customFormat="1" x14ac:dyDescent="0.25">
      <c r="F35" s="84"/>
      <c r="G35" s="84"/>
      <c r="H35" s="84"/>
      <c r="I35" s="84"/>
    </row>
    <row r="36" spans="6:9" customFormat="1" x14ac:dyDescent="0.25">
      <c r="F36" s="84"/>
      <c r="G36" s="84"/>
      <c r="H36" s="84"/>
      <c r="I36" s="84"/>
    </row>
    <row r="37" spans="6:9" customFormat="1" x14ac:dyDescent="0.25">
      <c r="F37" s="84"/>
      <c r="G37" s="84"/>
      <c r="H37" s="84"/>
      <c r="I37" s="84"/>
    </row>
    <row r="38" spans="6:9" customFormat="1" x14ac:dyDescent="0.25">
      <c r="F38" s="84"/>
      <c r="G38" s="84"/>
      <c r="H38" s="84"/>
      <c r="I38" s="84"/>
    </row>
    <row r="39" spans="6:9" customFormat="1" x14ac:dyDescent="0.25">
      <c r="F39" s="84"/>
      <c r="G39" s="84"/>
      <c r="H39" s="84"/>
      <c r="I39" s="84"/>
    </row>
    <row r="40" spans="6:9" customFormat="1" x14ac:dyDescent="0.25">
      <c r="F40" s="84"/>
      <c r="G40" s="84"/>
      <c r="H40" s="84"/>
      <c r="I40" s="84"/>
    </row>
    <row r="41" spans="6:9" ht="15" customHeight="1" x14ac:dyDescent="0.25">
      <c r="F41" s="84"/>
      <c r="G41" s="84"/>
      <c r="H41" s="84"/>
      <c r="I41" s="84"/>
    </row>
    <row r="42" spans="6:9" ht="15" customHeight="1" x14ac:dyDescent="0.25">
      <c r="F42" s="84"/>
      <c r="G42" s="84"/>
      <c r="H42" s="84"/>
      <c r="I42" s="84"/>
    </row>
    <row r="43" spans="6:9" ht="15" customHeight="1" x14ac:dyDescent="0.25">
      <c r="F43" s="84"/>
      <c r="G43" s="84"/>
      <c r="H43" s="84"/>
      <c r="I43" s="84"/>
    </row>
    <row r="44" spans="6:9" ht="15" customHeight="1" x14ac:dyDescent="0.25">
      <c r="F44" s="84"/>
      <c r="G44" s="84"/>
      <c r="H44" s="84"/>
      <c r="I44" s="84"/>
    </row>
    <row r="45" spans="6:9" ht="15" customHeight="1" x14ac:dyDescent="0.25">
      <c r="F45" s="84"/>
      <c r="G45" s="84"/>
      <c r="H45" s="84"/>
      <c r="I45" s="84"/>
    </row>
    <row r="46" spans="6:9" ht="15" customHeight="1" x14ac:dyDescent="0.25">
      <c r="F46" s="84"/>
      <c r="G46" s="84"/>
      <c r="H46" s="84"/>
      <c r="I46" s="84"/>
    </row>
    <row r="47" spans="6:9" ht="15" customHeight="1" x14ac:dyDescent="0.25">
      <c r="F47" s="17"/>
      <c r="H47" s="3"/>
      <c r="I47" s="3"/>
    </row>
    <row r="51" spans="1:10" customFormat="1" x14ac:dyDescent="0.25">
      <c r="A51" s="71"/>
      <c r="B51" s="71"/>
      <c r="C51" s="71"/>
      <c r="D51" s="71"/>
      <c r="E51" s="71"/>
      <c r="F51" s="71"/>
      <c r="G51" s="71"/>
      <c r="H51" s="71"/>
      <c r="I51" s="71"/>
      <c r="J51" s="71"/>
    </row>
    <row r="62" spans="1:10" ht="15" customHeight="1" x14ac:dyDescent="0.25">
      <c r="A62" s="64" t="s">
        <v>107</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NGED South West - [enter data version name]</v>
      </c>
    </row>
    <row r="3" spans="1:7" s="5" customFormat="1" x14ac:dyDescent="0.25">
      <c r="A3" s="5" t="str">
        <f>Cover!D2&amp;" - "&amp;Cover!D8&amp;" v"&amp;Cover!D10&amp;" - "&amp;Cover!D19</f>
        <v>CDCM charging model - Release for charge setting v11 - 2026/27</v>
      </c>
    </row>
    <row r="5" spans="1:7" x14ac:dyDescent="0.25">
      <c r="B5" s="85" t="s">
        <v>11</v>
      </c>
      <c r="C5" s="85"/>
      <c r="D5" s="85"/>
      <c r="E5" s="85"/>
      <c r="F5" s="85"/>
      <c r="G5" s="85"/>
    </row>
    <row r="7" spans="1:7" x14ac:dyDescent="0.25">
      <c r="C7" s="86" t="s">
        <v>109</v>
      </c>
    </row>
    <row r="8" spans="1:7" x14ac:dyDescent="0.25">
      <c r="C8" s="86" t="s">
        <v>110</v>
      </c>
    </row>
    <row r="10" spans="1:7" x14ac:dyDescent="0.25">
      <c r="B10" s="85" t="s">
        <v>111</v>
      </c>
      <c r="C10" s="85"/>
      <c r="D10" s="85"/>
      <c r="E10" s="85"/>
      <c r="F10" s="85"/>
      <c r="G10" s="85"/>
    </row>
    <row r="12" spans="1:7" x14ac:dyDescent="0.25">
      <c r="C12" s="86" t="s">
        <v>112</v>
      </c>
    </row>
    <row r="14" spans="1:7" ht="15.75" thickBot="1" x14ac:dyDescent="0.3">
      <c r="F14" s="87" t="s">
        <v>113</v>
      </c>
      <c r="G14" s="88" t="s">
        <v>114</v>
      </c>
    </row>
    <row r="15" spans="1:7" ht="16.5" thickTop="1" thickBot="1" x14ac:dyDescent="0.3">
      <c r="F15" s="18" t="s">
        <v>115</v>
      </c>
    </row>
    <row r="16" spans="1:7" ht="15.75" thickTop="1" x14ac:dyDescent="0.25">
      <c r="F16" s="18" t="s">
        <v>116</v>
      </c>
      <c r="G16" s="19" t="str">
        <f>'Version control'!$B$5</f>
        <v>Model version</v>
      </c>
    </row>
    <row r="17" spans="6:7" x14ac:dyDescent="0.25">
      <c r="F17" s="20" t="s">
        <v>117</v>
      </c>
      <c r="G17" s="19" t="str">
        <f>'Version control'!$B$17</f>
        <v>Version log</v>
      </c>
    </row>
    <row r="18" spans="6:7" x14ac:dyDescent="0.25">
      <c r="F18" s="20" t="s">
        <v>117</v>
      </c>
      <c r="G18" s="19" t="str">
        <f>'Version control'!$B$38</f>
        <v>Model checks</v>
      </c>
    </row>
    <row r="19" spans="6:7" ht="15.75" thickBot="1" x14ac:dyDescent="0.3">
      <c r="F19" s="20" t="s">
        <v>117</v>
      </c>
      <c r="G19" s="19" t="str">
        <f>'Version control'!$B$67</f>
        <v>Version log lists</v>
      </c>
    </row>
    <row r="20" spans="6:7" ht="16.5" thickTop="1" thickBot="1" x14ac:dyDescent="0.3">
      <c r="F20" s="18" t="s">
        <v>108</v>
      </c>
      <c r="G20" s="19" t="str">
        <f>'Model map'!$B$5</f>
        <v>Model map</v>
      </c>
    </row>
    <row r="21" spans="6:7" ht="16.5" thickTop="1" thickBot="1" x14ac:dyDescent="0.3">
      <c r="F21" s="18" t="s">
        <v>118</v>
      </c>
      <c r="G21" s="19" t="str">
        <f>'Named ranges'!$B$5</f>
        <v>List of named ranges</v>
      </c>
    </row>
    <row r="22" spans="6:7" ht="16.5" thickTop="1" thickBot="1" x14ac:dyDescent="0.3">
      <c r="F22" s="21" t="s">
        <v>54</v>
      </c>
      <c r="G22" s="19" t="str">
        <f>'Fixed inputs'!$B$11</f>
        <v>Fixed inputs</v>
      </c>
    </row>
    <row r="23" spans="6:7" ht="16.5" thickTop="1" thickBot="1" x14ac:dyDescent="0.3">
      <c r="F23" s="21" t="s">
        <v>57</v>
      </c>
      <c r="G23" s="19" t="str">
        <f>'Inputs by customer type'!$B$11</f>
        <v>Inputs by customer type</v>
      </c>
    </row>
    <row r="24" spans="6:7" ht="16.5" thickTop="1" thickBot="1" x14ac:dyDescent="0.3">
      <c r="F24" s="21" t="s">
        <v>59</v>
      </c>
      <c r="G24" s="19" t="str">
        <f>'Inputs by network level'!$B$11</f>
        <v>Inputs by network level</v>
      </c>
    </row>
    <row r="25" spans="6:7" ht="16.5" thickTop="1" thickBot="1" x14ac:dyDescent="0.3">
      <c r="F25" s="21" t="s">
        <v>61</v>
      </c>
      <c r="G25" s="19" t="str">
        <f>'General inputs'!$B$11</f>
        <v>General inputs</v>
      </c>
    </row>
    <row r="26" spans="6:7" ht="16.5" thickTop="1" thickBot="1" x14ac:dyDescent="0.3">
      <c r="F26" s="22" t="s">
        <v>121</v>
      </c>
      <c r="G26" s="19" t="str">
        <f>'Standing charge factors'!$B$17</f>
        <v>Adjustments to standing charges</v>
      </c>
    </row>
    <row r="27" spans="6:7" ht="15.75" thickTop="1" x14ac:dyDescent="0.25">
      <c r="F27" s="22" t="s">
        <v>65</v>
      </c>
      <c r="G27" s="19" t="str">
        <f>'Load &amp; loss characteristics'!$B$13</f>
        <v>Load and loss characteristics</v>
      </c>
    </row>
    <row r="28" spans="6:7" ht="15.75" thickBot="1" x14ac:dyDescent="0.3">
      <c r="F28" s="23" t="s">
        <v>117</v>
      </c>
      <c r="G28" s="19" t="str">
        <f>'Load &amp; loss characteristics'!$B$31</f>
        <v>User loss factor adjustments</v>
      </c>
    </row>
    <row r="29" spans="6:7" ht="16.5" thickTop="1" thickBot="1" x14ac:dyDescent="0.3">
      <c r="F29" s="22" t="s">
        <v>67</v>
      </c>
      <c r="G29" s="19" t="str">
        <f>'Customer contributions'!$B$12</f>
        <v>Customer contributions</v>
      </c>
    </row>
    <row r="30" spans="6:7" ht="15.75" thickTop="1" x14ac:dyDescent="0.25">
      <c r="F30" s="22" t="s">
        <v>69</v>
      </c>
      <c r="G30" s="19" t="str">
        <f>'Volume adjustments'!$B$13</f>
        <v>LDNO discounts</v>
      </c>
    </row>
    <row r="31" spans="6:7" x14ac:dyDescent="0.25">
      <c r="F31" s="23" t="s">
        <v>117</v>
      </c>
      <c r="G31" s="19" t="str">
        <f>'Volume adjustments'!$B$51</f>
        <v>Volume discounting</v>
      </c>
    </row>
    <row r="32" spans="6:7" ht="15.75" thickBot="1" x14ac:dyDescent="0.3">
      <c r="F32" s="23" t="s">
        <v>117</v>
      </c>
      <c r="G32" s="19" t="str">
        <f>'Volume adjustments'!$B$310</f>
        <v>Volume discounting for revenue matching</v>
      </c>
    </row>
    <row r="33" spans="6:7" ht="15.75" thickTop="1" x14ac:dyDescent="0.25">
      <c r="F33" s="22" t="s">
        <v>71</v>
      </c>
      <c r="G33" s="19" t="str">
        <f>'Pseudo-load coefficients'!$B$13</f>
        <v>Step 1: Ratio of coincidence to load factor assuming units evenly spread within time bands, and peak falls in Red period</v>
      </c>
    </row>
    <row r="34" spans="6:7" x14ac:dyDescent="0.25">
      <c r="F34" s="23" t="s">
        <v>117</v>
      </c>
      <c r="G34" s="19" t="str">
        <f>'Pseudo-load coefficients'!$B$56</f>
        <v>Step 2: Calculate correction factor</v>
      </c>
    </row>
    <row r="35" spans="6:7" x14ac:dyDescent="0.25">
      <c r="F35" s="23" t="s">
        <v>117</v>
      </c>
      <c r="G35" s="19" t="str">
        <f>'Pseudo-load coefficients'!$B$95</f>
        <v>Step 3: Ratio of coincidence factor (to network asset peak) to load factor, given peaking probabilities, multiplied by correction factor</v>
      </c>
    </row>
    <row r="36" spans="6:7" ht="15.75" thickBot="1" x14ac:dyDescent="0.3">
      <c r="F36" s="23" t="s">
        <v>117</v>
      </c>
      <c r="G36" s="19" t="str">
        <f>'Pseudo-load coefficients'!$B$261</f>
        <v>Step 4: Results of Step 3</v>
      </c>
    </row>
    <row r="37" spans="6:7" ht="15.75" thickTop="1" x14ac:dyDescent="0.25">
      <c r="F37" s="22" t="s">
        <v>73</v>
      </c>
      <c r="G37" s="19" t="str">
        <f>'System peak demand'!$B$16</f>
        <v>Common inputs for chargeable load calculations</v>
      </c>
    </row>
    <row r="38" spans="6:7" x14ac:dyDescent="0.25">
      <c r="F38" s="23" t="s">
        <v>117</v>
      </c>
      <c r="G38" s="19" t="str">
        <f>'System peak demand'!$B$63</f>
        <v>Load at system peak charged to unit rates</v>
      </c>
    </row>
    <row r="39" spans="6:7" x14ac:dyDescent="0.25">
      <c r="F39" s="23" t="s">
        <v>117</v>
      </c>
      <c r="G39" s="19" t="str">
        <f>'System peak demand'!$B$179</f>
        <v>Load at system peak charged to standing charges</v>
      </c>
    </row>
    <row r="40" spans="6:7" ht="15.75" thickBot="1" x14ac:dyDescent="0.3">
      <c r="F40" s="23" t="s">
        <v>117</v>
      </c>
      <c r="G40" s="19" t="str">
        <f>'System peak demand'!$B$262</f>
        <v>System peak based on chargeable load</v>
      </c>
    </row>
    <row r="41" spans="6:7" ht="16.5" thickTop="1" thickBot="1" x14ac:dyDescent="0.3">
      <c r="F41" s="22" t="s">
        <v>75</v>
      </c>
      <c r="G41" s="19" t="str">
        <f>'Service model assets'!$B$12</f>
        <v>Service model notional asset values</v>
      </c>
    </row>
    <row r="42" spans="6:7" ht="15.75" thickTop="1" x14ac:dyDescent="0.25">
      <c r="F42" s="22" t="s">
        <v>77</v>
      </c>
      <c r="G42" s="19" t="str">
        <f>'Unit costs'!$B$15</f>
        <v>500MW model costs</v>
      </c>
    </row>
    <row r="43" spans="6:7" x14ac:dyDescent="0.25">
      <c r="F43" s="23" t="s">
        <v>117</v>
      </c>
      <c r="G43" s="19" t="str">
        <f>'Unit costs'!$B$58</f>
        <v>Allocation of other costs</v>
      </c>
    </row>
    <row r="44" spans="6:7" ht="15.75" thickBot="1" x14ac:dyDescent="0.3">
      <c r="F44" s="23" t="s">
        <v>117</v>
      </c>
      <c r="G44" s="19" t="str">
        <f>'Unit costs'!$B$102</f>
        <v>Outputs</v>
      </c>
    </row>
    <row r="45" spans="6:7" ht="15.75" thickTop="1" x14ac:dyDescent="0.25">
      <c r="F45" s="22" t="s">
        <v>79</v>
      </c>
      <c r="G45" s="19" t="str">
        <f>'Initial unit rates'!$B$11</f>
        <v>Inputs for yardstick and unit rate calculations</v>
      </c>
    </row>
    <row r="46" spans="6:7" ht="15.75" thickBot="1" x14ac:dyDescent="0.3">
      <c r="F46" s="23" t="s">
        <v>117</v>
      </c>
      <c r="G46" s="19" t="str">
        <f>'Initial unit rates'!$B$116</f>
        <v>Calculation of yardstick &amp; unit rate charges</v>
      </c>
    </row>
    <row r="47" spans="6:7" ht="15.75" thickTop="1" x14ac:dyDescent="0.25">
      <c r="F47" s="22" t="s">
        <v>81</v>
      </c>
      <c r="G47" s="19" t="str">
        <f>'Service model charges'!$B$13</f>
        <v>Inputs to service model charge calculation</v>
      </c>
    </row>
    <row r="48" spans="6:7" ht="15.75" thickBot="1" x14ac:dyDescent="0.3">
      <c r="F48" s="23" t="s">
        <v>117</v>
      </c>
      <c r="G48" s="19" t="str">
        <f>'Service model charges'!$B$29</f>
        <v>Allocation of service model costs</v>
      </c>
    </row>
    <row r="49" spans="6:7" ht="15.75" thickTop="1" x14ac:dyDescent="0.25">
      <c r="F49" s="22" t="s">
        <v>83</v>
      </c>
      <c r="G49" s="19" t="str">
        <f>'Unit rate charges'!$B$15</f>
        <v>Inputs to unit rate charge calculations</v>
      </c>
    </row>
    <row r="50" spans="6:7" ht="15.75" thickBot="1" x14ac:dyDescent="0.3">
      <c r="F50" s="23" t="s">
        <v>117</v>
      </c>
      <c r="G50" s="19" t="str">
        <f>'Unit rate charges'!$B$122</f>
        <v>Application of standing charges to unit rates</v>
      </c>
    </row>
    <row r="51" spans="6:7" ht="15.75" thickTop="1" x14ac:dyDescent="0.25">
      <c r="F51" s="22" t="s">
        <v>87</v>
      </c>
      <c r="G51" s="19" t="str">
        <f>'Capacity charges'!$B$17</f>
        <v>Inputs to capacity charge calculations</v>
      </c>
    </row>
    <row r="52" spans="6:7" x14ac:dyDescent="0.25">
      <c r="F52" s="23" t="s">
        <v>117</v>
      </c>
      <c r="G52" s="19" t="str">
        <f>'Capacity charges'!$B$125</f>
        <v>Calculation of capacity charges</v>
      </c>
    </row>
    <row r="53" spans="6:7" ht="15.75" thickBot="1" x14ac:dyDescent="0.3">
      <c r="F53" s="23" t="s">
        <v>117</v>
      </c>
      <c r="G53" s="19" t="str">
        <f>'Capacity charges'!$B$249</f>
        <v>Capacity charges (and elements allocated to fixed charges)</v>
      </c>
    </row>
    <row r="54" spans="6:7" ht="15.75" thickTop="1" x14ac:dyDescent="0.25">
      <c r="F54" s="22" t="s">
        <v>85</v>
      </c>
      <c r="G54" s="19" t="str">
        <f>'Reactive power charges'!$B$13</f>
        <v>Inputs to reactive power charge calculations</v>
      </c>
    </row>
    <row r="55" spans="6:7" x14ac:dyDescent="0.25">
      <c r="F55" s="23" t="s">
        <v>117</v>
      </c>
      <c r="G55" s="19" t="str">
        <f>'Reactive power charges'!$B$150</f>
        <v>Calculation of yardstick charges for generation</v>
      </c>
    </row>
    <row r="56" spans="6:7" ht="15.75" thickBot="1" x14ac:dyDescent="0.3">
      <c r="F56" s="23" t="s">
        <v>117</v>
      </c>
      <c r="G56" s="19" t="str">
        <f>'Reactive power charges'!$B$185</f>
        <v>Calculation of reactive power charges</v>
      </c>
    </row>
    <row r="57" spans="6:7" ht="15.75" thickTop="1" x14ac:dyDescent="0.25">
      <c r="F57" s="22" t="s">
        <v>89</v>
      </c>
      <c r="G57" s="19" t="str">
        <f>'Fixed charges'!$B$14</f>
        <v>Inputs to fixed charge calculations</v>
      </c>
    </row>
    <row r="58" spans="6:7" ht="15.75" thickBot="1" x14ac:dyDescent="0.3">
      <c r="F58" s="23" t="s">
        <v>117</v>
      </c>
      <c r="G58" s="19" t="str">
        <f>'Fixed charges'!$B$65</f>
        <v>Calculation of fixed charges</v>
      </c>
    </row>
    <row r="59" spans="6:7" ht="16.5" thickTop="1" thickBot="1" x14ac:dyDescent="0.3">
      <c r="F59" s="22" t="s">
        <v>1098</v>
      </c>
      <c r="G59" s="19" t="str">
        <f>'SoLR &amp; bad debt adders'!$B$12</f>
        <v>Fixed tariff adjustments</v>
      </c>
    </row>
    <row r="60" spans="6:7" ht="15.75" thickTop="1" x14ac:dyDescent="0.25">
      <c r="F60" s="22" t="s">
        <v>91</v>
      </c>
      <c r="G60" s="19" t="str">
        <f>'Revenue matching'!$B$13</f>
        <v>Pre-matching net revenue calculations</v>
      </c>
    </row>
    <row r="61" spans="6:7" x14ac:dyDescent="0.25">
      <c r="F61" s="23" t="s">
        <v>117</v>
      </c>
      <c r="G61" s="19" t="str">
        <f>'Revenue matching'!$B$86</f>
        <v>Residual charge calculation</v>
      </c>
    </row>
    <row r="62" spans="6:7" x14ac:dyDescent="0.25">
      <c r="F62" s="23" t="s">
        <v>117</v>
      </c>
      <c r="G62" s="19" t="str">
        <f>'Revenue matching'!$B$209</f>
        <v>Adjustments for negative fixed charges</v>
      </c>
    </row>
    <row r="63" spans="6:7" ht="15.75" thickBot="1" x14ac:dyDescent="0.3">
      <c r="F63" s="23" t="s">
        <v>117</v>
      </c>
      <c r="G63" s="19" t="str">
        <f>'Revenue matching'!$B$407</f>
        <v>Final adders</v>
      </c>
    </row>
    <row r="64" spans="6:7" ht="15.75" thickTop="1" x14ac:dyDescent="0.25">
      <c r="F64" s="22" t="s">
        <v>93</v>
      </c>
      <c r="G64" s="19" t="str">
        <f>Rounding!$B$12</f>
        <v>Inputs</v>
      </c>
    </row>
    <row r="65" spans="2:7" ht="15.75" thickBot="1" x14ac:dyDescent="0.3">
      <c r="F65" s="23" t="s">
        <v>117</v>
      </c>
      <c r="G65" s="19" t="str">
        <f>Rounding!$B$103</f>
        <v>Rounding of tariff forecast</v>
      </c>
    </row>
    <row r="66" spans="2:7" ht="15.75" thickTop="1" x14ac:dyDescent="0.25">
      <c r="F66" s="22" t="s">
        <v>95</v>
      </c>
      <c r="G66" s="19" t="str">
        <f>'Net revenue summary'!$B$11</f>
        <v>Inputs to net revenue summary calculation</v>
      </c>
    </row>
    <row r="67" spans="2:7" x14ac:dyDescent="0.25">
      <c r="F67" s="23" t="s">
        <v>117</v>
      </c>
      <c r="G67" s="19" t="str">
        <f>'Net revenue summary'!$B$90</f>
        <v>Typical bills</v>
      </c>
    </row>
    <row r="68" spans="2:7" x14ac:dyDescent="0.25">
      <c r="F68" s="23" t="s">
        <v>117</v>
      </c>
      <c r="G68" s="19" t="str">
        <f>'Net revenue summary'!$B$150</f>
        <v>Comparison with previous year</v>
      </c>
    </row>
    <row r="69" spans="2:7" ht="15.75" thickBot="1" x14ac:dyDescent="0.3">
      <c r="F69" s="23" t="s">
        <v>117</v>
      </c>
      <c r="G69" s="19" t="str">
        <f>'Net revenue summary'!$B$176</f>
        <v>LDNO margins</v>
      </c>
    </row>
    <row r="70" spans="2:7" ht="16.5" thickTop="1" thickBot="1" x14ac:dyDescent="0.3">
      <c r="F70" s="24" t="s">
        <v>97</v>
      </c>
      <c r="G70" s="19" t="str">
        <f>'Tariff summary'!$B$11</f>
        <v>Tariff summary</v>
      </c>
    </row>
    <row r="71" spans="2:7" ht="15.75" thickTop="1" x14ac:dyDescent="0.25">
      <c r="F71" s="24" t="s">
        <v>99</v>
      </c>
      <c r="G71" s="19" t="str">
        <f>'Output to other models'!$B$12</f>
        <v>Outputs for PCDM</v>
      </c>
    </row>
    <row r="72" spans="2:7" x14ac:dyDescent="0.25">
      <c r="F72" s="25" t="s">
        <v>117</v>
      </c>
      <c r="G72" s="19" t="str">
        <f>'Output to other models'!$B$31</f>
        <v>Outputs for EDCM</v>
      </c>
    </row>
    <row r="73" spans="2:7" x14ac:dyDescent="0.25">
      <c r="F73" s="25" t="s">
        <v>117</v>
      </c>
      <c r="G73" s="19" t="str">
        <f>'Output to other models'!$B$61</f>
        <v>Outputs for users' internal use</v>
      </c>
    </row>
    <row r="75" spans="2:7" x14ac:dyDescent="0.25">
      <c r="B75" s="85" t="s">
        <v>119</v>
      </c>
      <c r="C75" s="85"/>
      <c r="D75" s="85"/>
      <c r="E75" s="85"/>
      <c r="F75" s="85"/>
      <c r="G75" s="85"/>
    </row>
    <row r="77" spans="2:7" x14ac:dyDescent="0.25">
      <c r="C77" s="86" t="s">
        <v>120</v>
      </c>
    </row>
    <row r="79" spans="2:7" ht="15.75" thickBot="1" x14ac:dyDescent="0.3">
      <c r="F79" s="87" t="s">
        <v>113</v>
      </c>
      <c r="G79" s="88" t="s">
        <v>114</v>
      </c>
    </row>
    <row r="80" spans="2:7" ht="15.75" thickTop="1" x14ac:dyDescent="0.25">
      <c r="F80" s="21" t="s">
        <v>54</v>
      </c>
      <c r="G80" s="19" t="str">
        <f ca="1">'Fixed inputs'!$C$13</f>
        <v>Input 101-A: Conversions and time</v>
      </c>
    </row>
    <row r="81" spans="6:7" x14ac:dyDescent="0.25">
      <c r="F81" s="26" t="s">
        <v>117</v>
      </c>
      <c r="G81" s="19" t="str">
        <f ca="1">'Fixed inputs'!$C$21</f>
        <v>Input 101-B: Input 101-B: Rounding</v>
      </c>
    </row>
    <row r="82" spans="6:7" x14ac:dyDescent="0.25">
      <c r="F82" s="26" t="s">
        <v>117</v>
      </c>
      <c r="G82" s="19" t="str">
        <f ca="1">'Fixed inputs'!$C$34</f>
        <v>Input 101-C: Financial and general assumptions</v>
      </c>
    </row>
    <row r="83" spans="6:7" x14ac:dyDescent="0.25">
      <c r="F83" s="26" t="s">
        <v>117</v>
      </c>
      <c r="G83" s="19" t="str">
        <f ca="1">'Fixed inputs'!$C$44</f>
        <v>Input 101-D: Mappings</v>
      </c>
    </row>
    <row r="84" spans="6:7" x14ac:dyDescent="0.25">
      <c r="F84" s="26" t="s">
        <v>117</v>
      </c>
      <c r="G84" s="19" t="str">
        <f ca="1">'Fixed inputs'!$C$85</f>
        <v>Input 101-E: Standing charge factors</v>
      </c>
    </row>
    <row r="85" spans="6:7" x14ac:dyDescent="0.25">
      <c r="F85" s="26" t="s">
        <v>117</v>
      </c>
      <c r="G85" s="19" t="str">
        <f ca="1">'Fixed inputs'!$C$100</f>
        <v>Input 101-F: Flags</v>
      </c>
    </row>
    <row r="86" spans="6:7" x14ac:dyDescent="0.25">
      <c r="F86" s="26" t="s">
        <v>117</v>
      </c>
      <c r="G86" s="19" t="str">
        <f ca="1">'Fixed inputs'!$C$142</f>
        <v>Input 101-G: Identifiers for customer groupings</v>
      </c>
    </row>
    <row r="87" spans="6:7" x14ac:dyDescent="0.25">
      <c r="F87" s="26" t="s">
        <v>117</v>
      </c>
      <c r="G87" s="19" t="str">
        <f ca="1">'Fixed inputs'!$C$152</f>
        <v>Input 101-H: Decimal places for error checks</v>
      </c>
    </row>
    <row r="88" spans="6:7" x14ac:dyDescent="0.25">
      <c r="F88" s="26" t="s">
        <v>117</v>
      </c>
      <c r="G88" s="19" t="str">
        <f ca="1">'Fixed inputs'!$C$156</f>
        <v>Input 101-I: Map of applicable MPANs</v>
      </c>
    </row>
    <row r="89" spans="6:7" ht="15.75" thickBot="1" x14ac:dyDescent="0.3">
      <c r="F89" s="26" t="s">
        <v>117</v>
      </c>
      <c r="G89" s="19" t="str">
        <f ca="1">'Fixed inputs'!$C$162</f>
        <v>Input 101-J: Revenue matching inputs</v>
      </c>
    </row>
    <row r="90" spans="6:7" ht="15.75" thickTop="1" x14ac:dyDescent="0.25">
      <c r="F90" s="21" t="s">
        <v>57</v>
      </c>
      <c r="G90" s="19" t="str">
        <f ca="1">'Inputs by customer type'!$C$13</f>
        <v>Input 102-A: Load characteristics</v>
      </c>
    </row>
    <row r="91" spans="6:7" x14ac:dyDescent="0.25">
      <c r="F91" s="26" t="s">
        <v>117</v>
      </c>
      <c r="G91" s="19" t="str">
        <f ca="1">'Inputs by customer type'!$C$18</f>
        <v>Input 102-B: Volume forecasts for the charging year</v>
      </c>
    </row>
    <row r="92" spans="6:7" x14ac:dyDescent="0.25">
      <c r="F92" s="26" t="s">
        <v>117</v>
      </c>
      <c r="G92" s="19" t="str">
        <f ca="1">'Inputs by customer type'!$C$163</f>
        <v>Input 102-C: Non-Domestic Aggregated (Related MPAN) distribution by bands</v>
      </c>
    </row>
    <row r="93" spans="6:7" x14ac:dyDescent="0.25">
      <c r="F93" s="26" t="s">
        <v>117</v>
      </c>
      <c r="G93" s="19" t="str">
        <f ca="1">'Inputs by customer type'!$C$183</f>
        <v>Input 102-D: Service model asset values</v>
      </c>
    </row>
    <row r="94" spans="6:7" x14ac:dyDescent="0.25">
      <c r="F94" s="26" t="s">
        <v>117</v>
      </c>
      <c r="G94" s="19" t="str">
        <f ca="1">'Inputs by customer type'!$C$192</f>
        <v>Input 102-E: Previous year all-the-way tariff forecast</v>
      </c>
    </row>
    <row r="95" spans="6:7" ht="15.75" thickBot="1" x14ac:dyDescent="0.3">
      <c r="F95" s="26" t="s">
        <v>117</v>
      </c>
      <c r="G95" s="19" t="str">
        <f ca="1">'Inputs by customer type'!$C$206</f>
        <v>Input 102-F: Previous year net revenue (if known)</v>
      </c>
    </row>
    <row r="96" spans="6:7" ht="15.75" thickTop="1" x14ac:dyDescent="0.25">
      <c r="F96" s="21" t="s">
        <v>59</v>
      </c>
      <c r="G96" s="19" t="str">
        <f ca="1">'Inputs by network level'!$C$13</f>
        <v>Input 103-A: Network and load inputs</v>
      </c>
    </row>
    <row r="97" spans="6:7" x14ac:dyDescent="0.25">
      <c r="F97" s="26" t="s">
        <v>117</v>
      </c>
      <c r="G97" s="19" t="str">
        <f ca="1">'Inputs by network level'!$C$23</f>
        <v>Input 103-B: Customer contributions under current connection charging policy</v>
      </c>
    </row>
    <row r="98" spans="6:7" x14ac:dyDescent="0.25">
      <c r="F98" s="26" t="s">
        <v>117</v>
      </c>
      <c r="G98" s="19" t="str">
        <f ca="1">'Inputs by network level'!$C$31</f>
        <v>Input 103-C: DRM asset costs</v>
      </c>
    </row>
    <row r="99" spans="6:7" ht="15.75" thickBot="1" x14ac:dyDescent="0.3">
      <c r="F99" s="26" t="s">
        <v>117</v>
      </c>
      <c r="G99" s="19" t="str">
        <f ca="1">'Inputs by network level'!$C$35</f>
        <v>Input 103-D: Peaking probabilities by network level</v>
      </c>
    </row>
    <row r="100" spans="6:7" ht="15.75" thickTop="1" x14ac:dyDescent="0.25">
      <c r="F100" s="21" t="s">
        <v>61</v>
      </c>
      <c r="G100" s="19" t="str">
        <f ca="1">'General inputs'!$C$13</f>
        <v>Input 104-A: Inputs by distribution timeband</v>
      </c>
    </row>
    <row r="101" spans="6:7" x14ac:dyDescent="0.25">
      <c r="F101" s="26" t="s">
        <v>117</v>
      </c>
      <c r="G101" s="19" t="str">
        <f ca="1">'General inputs'!$C$25</f>
        <v>Input 104-B: LDNO discount inputs</v>
      </c>
    </row>
    <row r="102" spans="6:7" x14ac:dyDescent="0.25">
      <c r="F102" s="26" t="s">
        <v>117</v>
      </c>
      <c r="G102" s="19" t="str">
        <f ca="1">'General inputs'!$C$35</f>
        <v>Input 104-C: CDCM target revenue</v>
      </c>
    </row>
    <row r="103" spans="6:7" x14ac:dyDescent="0.25">
      <c r="F103" s="26" t="s">
        <v>117</v>
      </c>
      <c r="G103" s="19" t="str">
        <f ca="1">'General inputs'!$C$94</f>
        <v>Input 104-D: Financial and general assumptions</v>
      </c>
    </row>
    <row r="104" spans="6:7" x14ac:dyDescent="0.25">
      <c r="F104" s="26" t="s">
        <v>117</v>
      </c>
      <c r="G104" s="19" t="str">
        <f ca="1">'General inputs'!$C$100</f>
        <v>Input 104-E: Transmission exit charges</v>
      </c>
    </row>
    <row r="105" spans="6:7" ht="15.75" thickBot="1" x14ac:dyDescent="0.3">
      <c r="F105" s="26" t="s">
        <v>117</v>
      </c>
      <c r="G105" s="19" t="str">
        <f ca="1">'General inputs'!$C$104</f>
        <v>Input 104-F: Other expenditure</v>
      </c>
    </row>
    <row r="106" spans="6:7" ht="16.5" thickTop="1" thickBot="1" x14ac:dyDescent="0.3">
      <c r="F106" s="22" t="s">
        <v>121</v>
      </c>
      <c r="G106" s="19" t="str">
        <f ca="1">'Standing charge factors'!$C$19</f>
        <v>Section 101-A: Adjustments to standing charges</v>
      </c>
    </row>
    <row r="107" spans="6:7" ht="15.75" thickTop="1" x14ac:dyDescent="0.25">
      <c r="F107" s="22" t="s">
        <v>65</v>
      </c>
      <c r="G107" s="19" t="str">
        <f ca="1">'Load &amp; loss characteristics'!$C$17</f>
        <v>Section 102-A: Load characteristics</v>
      </c>
    </row>
    <row r="108" spans="6:7" x14ac:dyDescent="0.25">
      <c r="F108" s="23" t="s">
        <v>117</v>
      </c>
      <c r="G108" s="19" t="str">
        <f ca="1">'Load &amp; loss characteristics'!$C$25</f>
        <v>Section 102-B: Loss adjustment factors</v>
      </c>
    </row>
    <row r="109" spans="6:7" x14ac:dyDescent="0.25">
      <c r="F109" s="23" t="s">
        <v>117</v>
      </c>
      <c r="G109" s="19" t="str">
        <f ca="1">'Load &amp; loss characteristics'!$C$35</f>
        <v>Section 102-C: Proportion of relevant load going through 132kV/HV direct transformation</v>
      </c>
    </row>
    <row r="110" spans="6:7" x14ac:dyDescent="0.25">
      <c r="F110" s="23" t="s">
        <v>117</v>
      </c>
      <c r="G110" s="19" t="str">
        <f ca="1">'Load &amp; loss characteristics'!$C$40</f>
        <v>Section 102-D: Network use factors</v>
      </c>
    </row>
    <row r="111" spans="6:7" ht="15.75" thickBot="1" x14ac:dyDescent="0.3">
      <c r="F111" s="23" t="s">
        <v>117</v>
      </c>
      <c r="G111" s="19" t="str">
        <f ca="1">'Load &amp; loss characteristics'!$C$121</f>
        <v>Section 102-E: User loss factors</v>
      </c>
    </row>
    <row r="112" spans="6:7" ht="15.75" thickTop="1" x14ac:dyDescent="0.25">
      <c r="F112" s="22" t="s">
        <v>67</v>
      </c>
      <c r="G112" s="19" t="str">
        <f ca="1">'Customer contributions'!$C$16</f>
        <v>Section 103-A: Network use factors</v>
      </c>
    </row>
    <row r="113" spans="6:7" ht="15.75" thickBot="1" x14ac:dyDescent="0.3">
      <c r="F113" s="23" t="s">
        <v>117</v>
      </c>
      <c r="G113" s="19" t="str">
        <f ca="1">'Customer contributions'!$C$38</f>
        <v>Section 103-B: Customer contributions</v>
      </c>
    </row>
    <row r="114" spans="6:7" ht="15.75" thickTop="1" x14ac:dyDescent="0.25">
      <c r="F114" s="22" t="s">
        <v>69</v>
      </c>
      <c r="G114" s="19" t="str">
        <f ca="1">'Volume adjustments'!$C$15</f>
        <v>Section 104-A: LDNO discounts</v>
      </c>
    </row>
    <row r="115" spans="6:7" x14ac:dyDescent="0.25">
      <c r="F115" s="23" t="s">
        <v>117</v>
      </c>
      <c r="G115" s="19" t="str">
        <f ca="1">'Volume adjustments'!$C$53</f>
        <v>Section 104-B: Aggregation of volumes</v>
      </c>
    </row>
    <row r="116" spans="6:7" x14ac:dyDescent="0.25">
      <c r="F116" s="23" t="s">
        <v>117</v>
      </c>
      <c r="G116" s="19" t="str">
        <f ca="1">'Volume adjustments'!$C$225</f>
        <v>Section 104-C: Volume discounting</v>
      </c>
    </row>
    <row r="117" spans="6:7" x14ac:dyDescent="0.25">
      <c r="F117" s="23" t="s">
        <v>117</v>
      </c>
      <c r="G117" s="19" t="str">
        <f ca="1">'Volume adjustments'!$C$332</f>
        <v>Section 104-D: No residual volume discounting</v>
      </c>
    </row>
    <row r="118" spans="6:7" x14ac:dyDescent="0.25">
      <c r="F118" s="23" t="s">
        <v>117</v>
      </c>
      <c r="G118" s="19" t="str">
        <f ca="1">'Volume adjustments'!$C$361</f>
        <v>Section 104-E: Residual band 1 volume discounting</v>
      </c>
    </row>
    <row r="119" spans="6:7" x14ac:dyDescent="0.25">
      <c r="F119" s="23" t="s">
        <v>117</v>
      </c>
      <c r="G119" s="19" t="str">
        <f ca="1">'Volume adjustments'!$C$390</f>
        <v>Section 104-F: Residual band 2 volume discounting</v>
      </c>
    </row>
    <row r="120" spans="6:7" x14ac:dyDescent="0.25">
      <c r="F120" s="23" t="s">
        <v>117</v>
      </c>
      <c r="G120" s="19" t="str">
        <f ca="1">'Volume adjustments'!$C$419</f>
        <v>Section 104-G: Residual band 3 volume discounting</v>
      </c>
    </row>
    <row r="121" spans="6:7" x14ac:dyDescent="0.25">
      <c r="F121" s="23" t="s">
        <v>117</v>
      </c>
      <c r="G121" s="19" t="str">
        <f ca="1">'Volume adjustments'!$C$448</f>
        <v>Section 104-H: Residual band 4 volume discounting</v>
      </c>
    </row>
    <row r="122" spans="6:7" x14ac:dyDescent="0.25">
      <c r="F122" s="23" t="s">
        <v>117</v>
      </c>
      <c r="G122" s="19" t="str">
        <f ca="1">'Volume adjustments'!$C$477</f>
        <v>Section 104-I: Discounted volumes by residual band</v>
      </c>
    </row>
    <row r="123" spans="6:7" x14ac:dyDescent="0.25">
      <c r="F123" s="23" t="s">
        <v>117</v>
      </c>
      <c r="G123" s="19" t="str">
        <f ca="1">'Volume adjustments'!$C$523</f>
        <v>Section 104-J: Volumes by residual band</v>
      </c>
    </row>
    <row r="124" spans="6:7" ht="15.75" thickBot="1" x14ac:dyDescent="0.3">
      <c r="F124" s="23" t="s">
        <v>117</v>
      </c>
      <c r="G124" s="19" t="str">
        <f ca="1">'Volume adjustments'!$C$657</f>
        <v>Section 104-K: Non-domestic aggregated (related MPAN) distribution across bands</v>
      </c>
    </row>
    <row r="125" spans="6:7" ht="15.75" thickTop="1" x14ac:dyDescent="0.25">
      <c r="F125" s="22" t="s">
        <v>71</v>
      </c>
      <c r="G125" s="19" t="str">
        <f ca="1">'Pseudo-load coefficients'!$C$18</f>
        <v>Section 105-A: Flags and hours in timebands</v>
      </c>
    </row>
    <row r="126" spans="6:7" x14ac:dyDescent="0.25">
      <c r="F126" s="23" t="s">
        <v>117</v>
      </c>
      <c r="G126" s="19" t="str">
        <f ca="1">'Pseudo-load coefficients'!$C$28</f>
        <v>Section 105-B: Average load by timeband</v>
      </c>
    </row>
    <row r="127" spans="6:7" x14ac:dyDescent="0.25">
      <c r="F127" s="23" t="s">
        <v>117</v>
      </c>
      <c r="G127" s="19" t="str">
        <f ca="1">'Pseudo-load coefficients'!$C$36</f>
        <v>Section 105-C: Aggregated groups for pseudo-load coefficients</v>
      </c>
    </row>
    <row r="128" spans="6:7" x14ac:dyDescent="0.25">
      <c r="F128" s="23" t="s">
        <v>117</v>
      </c>
      <c r="G128" s="19" t="str">
        <f ca="1">'Pseudo-load coefficients'!$C$52</f>
        <v>Section 105-D: Ratio of coincidence to load factor assuming units evenly spread within time bands, and peak falls in Red period</v>
      </c>
    </row>
    <row r="129" spans="6:7" x14ac:dyDescent="0.25">
      <c r="F129" s="23" t="s">
        <v>117</v>
      </c>
      <c r="G129" s="19" t="str">
        <f ca="1">'Pseudo-load coefficients'!$C$60</f>
        <v>Section 105-E: Load characteristics for all customers</v>
      </c>
    </row>
    <row r="130" spans="6:7" x14ac:dyDescent="0.25">
      <c r="F130" s="23" t="s">
        <v>117</v>
      </c>
      <c r="G130" s="19" t="str">
        <f ca="1">'Pseudo-load coefficients'!$C$65</f>
        <v>Section 105-F: Aggregated load characteristics for grouped customers</v>
      </c>
    </row>
    <row r="131" spans="6:7" x14ac:dyDescent="0.25">
      <c r="F131" s="23" t="s">
        <v>117</v>
      </c>
      <c r="G131" s="19" t="str">
        <f ca="1">'Pseudo-load coefficients'!$C$87</f>
        <v>Section 105-G: Calculation of correction factor</v>
      </c>
    </row>
    <row r="132" spans="6:7" x14ac:dyDescent="0.25">
      <c r="F132" s="23" t="s">
        <v>117</v>
      </c>
      <c r="G132" s="19" t="str">
        <f ca="1">'Pseudo-load coefficients'!$C$100</f>
        <v>Section 105-H: Peaking probabilities, by network level</v>
      </c>
    </row>
    <row r="133" spans="6:7" x14ac:dyDescent="0.25">
      <c r="F133" s="23" t="s">
        <v>117</v>
      </c>
      <c r="G133" s="19" t="str">
        <f ca="1">'Pseudo-load coefficients'!$C$174</f>
        <v>Section 105-I: Peaking probabilities, by network level and customer type</v>
      </c>
    </row>
    <row r="134" spans="6:7" x14ac:dyDescent="0.25">
      <c r="F134" s="23" t="s">
        <v>117</v>
      </c>
      <c r="G134" s="19" t="str">
        <f ca="1">'Pseudo-load coefficients'!$C$221</f>
        <v>Section 105-J: Ratio of coincidence factor to load factor, based on uniform distribution in timebands and peaking probabilities</v>
      </c>
    </row>
    <row r="135" spans="6:7" x14ac:dyDescent="0.25">
      <c r="F135" s="23" t="s">
        <v>117</v>
      </c>
      <c r="G135" s="19" t="str">
        <f ca="1">'Pseudo-load coefficients'!$C$265</f>
        <v>Section 105-K: Load coefficient</v>
      </c>
    </row>
    <row r="136" spans="6:7" ht="15.75" thickBot="1" x14ac:dyDescent="0.3">
      <c r="F136" s="23" t="s">
        <v>117</v>
      </c>
      <c r="G136" s="19" t="str">
        <f ca="1">'Pseudo-load coefficients'!$C$269</f>
        <v>Section 105-L: Pseudo load coefficients, by unit rate</v>
      </c>
    </row>
    <row r="137" spans="6:7" ht="15.75" thickTop="1" x14ac:dyDescent="0.25">
      <c r="F137" s="22" t="s">
        <v>73</v>
      </c>
      <c r="G137" s="19" t="str">
        <f ca="1">'System peak demand'!$C$18</f>
        <v>Section 106-A: Common inputs for chargeable load calculations</v>
      </c>
    </row>
    <row r="138" spans="6:7" x14ac:dyDescent="0.25">
      <c r="F138" s="23" t="s">
        <v>117</v>
      </c>
      <c r="G138" s="19" t="str">
        <f ca="1">'System peak demand'!$C$67</f>
        <v>Section 106-B: System peak load, by unit rate</v>
      </c>
    </row>
    <row r="139" spans="6:7" x14ac:dyDescent="0.25">
      <c r="F139" s="23" t="s">
        <v>117</v>
      </c>
      <c r="G139" s="19" t="str">
        <f ca="1">'System peak demand'!$C$138</f>
        <v>Section 106-C: System peak load, all unit rates</v>
      </c>
    </row>
    <row r="140" spans="6:7" x14ac:dyDescent="0.25">
      <c r="F140" s="23" t="s">
        <v>117</v>
      </c>
      <c r="G140" s="19" t="str">
        <f ca="1">'System peak demand'!$C$164</f>
        <v>Section 106-D: Unit rate contributions to chargeable peak load</v>
      </c>
    </row>
    <row r="141" spans="6:7" x14ac:dyDescent="0.25">
      <c r="F141" s="23" t="s">
        <v>117</v>
      </c>
      <c r="G141" s="19" t="str">
        <f ca="1">'System peak demand'!$C$184</f>
        <v>Section 106-E: Adjustment of import and exceeded capacity</v>
      </c>
    </row>
    <row r="142" spans="6:7" x14ac:dyDescent="0.25">
      <c r="F142" s="23" t="s">
        <v>117</v>
      </c>
      <c r="G142" s="19" t="str">
        <f ca="1">'System peak demand'!$C$194</f>
        <v>Section 106-F: Calculation of LV circuit diversity factor</v>
      </c>
    </row>
    <row r="143" spans="6:7" x14ac:dyDescent="0.25">
      <c r="F143" s="23" t="s">
        <v>117</v>
      </c>
      <c r="G143" s="19" t="str">
        <f ca="1">'System peak demand'!$C$236</f>
        <v>Section 106-G: Import/exceeded capacity contribution to system peak</v>
      </c>
    </row>
    <row r="144" spans="6:7" x14ac:dyDescent="0.25">
      <c r="F144" s="23" t="s">
        <v>117</v>
      </c>
      <c r="G144" s="19" t="str">
        <f ca="1">'System peak demand'!$C$249</f>
        <v>Section 106-H: Estimated capacity contribution to system peak</v>
      </c>
    </row>
    <row r="145" spans="6:7" ht="15.75" thickBot="1" x14ac:dyDescent="0.3">
      <c r="F145" s="23" t="s">
        <v>117</v>
      </c>
      <c r="G145" s="19" t="str">
        <f ca="1">'System peak demand'!$C$266</f>
        <v>Section 106-I: System peak based on chargeable load</v>
      </c>
    </row>
    <row r="146" spans="6:7" ht="16.5" thickTop="1" thickBot="1" x14ac:dyDescent="0.3">
      <c r="F146" s="22" t="s">
        <v>75</v>
      </c>
      <c r="G146" s="19" t="str">
        <f ca="1">'Service model assets'!$C$14</f>
        <v>Section 107-A: Service model notional asset values</v>
      </c>
    </row>
    <row r="147" spans="6:7" ht="15.75" thickTop="1" x14ac:dyDescent="0.25">
      <c r="F147" s="22" t="s">
        <v>77</v>
      </c>
      <c r="G147" s="19" t="str">
        <f ca="1">'Unit costs'!$C$19</f>
        <v>Section 108-A: Financial data</v>
      </c>
    </row>
    <row r="148" spans="6:7" x14ac:dyDescent="0.25">
      <c r="F148" s="23" t="s">
        <v>117</v>
      </c>
      <c r="G148" s="19" t="str">
        <f ca="1">'Unit costs'!$C$27</f>
        <v>Section 108-B: Diversity and loss adjustment factors</v>
      </c>
    </row>
    <row r="149" spans="6:7" x14ac:dyDescent="0.25">
      <c r="F149" s="23" t="s">
        <v>117</v>
      </c>
      <c r="G149" s="19" t="str">
        <f ca="1">'Unit costs'!$C$35</f>
        <v>Section 108-C: Maximum demand</v>
      </c>
    </row>
    <row r="150" spans="6:7" x14ac:dyDescent="0.25">
      <c r="F150" s="23" t="s">
        <v>117</v>
      </c>
      <c r="G150" s="19" t="str">
        <f ca="1">'Unit costs'!$C$42</f>
        <v>Section 108-D: Rerouting matrix</v>
      </c>
    </row>
    <row r="151" spans="6:7" x14ac:dyDescent="0.25">
      <c r="F151" s="23" t="s">
        <v>117</v>
      </c>
      <c r="G151" s="19" t="str">
        <f ca="1">'Unit costs'!$C$50</f>
        <v>Section 108-E: Annuitised cost of assets</v>
      </c>
    </row>
    <row r="152" spans="6:7" x14ac:dyDescent="0.25">
      <c r="F152" s="23" t="s">
        <v>117</v>
      </c>
      <c r="G152" s="19" t="str">
        <f ca="1">'Unit costs'!$C$62</f>
        <v>Section 108-F: System simultaneous peak load based on chargeable units</v>
      </c>
    </row>
    <row r="153" spans="6:7" x14ac:dyDescent="0.25">
      <c r="F153" s="23" t="s">
        <v>117</v>
      </c>
      <c r="G153" s="19" t="str">
        <f ca="1">'Unit costs'!$C$69</f>
        <v>Section 108-G: Notional asset values, by network level</v>
      </c>
    </row>
    <row r="154" spans="6:7" x14ac:dyDescent="0.25">
      <c r="F154" s="23" t="s">
        <v>117</v>
      </c>
      <c r="G154" s="19" t="str">
        <f ca="1">'Unit costs'!$C$80</f>
        <v>Section 108-H: Other operating costs</v>
      </c>
    </row>
    <row r="155" spans="6:7" x14ac:dyDescent="0.25">
      <c r="F155" s="23" t="s">
        <v>117</v>
      </c>
      <c r="G155" s="19" t="str">
        <f ca="1">'Unit costs'!$C$92</f>
        <v>Section 108-I: Other operating costs by network level</v>
      </c>
    </row>
    <row r="156" spans="6:7" x14ac:dyDescent="0.25">
      <c r="F156" s="23" t="s">
        <v>117</v>
      </c>
      <c r="G156" s="19" t="str">
        <f ca="1">'Unit costs'!$C$104</f>
        <v>Section 108-J: Notional asset values by network level</v>
      </c>
    </row>
    <row r="157" spans="6:7" x14ac:dyDescent="0.25">
      <c r="F157" s="23" t="s">
        <v>117</v>
      </c>
      <c r="G157" s="19" t="str">
        <f ca="1">'Unit costs'!$C$110</f>
        <v>Section 108-K: Unit costs</v>
      </c>
    </row>
    <row r="158" spans="6:7" ht="15.75" thickBot="1" x14ac:dyDescent="0.3">
      <c r="F158" s="23" t="s">
        <v>117</v>
      </c>
      <c r="G158" s="19" t="str">
        <f ca="1">'Unit costs'!$C$117</f>
        <v>Section 108-L: Values used for allocating costs to service models</v>
      </c>
    </row>
    <row r="159" spans="6:7" ht="15.75" thickTop="1" x14ac:dyDescent="0.25">
      <c r="F159" s="22" t="s">
        <v>79</v>
      </c>
      <c r="G159" s="19" t="str">
        <f ca="1">'Initial unit rates'!$C$13</f>
        <v>Section 109-A: Inputs for yardstick and unit rate calculations</v>
      </c>
    </row>
    <row r="160" spans="6:7" x14ac:dyDescent="0.25">
      <c r="F160" s="23" t="s">
        <v>117</v>
      </c>
      <c r="G160" s="19" t="str">
        <f ca="1">'Initial unit rates'!$C$118</f>
        <v>Section 109-B: Yardstick charges</v>
      </c>
    </row>
    <row r="161" spans="6:7" x14ac:dyDescent="0.25">
      <c r="F161" s="23" t="s">
        <v>117</v>
      </c>
      <c r="G161" s="19" t="str">
        <f ca="1">'Initial unit rates'!$C$146</f>
        <v>Section 109-C: Unit rate 1</v>
      </c>
    </row>
    <row r="162" spans="6:7" x14ac:dyDescent="0.25">
      <c r="F162" s="23" t="s">
        <v>117</v>
      </c>
      <c r="G162" s="19" t="str">
        <f ca="1">'Initial unit rates'!$C$175</f>
        <v>Section 109-D: Unit rate 2</v>
      </c>
    </row>
    <row r="163" spans="6:7" ht="15.75" thickBot="1" x14ac:dyDescent="0.3">
      <c r="F163" s="23" t="s">
        <v>117</v>
      </c>
      <c r="G163" s="19" t="str">
        <f ca="1">'Initial unit rates'!$C$204</f>
        <v>Section 109-E: Unit rate 3</v>
      </c>
    </row>
    <row r="164" spans="6:7" ht="15.75" thickTop="1" x14ac:dyDescent="0.25">
      <c r="F164" s="22" t="s">
        <v>81</v>
      </c>
      <c r="G164" s="19" t="str">
        <f ca="1">'Service model charges'!$C$17</f>
        <v>Section 110-A: Inputs to service model charge calculation</v>
      </c>
    </row>
    <row r="165" spans="6:7" x14ac:dyDescent="0.25">
      <c r="F165" s="23" t="s">
        <v>117</v>
      </c>
      <c r="G165" s="19" t="str">
        <f ca="1">'Service model charges'!$C$33</f>
        <v>Section 110-B: Calculation of other operating expenditure per £ of notional asset value</v>
      </c>
    </row>
    <row r="166" spans="6:7" ht="15.75" thickBot="1" x14ac:dyDescent="0.3">
      <c r="F166" s="23" t="s">
        <v>117</v>
      </c>
      <c r="G166" s="19" t="str">
        <f ca="1">'Service model charges'!$C$37</f>
        <v>Section 110-C: Calculation of service model charges</v>
      </c>
    </row>
    <row r="167" spans="6:7" ht="15.75" thickTop="1" x14ac:dyDescent="0.25">
      <c r="F167" s="22" t="s">
        <v>83</v>
      </c>
      <c r="G167" s="19" t="str">
        <f ca="1">'Unit rate charges'!$C$19</f>
        <v>Section 111-A: Initial unit rate 1</v>
      </c>
    </row>
    <row r="168" spans="6:7" x14ac:dyDescent="0.25">
      <c r="F168" s="23" t="s">
        <v>117</v>
      </c>
      <c r="G168" s="19" t="str">
        <f ca="1">'Unit rate charges'!$C$49</f>
        <v>Section 111-B: Initial unit rate 2</v>
      </c>
    </row>
    <row r="169" spans="6:7" x14ac:dyDescent="0.25">
      <c r="F169" s="23" t="s">
        <v>117</v>
      </c>
      <c r="G169" s="19" t="str">
        <f ca="1">'Unit rate charges'!$C$79</f>
        <v>Section 111-C: Initial unit rate 3</v>
      </c>
    </row>
    <row r="170" spans="6:7" x14ac:dyDescent="0.25">
      <c r="F170" s="23" t="s">
        <v>117</v>
      </c>
      <c r="G170" s="19" t="str">
        <f ca="1">'Unit rate charges'!$C$109</f>
        <v>Section 111-D: Standing charge factors</v>
      </c>
    </row>
    <row r="171" spans="6:7" x14ac:dyDescent="0.25">
      <c r="F171" s="23" t="s">
        <v>117</v>
      </c>
      <c r="G171" s="19" t="str">
        <f ca="1">'Unit rate charges'!$C$124</f>
        <v>Section 111-E: Contributions to unit rate 1 p/kWh by network level (taking account of standing charges)</v>
      </c>
    </row>
    <row r="172" spans="6:7" x14ac:dyDescent="0.25">
      <c r="F172" s="23" t="s">
        <v>117</v>
      </c>
      <c r="G172" s="19" t="str">
        <f ca="1">'Unit rate charges'!$C$154</f>
        <v>Section 111-F: Contributions to unit rate 2 p/kWh by network level (taking account of standing charges)</v>
      </c>
    </row>
    <row r="173" spans="6:7" x14ac:dyDescent="0.25">
      <c r="F173" s="23" t="s">
        <v>117</v>
      </c>
      <c r="G173" s="19" t="str">
        <f ca="1">'Unit rate charges'!$C$184</f>
        <v>Section 111-G: Contributions to unit rate 3 p/kWh by network level (taking account of standing charges)</v>
      </c>
    </row>
    <row r="174" spans="6:7" ht="15.75" thickBot="1" x14ac:dyDescent="0.3">
      <c r="F174" s="23" t="s">
        <v>117</v>
      </c>
      <c r="G174" s="19" t="str">
        <f ca="1">'Unit rate charges'!$C$214</f>
        <v>Section 111-H: Unit rates, post application of standing charges</v>
      </c>
    </row>
    <row r="175" spans="6:7" ht="15.75" thickTop="1" x14ac:dyDescent="0.25">
      <c r="F175" s="22" t="s">
        <v>87</v>
      </c>
      <c r="G175" s="19" t="str">
        <f ca="1">'Capacity charges'!$C$19</f>
        <v>Section 112-A: Inputs to capacity charge calculations</v>
      </c>
    </row>
    <row r="176" spans="6:7" x14ac:dyDescent="0.25">
      <c r="F176" s="23" t="s">
        <v>117</v>
      </c>
      <c r="G176" s="19" t="str">
        <f ca="1">'Capacity charges'!$C$129</f>
        <v>Section 112-B: Capacity-based charge elements (to be split between capacity &amp; fixed charges)</v>
      </c>
    </row>
    <row r="177" spans="6:7" x14ac:dyDescent="0.25">
      <c r="F177" s="23" t="s">
        <v>117</v>
      </c>
      <c r="G177" s="19" t="str">
        <f ca="1">'Capacity charges'!$C$159</f>
        <v>Section 112-C: Exceeded capacity-based charge elements</v>
      </c>
    </row>
    <row r="178" spans="6:7" x14ac:dyDescent="0.25">
      <c r="F178" s="23" t="s">
        <v>117</v>
      </c>
      <c r="G178" s="19" t="str">
        <f ca="1">'Capacity charges'!$C$189</f>
        <v>Section 112-D: Capacity charges for eligible customers, by network level</v>
      </c>
    </row>
    <row r="179" spans="6:7" x14ac:dyDescent="0.25">
      <c r="F179" s="23" t="s">
        <v>117</v>
      </c>
      <c r="G179" s="19" t="str">
        <f ca="1">'Capacity charges'!$C$219</f>
        <v>Section 112-E: Exceeded capacity charges for eligible customers, by network level</v>
      </c>
    </row>
    <row r="180" spans="6:7" x14ac:dyDescent="0.25">
      <c r="F180" s="23" t="s">
        <v>117</v>
      </c>
      <c r="G180" s="19" t="str">
        <f ca="1">'Capacity charges'!$C$254</f>
        <v>Section 112-F: Capacity and exceeded capacity charges</v>
      </c>
    </row>
    <row r="181" spans="6:7" ht="15.75" thickBot="1" x14ac:dyDescent="0.3">
      <c r="F181" s="23" t="s">
        <v>117</v>
      </c>
      <c r="G181" s="19" t="str">
        <f ca="1">'Capacity charges'!$C$259</f>
        <v>Section 112-G: Capacity elements allocated to fixed charges</v>
      </c>
    </row>
    <row r="182" spans="6:7" ht="15.75" thickTop="1" x14ac:dyDescent="0.25">
      <c r="F182" s="22" t="s">
        <v>85</v>
      </c>
      <c r="G182" s="19" t="str">
        <f ca="1">'Reactive power charges'!$C$17</f>
        <v>Section 113-A: Inputs to reactive power charge calculations</v>
      </c>
    </row>
    <row r="183" spans="6:7" x14ac:dyDescent="0.25">
      <c r="F183" s="23" t="s">
        <v>117</v>
      </c>
      <c r="G183" s="19" t="str">
        <f ca="1">'Reactive power charges'!$C$120</f>
        <v>Section 113-B: Yardstick charge (demand)</v>
      </c>
    </row>
    <row r="184" spans="6:7" x14ac:dyDescent="0.25">
      <c r="F184" s="23" t="s">
        <v>117</v>
      </c>
      <c r="G184" s="19" t="str">
        <f ca="1">'Reactive power charges'!$C$155</f>
        <v>Section 113-C: Yardstick charge used for generation</v>
      </c>
    </row>
    <row r="185" spans="6:7" x14ac:dyDescent="0.25">
      <c r="F185" s="23" t="s">
        <v>117</v>
      </c>
      <c r="G185" s="19" t="str">
        <f ca="1">'Reactive power charges'!$C$190</f>
        <v>Section 113-D: Reactive power charges, all customer categories</v>
      </c>
    </row>
    <row r="186" spans="6:7" ht="15.75" thickBot="1" x14ac:dyDescent="0.3">
      <c r="F186" s="23" t="s">
        <v>117</v>
      </c>
      <c r="G186" s="19" t="str">
        <f ca="1">'Reactive power charges'!$C$220</f>
        <v>Section 113-E: Reactive power charges for applicable customers</v>
      </c>
    </row>
    <row r="187" spans="6:7" ht="15.75" thickTop="1" x14ac:dyDescent="0.25">
      <c r="F187" s="22" t="s">
        <v>89</v>
      </c>
      <c r="G187" s="19" t="str">
        <f ca="1">'Fixed charges'!$C$16</f>
        <v>Section 114-A: Volumes (discounted MPANs &amp; maximum load)</v>
      </c>
    </row>
    <row r="188" spans="6:7" x14ac:dyDescent="0.25">
      <c r="F188" s="23" t="s">
        <v>117</v>
      </c>
      <c r="G188" s="19" t="str">
        <f ca="1">'Fixed charges'!$C$22</f>
        <v>Section 114-B: Capacity elements allocated to fixed charges</v>
      </c>
    </row>
    <row r="189" spans="6:7" x14ac:dyDescent="0.25">
      <c r="F189" s="23" t="s">
        <v>117</v>
      </c>
      <c r="G189" s="19" t="str">
        <f ca="1">'Fixed charges'!$C$52</f>
        <v>Section 114-C: Service model costs allocated to fixed charges</v>
      </c>
    </row>
    <row r="190" spans="6:7" x14ac:dyDescent="0.25">
      <c r="F190" s="23" t="s">
        <v>117</v>
      </c>
      <c r="G190" s="19" t="str">
        <f ca="1">'Fixed charges'!$C$58</f>
        <v>Section 114-D: Flags</v>
      </c>
    </row>
    <row r="191" spans="6:7" x14ac:dyDescent="0.25">
      <c r="F191" s="23" t="s">
        <v>117</v>
      </c>
      <c r="G191" s="19" t="str">
        <f ca="1">'Fixed charges'!$C$67</f>
        <v>Section 114-E: Revenue allocated to fixed charges</v>
      </c>
    </row>
    <row r="192" spans="6:7" x14ac:dyDescent="0.25">
      <c r="F192" s="23" t="s">
        <v>117</v>
      </c>
      <c r="G192" s="19" t="str">
        <f ca="1">'Fixed charges'!$C$97</f>
        <v>Section 114-F: Revenue allocated to fixed charges, by aggregation group</v>
      </c>
    </row>
    <row r="193" spans="6:7" x14ac:dyDescent="0.25">
      <c r="F193" s="23" t="s">
        <v>117</v>
      </c>
      <c r="G193" s="19" t="str">
        <f ca="1">'Fixed charges'!$C$127</f>
        <v>Section 114-G: Fixed charges, by network level</v>
      </c>
    </row>
    <row r="194" spans="6:7" ht="15.75" thickBot="1" x14ac:dyDescent="0.3">
      <c r="F194" s="23" t="s">
        <v>117</v>
      </c>
      <c r="G194" s="19" t="str">
        <f ca="1">'Fixed charges'!$C$159</f>
        <v>Section 114-H: Aggregated fixed charges</v>
      </c>
    </row>
    <row r="195" spans="6:7" ht="15.75" thickTop="1" x14ac:dyDescent="0.25">
      <c r="F195" s="22" t="s">
        <v>1098</v>
      </c>
      <c r="G195" s="19" t="str">
        <f ca="1">'SoLR &amp; bad debt adders'!$C$16</f>
        <v>Section 115-A: Inputs for fixed tariff adjustments</v>
      </c>
    </row>
    <row r="196" spans="6:7" x14ac:dyDescent="0.25">
      <c r="F196" s="23" t="s">
        <v>117</v>
      </c>
      <c r="G196" s="19" t="str">
        <f ca="1">'SoLR &amp; bad debt adders'!$C$33</f>
        <v>Section 115-B: Calculation of fixed tariff adjustments</v>
      </c>
    </row>
    <row r="197" spans="6:7" ht="15.75" thickBot="1" x14ac:dyDescent="0.3">
      <c r="F197" s="23" t="s">
        <v>117</v>
      </c>
      <c r="G197" s="19" t="str">
        <f ca="1">'SoLR &amp; bad debt adders'!$C$48</f>
        <v>Section 115-C: Calculation of fixed charge adder revenue</v>
      </c>
    </row>
    <row r="198" spans="6:7" ht="15.75" thickTop="1" x14ac:dyDescent="0.25">
      <c r="F198" s="22" t="s">
        <v>91</v>
      </c>
      <c r="G198" s="19" t="str">
        <f ca="1">'Revenue matching'!$C$15</f>
        <v>Section 116-A: Inputs to revenue matching</v>
      </c>
    </row>
    <row r="199" spans="6:7" x14ac:dyDescent="0.25">
      <c r="F199" s="23" t="s">
        <v>117</v>
      </c>
      <c r="G199" s="19" t="str">
        <f ca="1">'Revenue matching'!$C$69</f>
        <v>Section 116-B: Net revenue before matching</v>
      </c>
    </row>
    <row r="200" spans="6:7" x14ac:dyDescent="0.25">
      <c r="F200" s="23" t="s">
        <v>117</v>
      </c>
      <c r="G200" s="19" t="str">
        <f ca="1">'Revenue matching'!$C$88</f>
        <v>Section 116-C: Grouping of residual bands where a band has insufficient customers</v>
      </c>
    </row>
    <row r="201" spans="6:7" x14ac:dyDescent="0.25">
      <c r="F201" s="23" t="s">
        <v>117</v>
      </c>
      <c r="G201" s="19" t="str">
        <f ca="1">'Revenue matching'!$C$151</f>
        <v>Section 116-D: Calculating MPANs for matching</v>
      </c>
    </row>
    <row r="202" spans="6:7" x14ac:dyDescent="0.25">
      <c r="F202" s="23" t="s">
        <v>117</v>
      </c>
      <c r="G202" s="19" t="str">
        <f ca="1">'Revenue matching'!$C$159</f>
        <v>Section 116-E: Calculating unit volumes for matching</v>
      </c>
    </row>
    <row r="203" spans="6:7" x14ac:dyDescent="0.25">
      <c r="F203" s="23" t="s">
        <v>117</v>
      </c>
      <c r="G203" s="19" t="str">
        <f ca="1">'Revenue matching'!$C$176</f>
        <v>Section 116-F: Allocating revenue to tariffs</v>
      </c>
    </row>
    <row r="204" spans="6:7" x14ac:dyDescent="0.25">
      <c r="F204" s="23" t="s">
        <v>117</v>
      </c>
      <c r="G204" s="19" t="str">
        <f ca="1">'Revenue matching'!$C$192</f>
        <v>Section 116-G: Calculating the residual fixed charge</v>
      </c>
    </row>
    <row r="205" spans="6:7" x14ac:dyDescent="0.25">
      <c r="F205" s="23" t="s">
        <v>117</v>
      </c>
      <c r="G205" s="19" t="str">
        <f ca="1">'Revenue matching'!$C$200</f>
        <v>Section 116-H: Calculating the initial residual unit rate</v>
      </c>
    </row>
    <row r="206" spans="6:7" x14ac:dyDescent="0.25">
      <c r="F206" s="23" t="s">
        <v>117</v>
      </c>
      <c r="G206" s="19" t="str">
        <f ca="1">'Revenue matching'!$C$213</f>
        <v>Section 116-I: Floor on negative residual fixed charges</v>
      </c>
    </row>
    <row r="207" spans="6:7" x14ac:dyDescent="0.25">
      <c r="F207" s="23" t="s">
        <v>117</v>
      </c>
      <c r="G207" s="19" t="str">
        <f ca="1">'Revenue matching'!$C$232</f>
        <v>Section 116-J: Ranking unit rate volumes and tariffs</v>
      </c>
    </row>
    <row r="208" spans="6:7" x14ac:dyDescent="0.25">
      <c r="F208" s="23" t="s">
        <v>117</v>
      </c>
      <c r="G208" s="19" t="str">
        <f ca="1">'Revenue matching'!$C$286</f>
        <v>Section 116-K: Revenue matching for three timebands</v>
      </c>
    </row>
    <row r="209" spans="6:7" x14ac:dyDescent="0.25">
      <c r="F209" s="23" t="s">
        <v>117</v>
      </c>
      <c r="G209" s="19" t="str">
        <f ca="1">'Revenue matching'!$C$313</f>
        <v>Section 116-L: Revenue matching for two timebands</v>
      </c>
    </row>
    <row r="210" spans="6:7" x14ac:dyDescent="0.25">
      <c r="F210" s="23" t="s">
        <v>117</v>
      </c>
      <c r="G210" s="19" t="str">
        <f ca="1">'Revenue matching'!$C$345</f>
        <v>Section 116-M: Revenue matching for one timeband</v>
      </c>
    </row>
    <row r="211" spans="6:7" x14ac:dyDescent="0.25">
      <c r="F211" s="23" t="s">
        <v>117</v>
      </c>
      <c r="G211" s="19" t="str">
        <f ca="1">'Revenue matching'!$C$377</f>
        <v>Section 116-N: Revenue matching adders by timeband</v>
      </c>
    </row>
    <row r="212" spans="6:7" ht="15.75" thickBot="1" x14ac:dyDescent="0.3">
      <c r="F212" s="23" t="s">
        <v>117</v>
      </c>
      <c r="G212" s="19" t="str">
        <f ca="1">'Revenue matching'!$C$409</f>
        <v>Section 116-O: Final adders</v>
      </c>
    </row>
    <row r="213" spans="6:7" ht="15.75" thickTop="1" x14ac:dyDescent="0.25">
      <c r="F213" s="22" t="s">
        <v>93</v>
      </c>
      <c r="G213" s="19" t="str">
        <f ca="1">Rounding!$C$16</f>
        <v>Section 117-A: Pre-match, pre-rounding tariff forecast</v>
      </c>
    </row>
    <row r="214" spans="6:7" x14ac:dyDescent="0.25">
      <c r="F214" s="23" t="s">
        <v>117</v>
      </c>
      <c r="G214" s="19" t="str">
        <f ca="1">Rounding!$C$28</f>
        <v>Section 117-B: Adders for revenue matching</v>
      </c>
    </row>
    <row r="215" spans="6:7" x14ac:dyDescent="0.25">
      <c r="F215" s="23" t="s">
        <v>117</v>
      </c>
      <c r="G215" s="19" t="str">
        <f ca="1">Rounding!$C$40</f>
        <v>Section 117-C: Adder to fixed charge for allocated pass-through costs</v>
      </c>
    </row>
    <row r="216" spans="6:7" x14ac:dyDescent="0.25">
      <c r="F216" s="23" t="s">
        <v>117</v>
      </c>
      <c r="G216" s="19" t="str">
        <f ca="1">Rounding!$C$52</f>
        <v>Section 117-D: LDNO discounts</v>
      </c>
    </row>
    <row r="217" spans="6:7" x14ac:dyDescent="0.25">
      <c r="F217" s="23" t="s">
        <v>117</v>
      </c>
      <c r="G217" s="19" t="str">
        <f ca="1">Rounding!$C$92</f>
        <v>Section 117-E: Decimal places for rounding</v>
      </c>
    </row>
    <row r="218" spans="6:7" x14ac:dyDescent="0.25">
      <c r="F218" s="23" t="s">
        <v>117</v>
      </c>
      <c r="G218" s="19" t="str">
        <f ca="1">Rounding!$C$107</f>
        <v>Section 117-F: Tariff forecast, post-revenue matching</v>
      </c>
    </row>
    <row r="219" spans="6:7" x14ac:dyDescent="0.25">
      <c r="F219" s="23" t="s">
        <v>117</v>
      </c>
      <c r="G219" s="19" t="str">
        <f ca="1">Rounding!$C$118</f>
        <v>Section 117-G: Tariff forecast, post-adders &amp; discounting</v>
      </c>
    </row>
    <row r="220" spans="6:7" ht="15.75" thickBot="1" x14ac:dyDescent="0.3">
      <c r="F220" s="23" t="s">
        <v>117</v>
      </c>
      <c r="G220" s="19" t="str">
        <f ca="1">Rounding!$C$147</f>
        <v>Section 117-H: Tariff forecast, post-rounding</v>
      </c>
    </row>
    <row r="221" spans="6:7" ht="15.75" thickTop="1" x14ac:dyDescent="0.25">
      <c r="F221" s="22" t="s">
        <v>95</v>
      </c>
      <c r="G221" s="19" t="str">
        <f ca="1">'Net revenue summary'!$C$13</f>
        <v>Section 118-A: Volume forecasts</v>
      </c>
    </row>
    <row r="222" spans="6:7" x14ac:dyDescent="0.25">
      <c r="F222" s="23" t="s">
        <v>117</v>
      </c>
      <c r="G222" s="19" t="str">
        <f ca="1">'Net revenue summary'!$C$52</f>
        <v>Section 118-B: Tariff forecast</v>
      </c>
    </row>
    <row r="223" spans="6:7" x14ac:dyDescent="0.25">
      <c r="F223" s="23" t="s">
        <v>117</v>
      </c>
      <c r="G223" s="19" t="str">
        <f ca="1">'Net revenue summary'!$C$81</f>
        <v>Section 118-C: Net revenue components</v>
      </c>
    </row>
    <row r="224" spans="6:7" x14ac:dyDescent="0.25">
      <c r="F224" s="23" t="s">
        <v>117</v>
      </c>
      <c r="G224" s="19" t="str">
        <f ca="1">'Net revenue summary'!$C$92</f>
        <v>Section 118-D: Net revenue by tariff</v>
      </c>
    </row>
    <row r="225" spans="2:7" x14ac:dyDescent="0.25">
      <c r="F225" s="23" t="s">
        <v>117</v>
      </c>
      <c r="G225" s="19" t="str">
        <f ca="1">'Net revenue summary'!$C$124</f>
        <v>Section 118-E: Net revenue summary (for information only)</v>
      </c>
    </row>
    <row r="226" spans="2:7" x14ac:dyDescent="0.25">
      <c r="F226" s="23" t="s">
        <v>117</v>
      </c>
      <c r="G226" s="19" t="str">
        <f ca="1">'Net revenue summary'!$C$138</f>
        <v>Section 118-F: Typical bills</v>
      </c>
    </row>
    <row r="227" spans="2:7" x14ac:dyDescent="0.25">
      <c r="F227" s="23" t="s">
        <v>117</v>
      </c>
      <c r="G227" s="19" t="str">
        <f ca="1">'Net revenue summary'!$C$144</f>
        <v>Section 118-G: Average bill per kWh</v>
      </c>
    </row>
    <row r="228" spans="2:7" x14ac:dyDescent="0.25">
      <c r="F228" s="23" t="s">
        <v>117</v>
      </c>
      <c r="G228" s="19" t="str">
        <f ca="1">'Net revenue summary'!$C$152</f>
        <v>Section 118-H: Previous year all the way tariff forecast</v>
      </c>
    </row>
    <row r="229" spans="2:7" x14ac:dyDescent="0.25">
      <c r="F229" s="23" t="s">
        <v>117</v>
      </c>
      <c r="G229" s="19" t="str">
        <f ca="1">'Net revenue summary'!$C$163</f>
        <v>Section 118-I: Previous year net revenue from all the way tariff forecast</v>
      </c>
    </row>
    <row r="230" spans="2:7" x14ac:dyDescent="0.25">
      <c r="F230" s="23" t="s">
        <v>117</v>
      </c>
      <c r="G230" s="19" t="str">
        <f ca="1">'Net revenue summary'!$C$178</f>
        <v>Section 118-J: LDNO typical bills using all-the-way volumes</v>
      </c>
    </row>
    <row r="231" spans="2:7" ht="15.75" thickBot="1" x14ac:dyDescent="0.3">
      <c r="F231" s="23" t="s">
        <v>117</v>
      </c>
      <c r="G231" s="19" t="str">
        <f ca="1">'Net revenue summary'!$C$202</f>
        <v>Section 118-K: LDNO margins</v>
      </c>
    </row>
    <row r="232" spans="2:7" ht="16.5" thickTop="1" thickBot="1" x14ac:dyDescent="0.3">
      <c r="F232" s="24" t="s">
        <v>97</v>
      </c>
      <c r="G232" s="19" t="str">
        <f>'Tariff summary'!$C$13</f>
        <v>Output 101-A: Tariffs for 2026/27</v>
      </c>
    </row>
    <row r="233" spans="2:7" ht="15.75" thickTop="1" x14ac:dyDescent="0.25">
      <c r="F233" s="24" t="s">
        <v>99</v>
      </c>
      <c r="G233" s="19" t="str">
        <f ca="1">'Output to other models'!$C$14</f>
        <v>Output 102-A: CDCM notional EHV asset values</v>
      </c>
    </row>
    <row r="234" spans="2:7" x14ac:dyDescent="0.25">
      <c r="F234" s="27"/>
      <c r="G234" s="19" t="str">
        <f ca="1">'Output to other models'!$C$25</f>
        <v>Output 102-B: CDCM smart meter communication licence costs</v>
      </c>
    </row>
    <row r="235" spans="2:7" x14ac:dyDescent="0.25">
      <c r="F235" s="25" t="s">
        <v>117</v>
      </c>
      <c r="G235" s="19" t="str">
        <f ca="1">'Output to other models'!$C$33</f>
        <v>Output 102-C: CDCM end user tariff forecast</v>
      </c>
    </row>
    <row r="236" spans="2:7" x14ac:dyDescent="0.25">
      <c r="F236" s="25" t="s">
        <v>117</v>
      </c>
      <c r="G236" s="19" t="str">
        <f ca="1">'Output to other models'!$C$51</f>
        <v>Output 102-D: CDCM non-tariff outputs to EDCM</v>
      </c>
    </row>
    <row r="237" spans="2:7" x14ac:dyDescent="0.25">
      <c r="F237" s="25" t="s">
        <v>117</v>
      </c>
      <c r="G237" s="19" t="str">
        <f ca="1">'Output to other models'!$C$63</f>
        <v>Output 102-E: Outputs for DNOs' internal use</v>
      </c>
    </row>
    <row r="238" spans="2:7" x14ac:dyDescent="0.25">
      <c r="F238" s="25" t="s">
        <v>117</v>
      </c>
      <c r="G238" s="19" t="str">
        <f ca="1">'Output to other models'!$C$73</f>
        <v>Output 102-F: Outputs for IDNOs' internal use</v>
      </c>
    </row>
    <row r="240" spans="2:7" x14ac:dyDescent="0.25">
      <c r="B240" s="85" t="s">
        <v>107</v>
      </c>
      <c r="C240" s="85"/>
      <c r="D240" s="85"/>
      <c r="E240" s="85"/>
      <c r="F240" s="85"/>
      <c r="G240" s="8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NGED South West - [enter data version name]</v>
      </c>
    </row>
    <row r="3" spans="1:8" s="5" customFormat="1" x14ac:dyDescent="0.25">
      <c r="A3" s="5" t="str">
        <f>Cover!D2&amp;" - "&amp;Cover!D8&amp;" v"&amp;Cover!D10&amp;" - "&amp;Cover!D19</f>
        <v>CDCM charging model - Release for charge setting v11 - 2026/27</v>
      </c>
    </row>
    <row r="5" spans="1:8" x14ac:dyDescent="0.25">
      <c r="B5" s="64" t="s">
        <v>122</v>
      </c>
      <c r="C5" s="64"/>
      <c r="D5" s="64"/>
      <c r="E5" s="64"/>
      <c r="F5" s="65"/>
      <c r="G5" s="65"/>
      <c r="H5" s="65"/>
    </row>
    <row r="6" spans="1:8" x14ac:dyDescent="0.25">
      <c r="B6" s="63"/>
      <c r="C6" s="63"/>
      <c r="D6" s="63"/>
      <c r="E6" s="63"/>
      <c r="F6" s="66"/>
      <c r="G6" s="63"/>
      <c r="H6" s="63"/>
    </row>
    <row r="7" spans="1:8" x14ac:dyDescent="0.25">
      <c r="F7" s="19" t="s">
        <v>123</v>
      </c>
      <c r="G7" t="s">
        <v>124</v>
      </c>
      <c r="H7" t="s">
        <v>115</v>
      </c>
    </row>
    <row r="8" spans="1:8" x14ac:dyDescent="0.25">
      <c r="F8" s="19" t="s">
        <v>125</v>
      </c>
      <c r="G8" t="s">
        <v>126</v>
      </c>
      <c r="H8" t="s">
        <v>54</v>
      </c>
    </row>
    <row r="9" spans="1:8" x14ac:dyDescent="0.25">
      <c r="F9" s="19" t="s">
        <v>127</v>
      </c>
      <c r="G9" t="s">
        <v>128</v>
      </c>
      <c r="H9" t="s">
        <v>61</v>
      </c>
    </row>
    <row r="10" spans="1:8" x14ac:dyDescent="0.25">
      <c r="F10" s="19" t="s">
        <v>129</v>
      </c>
      <c r="G10" t="s">
        <v>130</v>
      </c>
      <c r="H10" t="s">
        <v>115</v>
      </c>
    </row>
    <row r="11" spans="1:8" x14ac:dyDescent="0.25">
      <c r="F11" s="19" t="s">
        <v>131</v>
      </c>
      <c r="G11" t="s">
        <v>132</v>
      </c>
      <c r="H11" t="s">
        <v>54</v>
      </c>
    </row>
    <row r="12" spans="1:8" x14ac:dyDescent="0.25">
      <c r="F12" s="19" t="s">
        <v>133</v>
      </c>
      <c r="G12" t="s">
        <v>134</v>
      </c>
      <c r="H12" t="s">
        <v>61</v>
      </c>
    </row>
    <row r="13" spans="1:8" x14ac:dyDescent="0.25">
      <c r="F13" s="19" t="s">
        <v>135</v>
      </c>
      <c r="G13" t="s">
        <v>136</v>
      </c>
      <c r="H13" t="s">
        <v>54</v>
      </c>
    </row>
    <row r="14" spans="1:8" x14ac:dyDescent="0.25">
      <c r="F14" s="19" t="s">
        <v>137</v>
      </c>
      <c r="G14" t="s">
        <v>138</v>
      </c>
      <c r="H14" t="s">
        <v>54</v>
      </c>
    </row>
    <row r="15" spans="1:8" x14ac:dyDescent="0.25">
      <c r="F15" s="19" t="s">
        <v>139</v>
      </c>
      <c r="G15" t="s">
        <v>140</v>
      </c>
      <c r="H15" t="s">
        <v>54</v>
      </c>
    </row>
    <row r="16" spans="1:8" x14ac:dyDescent="0.25">
      <c r="F16" s="19" t="s">
        <v>141</v>
      </c>
      <c r="G16" t="s">
        <v>1165</v>
      </c>
      <c r="H16" t="s">
        <v>54</v>
      </c>
    </row>
    <row r="17" spans="2:8" x14ac:dyDescent="0.25">
      <c r="F17" s="19" t="s">
        <v>1163</v>
      </c>
      <c r="G17" t="s">
        <v>1164</v>
      </c>
      <c r="H17" t="s">
        <v>54</v>
      </c>
    </row>
    <row r="18" spans="2:8" x14ac:dyDescent="0.25">
      <c r="F18" s="19"/>
    </row>
    <row r="19" spans="2:8" x14ac:dyDescent="0.25">
      <c r="B19" s="64" t="s">
        <v>107</v>
      </c>
      <c r="C19" s="64"/>
      <c r="D19" s="64"/>
      <c r="E19" s="64"/>
      <c r="F19" s="65"/>
      <c r="G19" s="65"/>
      <c r="H19" s="65"/>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 ref="F17" location="'Fixed inputs'!H19" display="million"/>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H197 &amp; IF(H197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146</v>
      </c>
    </row>
    <row r="11" spans="1:43" x14ac:dyDescent="0.25">
      <c r="B11" s="85" t="s">
        <v>54</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25">
      <c r="C13" s="93" t="str">
        <f ca="1">INDEX('Version control'!$H$41:$H$64,MATCH($A$1,'Version control'!$F$41:$F$64,0),1)&amp;"-A: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132</v>
      </c>
      <c r="G15" t="s">
        <v>147</v>
      </c>
      <c r="H15" s="32">
        <v>24</v>
      </c>
    </row>
    <row r="16" spans="1:43" x14ac:dyDescent="0.25">
      <c r="E16" s="94" t="s">
        <v>148</v>
      </c>
      <c r="G16" t="s">
        <v>149</v>
      </c>
      <c r="H16" s="32">
        <v>10</v>
      </c>
    </row>
    <row r="17" spans="3:43" x14ac:dyDescent="0.25">
      <c r="E17" s="94" t="s">
        <v>150</v>
      </c>
      <c r="G17" t="s">
        <v>149</v>
      </c>
      <c r="H17" s="32">
        <v>100</v>
      </c>
    </row>
    <row r="18" spans="3:43" x14ac:dyDescent="0.25">
      <c r="E18" s="94" t="s">
        <v>151</v>
      </c>
      <c r="G18" t="s">
        <v>149</v>
      </c>
      <c r="H18" s="32">
        <v>1000</v>
      </c>
    </row>
    <row r="19" spans="3:43" x14ac:dyDescent="0.25">
      <c r="E19" s="94" t="s">
        <v>1162</v>
      </c>
      <c r="G19" t="s">
        <v>149</v>
      </c>
      <c r="H19" s="32">
        <v>1000000</v>
      </c>
    </row>
    <row r="21" spans="3:43" x14ac:dyDescent="0.25">
      <c r="C21" s="93" t="str">
        <f ca="1">INDEX('Version control'!$H$41:$H$64,MATCH($A$1,'Version control'!$F$41:$F$64,0),1)&amp;"-B: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25">
      <c r="D23" s="86" t="s">
        <v>152</v>
      </c>
    </row>
    <row r="24" spans="3:43" x14ac:dyDescent="0.25">
      <c r="E24" s="75"/>
    </row>
    <row r="25" spans="3:43" x14ac:dyDescent="0.25">
      <c r="E25" s="75" t="s">
        <v>153</v>
      </c>
      <c r="F25" s="86"/>
      <c r="I25" t="s">
        <v>154</v>
      </c>
      <c r="AQ25" t="s">
        <v>155</v>
      </c>
    </row>
    <row r="26" spans="3:43" x14ac:dyDescent="0.25">
      <c r="F26" s="95" t="s">
        <v>156</v>
      </c>
      <c r="G26" s="95" t="s">
        <v>149</v>
      </c>
      <c r="H26" s="8">
        <v>3</v>
      </c>
    </row>
    <row r="27" spans="3:43" x14ac:dyDescent="0.25">
      <c r="F27" t="s">
        <v>157</v>
      </c>
      <c r="G27" t="s">
        <v>149</v>
      </c>
      <c r="H27" s="7">
        <v>3</v>
      </c>
    </row>
    <row r="28" spans="3:43" x14ac:dyDescent="0.25">
      <c r="F28" t="s">
        <v>158</v>
      </c>
      <c r="G28" t="s">
        <v>149</v>
      </c>
      <c r="H28" s="7">
        <v>3</v>
      </c>
    </row>
    <row r="29" spans="3:43" x14ac:dyDescent="0.25">
      <c r="F29" t="s">
        <v>159</v>
      </c>
      <c r="G29" t="s">
        <v>149</v>
      </c>
      <c r="H29" s="7">
        <v>2</v>
      </c>
    </row>
    <row r="30" spans="3:43" x14ac:dyDescent="0.25">
      <c r="F30" t="s">
        <v>160</v>
      </c>
      <c r="G30" t="s">
        <v>149</v>
      </c>
      <c r="H30" s="7">
        <v>2</v>
      </c>
    </row>
    <row r="31" spans="3:43" x14ac:dyDescent="0.25">
      <c r="F31" t="s">
        <v>161</v>
      </c>
      <c r="G31" t="s">
        <v>149</v>
      </c>
      <c r="H31" s="7">
        <v>2</v>
      </c>
    </row>
    <row r="32" spans="3:43" x14ac:dyDescent="0.25">
      <c r="F32" s="96" t="s">
        <v>162</v>
      </c>
      <c r="G32" s="96" t="s">
        <v>149</v>
      </c>
      <c r="H32" s="9">
        <v>3</v>
      </c>
    </row>
    <row r="34" spans="3:43" x14ac:dyDescent="0.25">
      <c r="C34" s="93" t="str">
        <f ca="1">INDEX('Version control'!$H$41:$H$64,MATCH($A$1,'Version control'!$F$41:$F$64,0),1)&amp;"-C: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25">
      <c r="E36" s="94" t="s">
        <v>163</v>
      </c>
      <c r="G36" t="s">
        <v>164</v>
      </c>
      <c r="H36" s="7">
        <v>40</v>
      </c>
      <c r="I36" t="s">
        <v>154</v>
      </c>
      <c r="AQ36" s="3" t="s">
        <v>165</v>
      </c>
    </row>
    <row r="38" spans="3:43" x14ac:dyDescent="0.25">
      <c r="E38" s="94" t="s">
        <v>166</v>
      </c>
      <c r="G38" t="s">
        <v>167</v>
      </c>
      <c r="H38" s="7">
        <v>0.95</v>
      </c>
      <c r="I38" t="s">
        <v>154</v>
      </c>
      <c r="AQ38" t="s">
        <v>168</v>
      </c>
    </row>
    <row r="40" spans="3:43" x14ac:dyDescent="0.25">
      <c r="E40" s="94" t="s">
        <v>169</v>
      </c>
      <c r="G40" t="s">
        <v>167</v>
      </c>
      <c r="H40" s="10">
        <v>0.6</v>
      </c>
      <c r="I40" t="s">
        <v>154</v>
      </c>
      <c r="AQ40" s="3" t="s">
        <v>170</v>
      </c>
    </row>
    <row r="42" spans="3:43" x14ac:dyDescent="0.25">
      <c r="E42" s="94" t="s">
        <v>171</v>
      </c>
      <c r="G42" s="94" t="s">
        <v>172</v>
      </c>
      <c r="H42" s="7">
        <v>500</v>
      </c>
      <c r="I42" t="s">
        <v>154</v>
      </c>
      <c r="AQ42" s="97" t="s">
        <v>173</v>
      </c>
    </row>
    <row r="44" spans="3:43" x14ac:dyDescent="0.25">
      <c r="C44" s="93" t="str">
        <f ca="1">INDEX('Version control'!$H$41:$H$64,MATCH($A$1,'Version control'!$F$41:$F$64,0),1)&amp;"-D: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25">
      <c r="E46" s="75" t="s">
        <v>174</v>
      </c>
    </row>
    <row r="47" spans="3:43" x14ac:dyDescent="0.25">
      <c r="F47" s="98" t="s">
        <v>175</v>
      </c>
      <c r="G47" s="95" t="s">
        <v>176</v>
      </c>
      <c r="H47" s="95"/>
      <c r="I47" s="95"/>
      <c r="J47" s="8">
        <v>1</v>
      </c>
      <c r="K47" s="8">
        <v>1</v>
      </c>
      <c r="L47" s="8">
        <v>1</v>
      </c>
      <c r="M47" s="8">
        <v>1</v>
      </c>
      <c r="N47" s="8">
        <v>1</v>
      </c>
      <c r="O47" s="8">
        <v>0</v>
      </c>
      <c r="P47" s="8">
        <v>0</v>
      </c>
      <c r="Q47" s="8">
        <v>1</v>
      </c>
      <c r="R47" s="99"/>
      <c r="S47" s="99"/>
      <c r="T47" s="99"/>
      <c r="U47" s="99"/>
      <c r="V47" s="99"/>
      <c r="W47" s="99"/>
      <c r="X47" s="99"/>
      <c r="Y47" s="99"/>
    </row>
    <row r="48" spans="3:43" x14ac:dyDescent="0.25">
      <c r="F48" s="94" t="s">
        <v>177</v>
      </c>
      <c r="G48" t="s">
        <v>176</v>
      </c>
      <c r="J48" s="7">
        <v>1</v>
      </c>
      <c r="K48" s="7">
        <v>1</v>
      </c>
      <c r="L48" s="7">
        <v>1</v>
      </c>
      <c r="M48" s="7">
        <v>1</v>
      </c>
      <c r="N48" s="7">
        <v>1</v>
      </c>
      <c r="O48" s="7">
        <v>0</v>
      </c>
      <c r="P48" s="7">
        <v>0</v>
      </c>
      <c r="Q48" s="7">
        <v>1</v>
      </c>
      <c r="R48" s="100"/>
      <c r="S48" s="100"/>
      <c r="T48" s="100"/>
      <c r="U48" s="100"/>
      <c r="V48" s="100"/>
      <c r="W48" s="100"/>
      <c r="X48" s="100"/>
      <c r="Y48" s="100"/>
    </row>
    <row r="49" spans="5:43" x14ac:dyDescent="0.25">
      <c r="F49" s="94" t="s">
        <v>178</v>
      </c>
      <c r="G49" t="s">
        <v>176</v>
      </c>
      <c r="J49" s="7">
        <v>0</v>
      </c>
      <c r="K49" s="7">
        <v>0</v>
      </c>
      <c r="L49" s="7">
        <v>0</v>
      </c>
      <c r="M49" s="7">
        <v>0</v>
      </c>
      <c r="N49" s="7">
        <v>0</v>
      </c>
      <c r="O49" s="7">
        <v>1</v>
      </c>
      <c r="P49" s="7">
        <v>0</v>
      </c>
      <c r="Q49" s="7">
        <v>0</v>
      </c>
      <c r="R49" s="100"/>
      <c r="S49" s="100"/>
      <c r="T49" s="100"/>
      <c r="U49" s="100"/>
      <c r="V49" s="100"/>
      <c r="W49" s="100"/>
      <c r="X49" s="100"/>
      <c r="Y49" s="100"/>
    </row>
    <row r="50" spans="5:43" x14ac:dyDescent="0.25">
      <c r="F50" s="101" t="s">
        <v>179</v>
      </c>
      <c r="G50" s="96" t="s">
        <v>176</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25">
      <c r="E52" s="75" t="s">
        <v>180</v>
      </c>
      <c r="I52" t="s">
        <v>154</v>
      </c>
      <c r="AQ52" s="3" t="s">
        <v>181</v>
      </c>
    </row>
    <row r="53" spans="5:43" x14ac:dyDescent="0.25">
      <c r="E53" s="86" t="s">
        <v>182</v>
      </c>
    </row>
    <row r="54" spans="5:43" x14ac:dyDescent="0.25">
      <c r="F54" s="98" t="s">
        <v>183</v>
      </c>
      <c r="G54" s="95" t="s">
        <v>176</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25">
      <c r="F55" s="94" t="s">
        <v>184</v>
      </c>
      <c r="G55" t="s">
        <v>176</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25">
      <c r="F56" s="94" t="s">
        <v>185</v>
      </c>
      <c r="G56" t="s">
        <v>176</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25">
      <c r="F57" s="101" t="s">
        <v>186</v>
      </c>
      <c r="G57" s="96" t="s">
        <v>176</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25">
      <c r="H58" s="3"/>
      <c r="I58" s="3"/>
    </row>
    <row r="59" spans="5:43" x14ac:dyDescent="0.25">
      <c r="E59" s="75" t="s">
        <v>187</v>
      </c>
    </row>
    <row r="60" spans="5:43" x14ac:dyDescent="0.25">
      <c r="E60" s="86" t="s">
        <v>188</v>
      </c>
    </row>
    <row r="61" spans="5:43" x14ac:dyDescent="0.25">
      <c r="F61" s="95" t="s">
        <v>189</v>
      </c>
      <c r="G61" s="95" t="s">
        <v>190</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25">
      <c r="F62" t="s">
        <v>191</v>
      </c>
      <c r="G62" t="s">
        <v>190</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192</v>
      </c>
      <c r="G63" t="s">
        <v>190</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193</v>
      </c>
      <c r="G64" t="s">
        <v>190</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194</v>
      </c>
      <c r="G65" t="s">
        <v>190</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195</v>
      </c>
      <c r="G66" t="s">
        <v>190</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196</v>
      </c>
      <c r="G67" t="s">
        <v>190</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197</v>
      </c>
      <c r="G68" t="s">
        <v>190</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25">
      <c r="F69" t="s">
        <v>198</v>
      </c>
      <c r="G69" t="s">
        <v>190</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25">
      <c r="F70" s="96" t="s">
        <v>199</v>
      </c>
      <c r="G70" s="96" t="s">
        <v>190</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25">
      <c r="E72" s="75" t="s">
        <v>200</v>
      </c>
      <c r="I72" t="s">
        <v>154</v>
      </c>
      <c r="AQ72" s="3" t="s">
        <v>201</v>
      </c>
    </row>
    <row r="73" spans="5:43" x14ac:dyDescent="0.25">
      <c r="E73" s="86" t="s">
        <v>202</v>
      </c>
    </row>
    <row r="74" spans="5:43" x14ac:dyDescent="0.25">
      <c r="E74" s="86"/>
      <c r="F74" s="95" t="s">
        <v>189</v>
      </c>
      <c r="G74" s="95" t="s">
        <v>190</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25">
      <c r="E75" s="86"/>
      <c r="F75" t="s">
        <v>191</v>
      </c>
      <c r="G75" t="s">
        <v>190</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86"/>
      <c r="F76" t="s">
        <v>192</v>
      </c>
      <c r="G76" t="s">
        <v>190</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86"/>
      <c r="F77" t="s">
        <v>193</v>
      </c>
      <c r="G77" t="s">
        <v>190</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86"/>
      <c r="F78" t="s">
        <v>194</v>
      </c>
      <c r="G78" t="s">
        <v>190</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86"/>
      <c r="F79" t="s">
        <v>195</v>
      </c>
      <c r="G79" t="s">
        <v>190</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86"/>
      <c r="F80" t="s">
        <v>196</v>
      </c>
      <c r="G80" t="s">
        <v>190</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25">
      <c r="E81" s="86"/>
      <c r="F81" t="s">
        <v>197</v>
      </c>
      <c r="G81" t="s">
        <v>190</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25">
      <c r="E82" s="86"/>
      <c r="F82" t="s">
        <v>198</v>
      </c>
      <c r="G82" t="s">
        <v>190</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25">
      <c r="E83" s="86"/>
      <c r="F83" s="96" t="s">
        <v>199</v>
      </c>
      <c r="G83" s="96" t="s">
        <v>190</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25">
      <c r="C85" s="93" t="str">
        <f ca="1">INDEX('Version control'!$H$41:$H$64,MATCH($A$1,'Version control'!$F$41:$F$64,0),1)&amp;"-E: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25">
      <c r="E87" s="75" t="s">
        <v>121</v>
      </c>
      <c r="F87" s="75"/>
      <c r="I87" t="s">
        <v>154</v>
      </c>
      <c r="AQ87" t="s">
        <v>203</v>
      </c>
    </row>
    <row r="88" spans="3:43" x14ac:dyDescent="0.25">
      <c r="E88" s="86" t="s">
        <v>817</v>
      </c>
      <c r="F88" s="86"/>
    </row>
    <row r="89" spans="3:43" x14ac:dyDescent="0.25">
      <c r="E89" s="86"/>
      <c r="F89" s="95" t="s">
        <v>189</v>
      </c>
      <c r="G89" s="95" t="s">
        <v>167</v>
      </c>
      <c r="H89" s="95"/>
      <c r="I89" s="95"/>
      <c r="J89" s="99"/>
      <c r="K89" s="99"/>
      <c r="L89" s="99"/>
      <c r="M89" s="99"/>
      <c r="N89" s="99"/>
      <c r="O89" s="99"/>
      <c r="P89" s="99"/>
      <c r="Q89" s="99"/>
      <c r="R89" s="99"/>
      <c r="S89" s="99"/>
      <c r="T89" s="99"/>
      <c r="U89" s="99"/>
      <c r="V89" s="99"/>
      <c r="W89" s="99"/>
      <c r="X89" s="99"/>
      <c r="Y89" s="99"/>
    </row>
    <row r="90" spans="3:43" x14ac:dyDescent="0.25">
      <c r="E90" s="86"/>
      <c r="F90" t="s">
        <v>191</v>
      </c>
      <c r="G90" t="s">
        <v>167</v>
      </c>
      <c r="J90" s="100"/>
      <c r="K90" s="100"/>
      <c r="L90" s="100"/>
      <c r="M90" s="100"/>
      <c r="N90" s="100"/>
      <c r="O90" s="100"/>
      <c r="P90" s="100"/>
      <c r="Q90" s="100"/>
      <c r="R90" s="100"/>
      <c r="S90" s="100"/>
      <c r="T90" s="100"/>
      <c r="U90" s="100"/>
      <c r="V90" s="100"/>
      <c r="W90" s="100"/>
      <c r="X90" s="100"/>
      <c r="Y90" s="100"/>
    </row>
    <row r="91" spans="3:43" x14ac:dyDescent="0.25">
      <c r="E91" s="86"/>
      <c r="F91" t="s">
        <v>192</v>
      </c>
      <c r="G91" t="s">
        <v>167</v>
      </c>
      <c r="J91" s="103"/>
      <c r="K91" s="103"/>
      <c r="L91" s="103"/>
      <c r="M91" s="103"/>
      <c r="N91" s="103"/>
      <c r="O91" s="103"/>
      <c r="P91" s="103"/>
      <c r="Q91" s="103"/>
      <c r="R91" s="100"/>
      <c r="S91" s="100"/>
      <c r="T91" s="100"/>
      <c r="U91" s="100"/>
      <c r="V91" s="100"/>
      <c r="W91" s="100"/>
      <c r="X91" s="100"/>
      <c r="Y91" s="100"/>
    </row>
    <row r="92" spans="3:43" x14ac:dyDescent="0.25">
      <c r="E92" s="86"/>
      <c r="F92" t="s">
        <v>193</v>
      </c>
      <c r="G92" t="s">
        <v>167</v>
      </c>
      <c r="J92" s="103"/>
      <c r="K92" s="103"/>
      <c r="L92" s="103"/>
      <c r="M92" s="103"/>
      <c r="N92" s="103"/>
      <c r="O92" s="103"/>
      <c r="P92" s="103"/>
      <c r="Q92" s="103"/>
      <c r="R92" s="100"/>
      <c r="S92" s="100"/>
      <c r="T92" s="100"/>
      <c r="U92" s="100"/>
      <c r="V92" s="100"/>
      <c r="W92" s="100"/>
      <c r="X92" s="100"/>
      <c r="Y92" s="100"/>
    </row>
    <row r="93" spans="3:43" x14ac:dyDescent="0.25">
      <c r="E93" s="86"/>
      <c r="F93" t="s">
        <v>194</v>
      </c>
      <c r="G93" t="s">
        <v>167</v>
      </c>
      <c r="J93" s="103"/>
      <c r="K93" s="103"/>
      <c r="L93" s="103"/>
      <c r="M93" s="103"/>
      <c r="N93" s="103"/>
      <c r="O93" s="103"/>
      <c r="P93" s="10">
        <v>0.2</v>
      </c>
      <c r="Q93" s="103"/>
      <c r="R93" s="100"/>
      <c r="S93" s="100"/>
      <c r="T93" s="100"/>
      <c r="U93" s="100"/>
      <c r="V93" s="100"/>
      <c r="W93" s="100"/>
      <c r="X93" s="100"/>
      <c r="Y93" s="100"/>
    </row>
    <row r="94" spans="3:43" x14ac:dyDescent="0.25">
      <c r="E94" s="86"/>
      <c r="F94" t="s">
        <v>195</v>
      </c>
      <c r="G94" t="s">
        <v>167</v>
      </c>
      <c r="J94" s="103"/>
      <c r="K94" s="103"/>
      <c r="L94" s="103"/>
      <c r="M94" s="103"/>
      <c r="N94" s="103"/>
      <c r="O94" s="103"/>
      <c r="P94" s="10">
        <v>1</v>
      </c>
      <c r="Q94" s="103"/>
      <c r="R94" s="100"/>
      <c r="S94" s="100"/>
      <c r="T94" s="100"/>
      <c r="U94" s="100"/>
      <c r="V94" s="100"/>
      <c r="W94" s="100"/>
      <c r="X94" s="100"/>
      <c r="Y94" s="100"/>
    </row>
    <row r="95" spans="3:43" x14ac:dyDescent="0.25">
      <c r="E95" s="86"/>
      <c r="F95" t="s">
        <v>196</v>
      </c>
      <c r="G95" t="s">
        <v>167</v>
      </c>
      <c r="J95" s="103"/>
      <c r="K95" s="103"/>
      <c r="L95" s="103"/>
      <c r="M95" s="103"/>
      <c r="N95" s="103"/>
      <c r="O95" s="103"/>
      <c r="P95" s="103"/>
      <c r="Q95" s="103"/>
      <c r="R95" s="100"/>
      <c r="S95" s="100"/>
      <c r="T95" s="100"/>
      <c r="U95" s="100"/>
      <c r="V95" s="100"/>
      <c r="W95" s="100"/>
      <c r="X95" s="100"/>
      <c r="Y95" s="100"/>
    </row>
    <row r="96" spans="3:43" x14ac:dyDescent="0.25">
      <c r="E96" s="86"/>
      <c r="F96" t="s">
        <v>197</v>
      </c>
      <c r="G96" t="s">
        <v>167</v>
      </c>
      <c r="J96" s="103"/>
      <c r="K96" s="103"/>
      <c r="L96" s="103"/>
      <c r="M96" s="103"/>
      <c r="N96" s="10">
        <v>0.2</v>
      </c>
      <c r="O96" s="10">
        <v>1</v>
      </c>
      <c r="P96" s="10">
        <v>1</v>
      </c>
      <c r="Q96" s="103"/>
      <c r="R96" s="100"/>
      <c r="S96" s="100"/>
      <c r="T96" s="100"/>
      <c r="U96" s="100"/>
      <c r="V96" s="100"/>
      <c r="W96" s="100"/>
      <c r="X96" s="100"/>
      <c r="Y96" s="100"/>
    </row>
    <row r="97" spans="3:43" x14ac:dyDescent="0.25">
      <c r="E97" s="86"/>
      <c r="F97" t="s">
        <v>198</v>
      </c>
      <c r="G97" t="s">
        <v>167</v>
      </c>
      <c r="J97" s="103"/>
      <c r="K97" s="103"/>
      <c r="L97" s="103"/>
      <c r="M97" s="103"/>
      <c r="N97" s="10">
        <v>1</v>
      </c>
      <c r="O97" s="10">
        <v>1</v>
      </c>
      <c r="P97" s="103"/>
      <c r="Q97" s="103"/>
      <c r="R97" s="100"/>
      <c r="S97" s="100"/>
      <c r="T97" s="100"/>
      <c r="U97" s="100"/>
      <c r="V97" s="100"/>
      <c r="W97" s="100"/>
      <c r="X97" s="100"/>
      <c r="Y97" s="100"/>
    </row>
    <row r="98" spans="3:43" x14ac:dyDescent="0.25">
      <c r="E98" s="86"/>
      <c r="F98" s="96" t="s">
        <v>199</v>
      </c>
      <c r="G98" s="96" t="s">
        <v>167</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25">
      <c r="C100" s="93" t="str">
        <f ca="1">INDEX('Version control'!$H$41:$H$64,MATCH($A$1,'Version control'!$F$41:$F$64,0),1)&amp;"-F: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25">
      <c r="D102" s="75" t="s">
        <v>204</v>
      </c>
      <c r="E102" s="75"/>
    </row>
    <row r="103" spans="3:43" x14ac:dyDescent="0.25">
      <c r="D103" s="86" t="s">
        <v>205</v>
      </c>
      <c r="E103" s="86"/>
    </row>
    <row r="104" spans="3:43" x14ac:dyDescent="0.25">
      <c r="D104" s="86" t="s">
        <v>206</v>
      </c>
      <c r="E104" s="86"/>
    </row>
    <row r="105" spans="3:43" x14ac:dyDescent="0.25">
      <c r="D105" s="86"/>
      <c r="E105" s="75" t="s">
        <v>207</v>
      </c>
    </row>
    <row r="106" spans="3:43" x14ac:dyDescent="0.25">
      <c r="D106" s="86"/>
      <c r="F106" s="94" t="s">
        <v>208</v>
      </c>
      <c r="G106" t="s">
        <v>209</v>
      </c>
      <c r="I106" t="s">
        <v>154</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210</v>
      </c>
    </row>
    <row r="107" spans="3:43" x14ac:dyDescent="0.25">
      <c r="D107" s="86"/>
      <c r="E107" s="94"/>
      <c r="F107" s="94" t="s">
        <v>211</v>
      </c>
      <c r="G107" t="s">
        <v>167</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25">
      <c r="D108" s="86"/>
      <c r="E108" s="94"/>
      <c r="F108" s="94"/>
      <c r="J108" s="62"/>
      <c r="K108" s="62"/>
      <c r="L108" s="62"/>
      <c r="M108" s="62"/>
      <c r="N108" s="62"/>
      <c r="O108" s="62"/>
      <c r="P108" s="62"/>
      <c r="Q108" s="62"/>
      <c r="R108" s="62"/>
      <c r="S108" s="62"/>
      <c r="T108" s="62"/>
      <c r="U108" s="62"/>
      <c r="V108" s="62"/>
      <c r="W108" s="62"/>
      <c r="X108" s="62"/>
      <c r="Y108" s="62"/>
    </row>
    <row r="109" spans="3:43" x14ac:dyDescent="0.25">
      <c r="D109" s="86"/>
      <c r="E109" s="75" t="s">
        <v>212</v>
      </c>
      <c r="F109" s="94"/>
      <c r="J109" s="62"/>
      <c r="K109" s="62"/>
      <c r="L109" s="62"/>
      <c r="M109" s="62"/>
      <c r="N109" s="62"/>
      <c r="O109" s="62"/>
      <c r="P109" s="62"/>
      <c r="Q109" s="62"/>
      <c r="R109" s="62"/>
      <c r="S109" s="62"/>
      <c r="T109" s="62"/>
      <c r="U109" s="62"/>
      <c r="V109" s="62"/>
      <c r="W109" s="62"/>
      <c r="X109" s="62"/>
      <c r="Y109" s="62"/>
    </row>
    <row r="110" spans="3:43" x14ac:dyDescent="0.25">
      <c r="D110" s="86"/>
      <c r="F110" s="94" t="s">
        <v>208</v>
      </c>
      <c r="G110" t="s">
        <v>209</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25">
      <c r="D111" s="86"/>
      <c r="E111" s="94"/>
      <c r="F111" s="94" t="s">
        <v>211</v>
      </c>
      <c r="G111" t="s">
        <v>167</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25">
      <c r="D112" s="86"/>
      <c r="E112" s="94"/>
      <c r="F112" s="94"/>
      <c r="J112" s="62"/>
      <c r="K112" s="62"/>
      <c r="L112" s="62"/>
      <c r="M112" s="62"/>
      <c r="N112" s="62"/>
      <c r="O112" s="62"/>
      <c r="P112" s="62"/>
      <c r="Q112" s="62"/>
      <c r="R112" s="62"/>
      <c r="S112" s="62"/>
      <c r="T112" s="62"/>
      <c r="U112" s="62"/>
      <c r="V112" s="62"/>
      <c r="W112" s="62"/>
      <c r="X112" s="62"/>
      <c r="Y112" s="62"/>
    </row>
    <row r="113" spans="4:25" x14ac:dyDescent="0.25">
      <c r="D113" s="86"/>
      <c r="E113" s="75" t="s">
        <v>213</v>
      </c>
      <c r="F113" s="94"/>
      <c r="J113" s="62"/>
      <c r="K113" s="62"/>
      <c r="L113" s="62"/>
      <c r="M113" s="62"/>
      <c r="N113" s="62"/>
      <c r="O113" s="62"/>
      <c r="P113" s="62"/>
      <c r="Q113" s="62"/>
      <c r="R113" s="62"/>
      <c r="S113" s="62"/>
      <c r="T113" s="62"/>
      <c r="U113" s="62"/>
      <c r="V113" s="62"/>
      <c r="W113" s="62"/>
      <c r="X113" s="62"/>
      <c r="Y113" s="62"/>
    </row>
    <row r="114" spans="4:25" x14ac:dyDescent="0.25">
      <c r="D114" s="86"/>
      <c r="F114" s="94" t="s">
        <v>208</v>
      </c>
      <c r="G114" t="s">
        <v>209</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25">
      <c r="D115" s="86"/>
      <c r="E115" s="94"/>
      <c r="F115" s="94" t="s">
        <v>211</v>
      </c>
      <c r="G115" t="s">
        <v>167</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25">
      <c r="D116" s="86"/>
      <c r="E116" s="94"/>
      <c r="F116" s="94"/>
      <c r="J116" s="62"/>
      <c r="K116" s="62"/>
      <c r="L116" s="62"/>
      <c r="M116" s="62"/>
      <c r="N116" s="62"/>
      <c r="O116" s="62"/>
      <c r="P116" s="62"/>
      <c r="Q116" s="62"/>
      <c r="R116" s="62"/>
      <c r="S116" s="62"/>
      <c r="T116" s="62"/>
      <c r="U116" s="62"/>
      <c r="V116" s="62"/>
      <c r="W116" s="62"/>
      <c r="X116" s="62"/>
      <c r="Y116" s="62"/>
    </row>
    <row r="117" spans="4:25" x14ac:dyDescent="0.25">
      <c r="D117" s="86"/>
      <c r="E117" s="75" t="s">
        <v>214</v>
      </c>
      <c r="F117" s="94"/>
      <c r="J117" s="62"/>
      <c r="K117" s="62"/>
      <c r="L117" s="62"/>
      <c r="M117" s="62"/>
      <c r="N117" s="62"/>
      <c r="O117" s="62"/>
      <c r="P117" s="62"/>
      <c r="Q117" s="62"/>
      <c r="R117" s="62"/>
      <c r="S117" s="62"/>
      <c r="T117" s="62"/>
      <c r="U117" s="62"/>
      <c r="V117" s="62"/>
      <c r="W117" s="62"/>
      <c r="X117" s="62"/>
      <c r="Y117" s="62"/>
    </row>
    <row r="118" spans="4:25" x14ac:dyDescent="0.25">
      <c r="D118" s="86"/>
      <c r="F118" s="94" t="s">
        <v>208</v>
      </c>
      <c r="G118" t="s">
        <v>209</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25">
      <c r="D119" s="86"/>
      <c r="E119" s="94"/>
      <c r="F119" s="94" t="s">
        <v>211</v>
      </c>
      <c r="G119" t="s">
        <v>167</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25">
      <c r="D120" s="86"/>
      <c r="E120" s="94"/>
      <c r="F120" s="94"/>
      <c r="J120" s="62"/>
      <c r="K120" s="62"/>
      <c r="L120" s="62"/>
      <c r="M120" s="62"/>
      <c r="N120" s="62"/>
      <c r="O120" s="62"/>
      <c r="P120" s="62"/>
      <c r="Q120" s="62"/>
      <c r="R120" s="62"/>
      <c r="S120" s="62"/>
      <c r="T120" s="62"/>
      <c r="U120" s="62"/>
      <c r="V120" s="62"/>
      <c r="W120" s="62"/>
      <c r="X120" s="62"/>
      <c r="Y120" s="62"/>
    </row>
    <row r="121" spans="4:25" x14ac:dyDescent="0.25">
      <c r="D121" s="86"/>
      <c r="E121" s="75" t="s">
        <v>215</v>
      </c>
      <c r="F121" s="94"/>
      <c r="J121" s="62"/>
      <c r="K121" s="62"/>
      <c r="L121" s="62"/>
      <c r="M121" s="62"/>
      <c r="N121" s="62"/>
      <c r="O121" s="62"/>
      <c r="P121" s="62"/>
      <c r="Q121" s="62"/>
      <c r="R121" s="62"/>
      <c r="S121" s="62"/>
      <c r="T121" s="62"/>
      <c r="U121" s="62"/>
      <c r="V121" s="62"/>
      <c r="W121" s="62"/>
      <c r="X121" s="62"/>
      <c r="Y121" s="62"/>
    </row>
    <row r="122" spans="4:25" x14ac:dyDescent="0.25">
      <c r="D122" s="86"/>
      <c r="F122" s="94" t="s">
        <v>208</v>
      </c>
      <c r="G122" t="s">
        <v>209</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25">
      <c r="D123" s="86"/>
      <c r="E123" s="94"/>
      <c r="F123" s="94" t="s">
        <v>211</v>
      </c>
      <c r="G123" t="s">
        <v>167</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25">
      <c r="D124" s="86"/>
      <c r="E124" s="86"/>
      <c r="J124" s="62"/>
      <c r="K124" s="62"/>
      <c r="L124" s="62"/>
      <c r="M124" s="62"/>
      <c r="N124" s="62"/>
      <c r="O124" s="62"/>
      <c r="P124" s="62"/>
      <c r="Q124" s="62"/>
      <c r="R124" s="62"/>
      <c r="S124" s="62"/>
      <c r="T124" s="62"/>
      <c r="U124" s="62"/>
      <c r="V124" s="62"/>
      <c r="W124" s="62"/>
      <c r="X124" s="62"/>
      <c r="Y124" s="62"/>
    </row>
    <row r="125" spans="4:25" x14ac:dyDescent="0.25">
      <c r="E125" s="75" t="s">
        <v>216</v>
      </c>
      <c r="J125" s="62"/>
      <c r="K125" s="62"/>
      <c r="L125" s="62"/>
      <c r="M125" s="62"/>
      <c r="N125" s="62"/>
      <c r="O125" s="62"/>
      <c r="P125" s="62"/>
      <c r="Q125" s="62"/>
      <c r="R125" s="62"/>
      <c r="S125" s="62"/>
      <c r="T125" s="62"/>
      <c r="U125" s="62"/>
      <c r="V125" s="62"/>
      <c r="W125" s="62"/>
      <c r="X125" s="62"/>
      <c r="Y125" s="62"/>
    </row>
    <row r="126" spans="4:25" x14ac:dyDescent="0.25">
      <c r="E126" s="86" t="s">
        <v>217</v>
      </c>
      <c r="J126" s="62"/>
      <c r="K126" s="62"/>
      <c r="L126" s="62"/>
      <c r="M126" s="62"/>
      <c r="N126" s="62"/>
      <c r="O126" s="62"/>
      <c r="P126" s="62"/>
      <c r="Q126" s="62"/>
      <c r="R126" s="62"/>
      <c r="S126" s="62"/>
      <c r="T126" s="62"/>
      <c r="U126" s="62"/>
      <c r="V126" s="62"/>
      <c r="W126" s="62"/>
      <c r="X126" s="62"/>
      <c r="Y126" s="62"/>
    </row>
    <row r="127" spans="4:25" x14ac:dyDescent="0.25">
      <c r="E127" s="86" t="s">
        <v>218</v>
      </c>
      <c r="J127" s="62"/>
      <c r="K127" s="62"/>
      <c r="L127" s="62"/>
      <c r="M127" s="62"/>
      <c r="N127" s="62"/>
      <c r="O127" s="62"/>
      <c r="P127" s="62"/>
      <c r="Q127" s="62"/>
      <c r="R127" s="62"/>
      <c r="S127" s="62"/>
      <c r="T127" s="62"/>
      <c r="U127" s="62"/>
      <c r="V127" s="62"/>
      <c r="W127" s="62"/>
      <c r="X127" s="62"/>
      <c r="Y127" s="62"/>
    </row>
    <row r="128" spans="4:25" x14ac:dyDescent="0.25">
      <c r="E128" s="86"/>
      <c r="F128" t="s">
        <v>216</v>
      </c>
      <c r="G128" t="s">
        <v>209</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25">
      <c r="E129" s="86"/>
      <c r="J129" s="62"/>
      <c r="K129" s="62"/>
      <c r="L129" s="62"/>
      <c r="M129" s="62"/>
      <c r="N129" s="62"/>
      <c r="O129" s="62"/>
      <c r="P129" s="62"/>
      <c r="Q129" s="62"/>
      <c r="R129" s="62"/>
      <c r="S129" s="62"/>
      <c r="T129" s="62"/>
      <c r="U129" s="62"/>
      <c r="V129" s="62"/>
      <c r="W129" s="62"/>
      <c r="X129" s="62"/>
      <c r="Y129" s="62"/>
    </row>
    <row r="130" spans="3:43" x14ac:dyDescent="0.25">
      <c r="E130" s="75" t="s">
        <v>219</v>
      </c>
      <c r="J130" s="62"/>
      <c r="K130" s="62"/>
      <c r="L130" s="62"/>
      <c r="M130" s="62"/>
      <c r="N130" s="62"/>
      <c r="O130" s="62"/>
      <c r="P130" s="62"/>
      <c r="Q130" s="62"/>
      <c r="R130" s="62"/>
      <c r="S130" s="62"/>
      <c r="T130" s="62"/>
      <c r="U130" s="62"/>
      <c r="V130" s="62"/>
      <c r="W130" s="62"/>
      <c r="X130" s="62"/>
      <c r="Y130" s="62"/>
    </row>
    <row r="131" spans="3:43" x14ac:dyDescent="0.25">
      <c r="E131" s="86" t="s">
        <v>220</v>
      </c>
      <c r="J131" s="62"/>
      <c r="K131" s="62"/>
      <c r="L131" s="62"/>
      <c r="M131" s="62"/>
      <c r="N131" s="62"/>
      <c r="O131" s="62"/>
      <c r="P131" s="62"/>
      <c r="Q131" s="62"/>
      <c r="R131" s="62"/>
      <c r="S131" s="62"/>
      <c r="T131" s="62"/>
      <c r="U131" s="62"/>
      <c r="V131" s="62"/>
      <c r="W131" s="62"/>
      <c r="X131" s="62"/>
      <c r="Y131" s="62"/>
    </row>
    <row r="132" spans="3:43" x14ac:dyDescent="0.25">
      <c r="E132" s="86"/>
      <c r="F132" t="s">
        <v>221</v>
      </c>
      <c r="G132" t="s">
        <v>209</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25">
      <c r="D133" s="86"/>
      <c r="J133" s="62"/>
      <c r="K133" s="62"/>
      <c r="L133" s="62"/>
      <c r="M133" s="62"/>
      <c r="N133" s="62"/>
      <c r="O133" s="62"/>
      <c r="P133" s="62"/>
      <c r="Q133" s="62"/>
      <c r="R133" s="62"/>
      <c r="S133" s="62"/>
      <c r="T133" s="62"/>
      <c r="U133" s="62"/>
      <c r="V133" s="62"/>
      <c r="W133" s="62"/>
      <c r="X133" s="62"/>
      <c r="Y133" s="62"/>
    </row>
    <row r="134" spans="3:43" x14ac:dyDescent="0.25">
      <c r="E134" s="75" t="s">
        <v>222</v>
      </c>
      <c r="I134" t="s">
        <v>154</v>
      </c>
      <c r="J134" s="62"/>
      <c r="K134" s="62"/>
      <c r="L134" s="62"/>
      <c r="M134" s="62"/>
      <c r="N134" s="62"/>
      <c r="O134" s="62"/>
      <c r="P134" s="62"/>
      <c r="Q134" s="62"/>
      <c r="R134" s="62"/>
      <c r="S134" s="62"/>
      <c r="T134" s="62"/>
      <c r="U134" s="62"/>
      <c r="V134" s="62"/>
      <c r="W134" s="62"/>
      <c r="X134" s="62"/>
      <c r="Y134" s="62"/>
      <c r="AQ134" t="s">
        <v>223</v>
      </c>
    </row>
    <row r="135" spans="3:43" x14ac:dyDescent="0.25">
      <c r="E135" s="86" t="s">
        <v>224</v>
      </c>
      <c r="J135" s="62"/>
      <c r="K135" s="62"/>
      <c r="L135" s="62"/>
      <c r="M135" s="62"/>
      <c r="N135" s="62"/>
      <c r="O135" s="62"/>
      <c r="P135" s="62"/>
      <c r="Q135" s="62"/>
      <c r="R135" s="62"/>
      <c r="S135" s="62"/>
      <c r="T135" s="62"/>
      <c r="U135" s="62"/>
      <c r="V135" s="62"/>
      <c r="W135" s="62"/>
      <c r="X135" s="62"/>
      <c r="Y135" s="62"/>
    </row>
    <row r="136" spans="3:43" x14ac:dyDescent="0.25">
      <c r="E136" s="86" t="s">
        <v>225</v>
      </c>
      <c r="J136" s="62"/>
      <c r="K136" s="62"/>
      <c r="L136" s="62"/>
      <c r="M136" s="62"/>
      <c r="N136" s="62"/>
      <c r="O136" s="62"/>
      <c r="P136" s="62"/>
      <c r="Q136" s="62"/>
      <c r="R136" s="62"/>
      <c r="S136" s="62"/>
      <c r="T136" s="62"/>
      <c r="U136" s="62"/>
      <c r="V136" s="62"/>
      <c r="W136" s="62"/>
      <c r="X136" s="62"/>
      <c r="Y136" s="62"/>
    </row>
    <row r="137" spans="3:43" x14ac:dyDescent="0.25">
      <c r="E137" s="86"/>
      <c r="F137" t="s">
        <v>160</v>
      </c>
      <c r="G137" t="s">
        <v>176</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86"/>
      <c r="F138" t="s">
        <v>161</v>
      </c>
      <c r="G138" t="s">
        <v>176</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25">
      <c r="E139" s="86"/>
      <c r="F139" t="s">
        <v>226</v>
      </c>
      <c r="G139" t="s">
        <v>176</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25">
      <c r="E140" s="86"/>
      <c r="F140" t="s">
        <v>227</v>
      </c>
      <c r="G140" t="s">
        <v>176</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25">
      <c r="D141" s="86"/>
      <c r="J141" s="62"/>
      <c r="K141" s="62"/>
      <c r="L141" s="62"/>
      <c r="M141" s="62"/>
      <c r="N141" s="62"/>
      <c r="O141" s="62"/>
      <c r="P141" s="62"/>
      <c r="Q141" s="62"/>
      <c r="R141" s="62"/>
      <c r="S141" s="62"/>
      <c r="T141" s="62"/>
      <c r="U141" s="62"/>
      <c r="V141" s="62"/>
      <c r="W141" s="62"/>
      <c r="X141" s="62"/>
      <c r="Y141" s="62"/>
    </row>
    <row r="142" spans="3:43" x14ac:dyDescent="0.25">
      <c r="C142" s="93" t="str">
        <f ca="1">INDEX('Version control'!$H$41:$H$64,MATCH($A$1,'Version control'!$F$41:$F$64,0),1)&amp;"-G: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25">
      <c r="E144" s="75" t="s">
        <v>228</v>
      </c>
      <c r="F144" s="75"/>
    </row>
    <row r="145" spans="3:44" x14ac:dyDescent="0.25">
      <c r="E145" s="86" t="s">
        <v>229</v>
      </c>
      <c r="F145" s="86"/>
      <c r="I145" t="s">
        <v>154</v>
      </c>
      <c r="AQ145" t="s">
        <v>852</v>
      </c>
    </row>
    <row r="146" spans="3:44" x14ac:dyDescent="0.25">
      <c r="E146" s="86"/>
      <c r="F146" s="94" t="s">
        <v>228</v>
      </c>
      <c r="G146" t="s">
        <v>149</v>
      </c>
      <c r="J146" s="7">
        <v>1</v>
      </c>
      <c r="K146" s="103"/>
      <c r="L146" s="7">
        <v>1</v>
      </c>
      <c r="M146" s="103"/>
      <c r="N146" s="103"/>
      <c r="O146" s="103"/>
      <c r="P146" s="103"/>
      <c r="Q146" s="103"/>
      <c r="R146" s="103"/>
      <c r="S146" s="103"/>
      <c r="T146" s="103"/>
      <c r="U146" s="103"/>
      <c r="V146" s="103"/>
      <c r="W146" s="103"/>
      <c r="X146" s="103"/>
      <c r="Y146" s="103"/>
    </row>
    <row r="147" spans="3:44" x14ac:dyDescent="0.25">
      <c r="E147" s="86"/>
      <c r="F147" s="86"/>
    </row>
    <row r="148" spans="3:44" x14ac:dyDescent="0.25">
      <c r="E148" s="75" t="s">
        <v>800</v>
      </c>
      <c r="F148" s="75"/>
      <c r="I148" t="s">
        <v>154</v>
      </c>
      <c r="AQ148" t="s">
        <v>813</v>
      </c>
    </row>
    <row r="149" spans="3:44" x14ac:dyDescent="0.25">
      <c r="E149" s="86" t="s">
        <v>801</v>
      </c>
      <c r="F149" s="86"/>
    </row>
    <row r="150" spans="3:44" x14ac:dyDescent="0.25">
      <c r="E150" s="86"/>
      <c r="F150" s="94" t="s">
        <v>802</v>
      </c>
      <c r="G150" t="s">
        <v>149</v>
      </c>
      <c r="J150" s="7">
        <v>1</v>
      </c>
      <c r="K150" s="7">
        <v>1</v>
      </c>
      <c r="L150" s="7">
        <v>2</v>
      </c>
      <c r="M150" s="7">
        <v>2</v>
      </c>
      <c r="N150" s="7">
        <v>3</v>
      </c>
      <c r="O150" s="7">
        <v>4</v>
      </c>
      <c r="P150" s="7">
        <v>5</v>
      </c>
      <c r="Q150" s="103"/>
      <c r="R150" s="103"/>
      <c r="S150" s="103"/>
      <c r="T150" s="103"/>
      <c r="U150" s="103"/>
      <c r="V150" s="103"/>
      <c r="W150" s="103"/>
      <c r="X150" s="103"/>
      <c r="Y150" s="103"/>
    </row>
    <row r="151" spans="3:44" x14ac:dyDescent="0.25">
      <c r="E151" s="86"/>
      <c r="F151" s="86"/>
    </row>
    <row r="152" spans="3:44" x14ac:dyDescent="0.25">
      <c r="C152" s="93" t="str">
        <f ca="1">INDEX('Version control'!$H$41:$H$64,MATCH($A$1,'Version control'!$F$41:$F$64,0),1)&amp;"-H: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25">
      <c r="E154" t="s">
        <v>230</v>
      </c>
      <c r="G154" t="s">
        <v>149</v>
      </c>
      <c r="H154" s="7">
        <v>3</v>
      </c>
    </row>
    <row r="156" spans="3:44" x14ac:dyDescent="0.25">
      <c r="C156" s="93" t="str">
        <f ca="1">INDEX('Version control'!$H$41:$H$64,MATCH($A$1,'Version control'!$F$41:$F$64,0),1)&amp;"-I: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25">
      <c r="C158" s="105"/>
      <c r="D158" s="2"/>
      <c r="E158" s="75" t="s">
        <v>826</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25">
      <c r="C159" s="105"/>
      <c r="D159" s="2"/>
      <c r="F159" s="95" t="s">
        <v>1150</v>
      </c>
      <c r="G159" s="95" t="s">
        <v>176</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25">
      <c r="C160" s="105"/>
      <c r="D160" s="2"/>
      <c r="F160" s="96" t="s">
        <v>1151</v>
      </c>
      <c r="G160" s="96" t="s">
        <v>176</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25">
      <c r="C161" s="105"/>
      <c r="D161" s="2"/>
      <c r="AR161" s="106"/>
    </row>
    <row r="162" spans="3:44" x14ac:dyDescent="0.25">
      <c r="C162" s="93" t="str">
        <f ca="1">INDEX('Version control'!$H$41:$H$64,MATCH($A$1,'Version control'!$F$41:$F$64,0),1)&amp;"-J: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25">
      <c r="C163" s="105"/>
      <c r="D163" s="2"/>
      <c r="AR163" s="106"/>
    </row>
    <row r="164" spans="3:44" ht="60" x14ac:dyDescent="0.25">
      <c r="C164" s="105"/>
      <c r="D164" s="2"/>
      <c r="E164" s="75" t="s">
        <v>955</v>
      </c>
      <c r="J164" s="107" t="s">
        <v>1116</v>
      </c>
      <c r="K164" s="107" t="s">
        <v>785</v>
      </c>
      <c r="L164" s="107" t="s">
        <v>1117</v>
      </c>
      <c r="M164" s="107" t="s">
        <v>1118</v>
      </c>
      <c r="N164" s="107" t="s">
        <v>1119</v>
      </c>
      <c r="O164" s="107" t="s">
        <v>1120</v>
      </c>
      <c r="P164" s="107" t="s">
        <v>1121</v>
      </c>
      <c r="Q164" s="107" t="s">
        <v>786</v>
      </c>
      <c r="R164" s="107" t="s">
        <v>862</v>
      </c>
      <c r="S164" s="107" t="s">
        <v>863</v>
      </c>
      <c r="T164" s="107" t="s">
        <v>864</v>
      </c>
      <c r="U164" s="107" t="s">
        <v>865</v>
      </c>
      <c r="V164" s="107" t="s">
        <v>866</v>
      </c>
      <c r="W164" s="107" t="s">
        <v>867</v>
      </c>
      <c r="X164" s="107" t="s">
        <v>868</v>
      </c>
      <c r="Y164" s="107" t="s">
        <v>869</v>
      </c>
      <c r="Z164" s="107" t="s">
        <v>870</v>
      </c>
      <c r="AA164" s="107" t="s">
        <v>871</v>
      </c>
      <c r="AB164" s="107" t="s">
        <v>872</v>
      </c>
      <c r="AC164" s="107" t="s">
        <v>873</v>
      </c>
      <c r="AD164" s="107" t="s">
        <v>874</v>
      </c>
      <c r="AE164" s="107" t="s">
        <v>875</v>
      </c>
      <c r="AF164" s="107" t="s">
        <v>876</v>
      </c>
      <c r="AG164" s="107" t="s">
        <v>795</v>
      </c>
      <c r="AH164" s="107" t="s">
        <v>787</v>
      </c>
      <c r="AI164" s="107" t="s">
        <v>788</v>
      </c>
      <c r="AJ164" s="107" t="s">
        <v>789</v>
      </c>
      <c r="AK164" s="107" t="s">
        <v>798</v>
      </c>
      <c r="AL164" s="107" t="s">
        <v>790</v>
      </c>
      <c r="AM164" s="107" t="s">
        <v>797</v>
      </c>
      <c r="AN164" s="107" t="s">
        <v>791</v>
      </c>
      <c r="AO164" s="107" t="s">
        <v>796</v>
      </c>
      <c r="AR164" s="106"/>
    </row>
    <row r="165" spans="3:44" x14ac:dyDescent="0.25">
      <c r="C165" s="105"/>
      <c r="D165" s="2"/>
      <c r="F165" s="95" t="s">
        <v>954</v>
      </c>
      <c r="G165" s="95" t="s">
        <v>861</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25">
      <c r="C166" s="105"/>
      <c r="D166" s="2"/>
      <c r="F166" t="s">
        <v>881</v>
      </c>
      <c r="G166" t="s">
        <v>861</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25">
      <c r="C167" s="105"/>
      <c r="D167" s="2"/>
      <c r="F167" t="s">
        <v>952</v>
      </c>
      <c r="G167" t="s">
        <v>861</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25">
      <c r="C168" s="105"/>
      <c r="D168" s="2"/>
      <c r="F168" t="s">
        <v>888</v>
      </c>
      <c r="G168" t="s">
        <v>149</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25">
      <c r="C169" s="105"/>
      <c r="D169" s="2"/>
      <c r="F169" t="s">
        <v>887</v>
      </c>
      <c r="G169" t="s">
        <v>149</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25">
      <c r="C170" s="105"/>
      <c r="D170" s="2"/>
      <c r="F170" s="96" t="s">
        <v>953</v>
      </c>
      <c r="G170" s="96" t="s">
        <v>149</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25">
      <c r="C171" s="105"/>
      <c r="D171" s="2"/>
      <c r="AR171" s="106"/>
    </row>
    <row r="172" spans="3:44" x14ac:dyDescent="0.25">
      <c r="C172" s="105"/>
      <c r="D172" s="2"/>
      <c r="E172" t="s">
        <v>956</v>
      </c>
      <c r="G172" t="s">
        <v>149</v>
      </c>
      <c r="H172" s="28">
        <v>2</v>
      </c>
      <c r="AR172" s="106"/>
    </row>
    <row r="173" spans="3:44" x14ac:dyDescent="0.25">
      <c r="C173" s="105"/>
      <c r="D173" s="2"/>
      <c r="AR173" s="106"/>
    </row>
    <row r="174" spans="3:44" x14ac:dyDescent="0.25">
      <c r="C174" s="105"/>
      <c r="D174" s="2"/>
      <c r="E174" s="75" t="s">
        <v>949</v>
      </c>
      <c r="AR174" s="106"/>
    </row>
    <row r="175" spans="3:44" x14ac:dyDescent="0.25">
      <c r="C175" s="105"/>
      <c r="D175" s="2"/>
      <c r="E175" s="75"/>
      <c r="F175" s="86" t="s">
        <v>950</v>
      </c>
      <c r="AR175" s="106"/>
    </row>
    <row r="176" spans="3:44" ht="60" x14ac:dyDescent="0.25">
      <c r="C176" s="105"/>
      <c r="D176" s="2"/>
      <c r="E176" s="75"/>
      <c r="F176" s="50" t="s">
        <v>951</v>
      </c>
      <c r="J176" s="107" t="s">
        <v>1116</v>
      </c>
      <c r="K176" s="107" t="s">
        <v>785</v>
      </c>
      <c r="L176" s="107" t="s">
        <v>1117</v>
      </c>
      <c r="M176" s="107" t="s">
        <v>1118</v>
      </c>
      <c r="N176" s="107" t="s">
        <v>1119</v>
      </c>
      <c r="O176" s="107" t="s">
        <v>1120</v>
      </c>
      <c r="P176" s="107" t="s">
        <v>1121</v>
      </c>
      <c r="Q176" s="107" t="s">
        <v>786</v>
      </c>
      <c r="R176" s="107" t="s">
        <v>862</v>
      </c>
      <c r="S176" s="107" t="s">
        <v>863</v>
      </c>
      <c r="T176" s="107" t="s">
        <v>864</v>
      </c>
      <c r="U176" s="107" t="s">
        <v>865</v>
      </c>
      <c r="V176" s="107" t="s">
        <v>866</v>
      </c>
      <c r="W176" s="107" t="s">
        <v>867</v>
      </c>
      <c r="X176" s="107" t="s">
        <v>868</v>
      </c>
      <c r="Y176" s="107" t="s">
        <v>869</v>
      </c>
      <c r="Z176" s="107" t="s">
        <v>870</v>
      </c>
      <c r="AA176" s="107" t="s">
        <v>871</v>
      </c>
      <c r="AB176" s="107" t="s">
        <v>872</v>
      </c>
      <c r="AC176" s="107" t="s">
        <v>873</v>
      </c>
      <c r="AD176" s="107" t="s">
        <v>874</v>
      </c>
      <c r="AE176" s="107" t="s">
        <v>875</v>
      </c>
      <c r="AF176" s="107" t="s">
        <v>876</v>
      </c>
      <c r="AG176" s="107" t="s">
        <v>795</v>
      </c>
      <c r="AH176" s="107" t="s">
        <v>787</v>
      </c>
      <c r="AI176" s="107" t="s">
        <v>788</v>
      </c>
      <c r="AJ176" s="107" t="s">
        <v>789</v>
      </c>
      <c r="AK176" s="107" t="s">
        <v>798</v>
      </c>
      <c r="AL176" s="107" t="s">
        <v>790</v>
      </c>
      <c r="AM176" s="107" t="s">
        <v>797</v>
      </c>
      <c r="AN176" s="107" t="s">
        <v>791</v>
      </c>
      <c r="AO176" s="107" t="s">
        <v>796</v>
      </c>
      <c r="AR176" s="106"/>
    </row>
    <row r="177" spans="2:44" x14ac:dyDescent="0.25">
      <c r="C177" s="105"/>
      <c r="D177" s="2"/>
      <c r="F177" s="95" t="s">
        <v>941</v>
      </c>
      <c r="G177" s="95" t="s">
        <v>149</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25">
      <c r="C178" s="105"/>
      <c r="D178" s="2"/>
      <c r="F178" t="s">
        <v>942</v>
      </c>
      <c r="G178" t="s">
        <v>149</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25">
      <c r="C179" s="105"/>
      <c r="D179" s="2"/>
      <c r="F179" t="s">
        <v>943</v>
      </c>
      <c r="G179" t="s">
        <v>149</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25">
      <c r="C180" s="105"/>
      <c r="D180" s="2"/>
      <c r="F180" t="s">
        <v>944</v>
      </c>
      <c r="G180" t="s">
        <v>149</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25">
      <c r="C181" s="105"/>
      <c r="D181" s="2"/>
      <c r="F181" t="s">
        <v>945</v>
      </c>
      <c r="G181" t="s">
        <v>149</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25">
      <c r="C182" s="105"/>
      <c r="D182" s="2"/>
      <c r="F182" t="s">
        <v>946</v>
      </c>
      <c r="G182" t="s">
        <v>149</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25">
      <c r="C183" s="105"/>
      <c r="D183" s="2"/>
      <c r="F183" t="s">
        <v>947</v>
      </c>
      <c r="G183" t="s">
        <v>149</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25">
      <c r="C184" s="105"/>
      <c r="D184" s="2"/>
      <c r="F184" s="96" t="s">
        <v>948</v>
      </c>
      <c r="G184" s="96" t="s">
        <v>149</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25">
      <c r="C185" s="105"/>
      <c r="D185" s="2"/>
      <c r="E185" s="75"/>
      <c r="AR185" s="106"/>
    </row>
    <row r="186" spans="2:44" x14ac:dyDescent="0.25">
      <c r="B186" s="85" t="s">
        <v>231</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25">
      <c r="F187" s="3"/>
      <c r="G187" s="3"/>
      <c r="H187" s="3"/>
      <c r="I187" s="3"/>
    </row>
    <row r="188" spans="2:44" x14ac:dyDescent="0.25">
      <c r="E188" t="s">
        <v>232</v>
      </c>
      <c r="G188" s="6" t="s">
        <v>56</v>
      </c>
      <c r="H188" s="109">
        <f t="array" ref="H188">SUM(IF(ISERROR(H15:Y147), 1))</f>
        <v>0</v>
      </c>
      <c r="I188" s="3"/>
    </row>
    <row r="189" spans="2:44" x14ac:dyDescent="0.25">
      <c r="I189" s="3"/>
    </row>
    <row r="190" spans="2:44" x14ac:dyDescent="0.25">
      <c r="E190" s="75" t="s">
        <v>233</v>
      </c>
      <c r="I190" s="3"/>
    </row>
    <row r="191" spans="2:44" x14ac:dyDescent="0.25">
      <c r="F191" s="95" t="s">
        <v>234</v>
      </c>
      <c r="G191" s="110" t="s">
        <v>56</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25">
      <c r="F192" t="s">
        <v>235</v>
      </c>
      <c r="G192" s="6" t="s">
        <v>56</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25">
      <c r="F193" t="s">
        <v>236</v>
      </c>
      <c r="G193" s="6" t="s">
        <v>56</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25">
      <c r="F194" t="s">
        <v>237</v>
      </c>
      <c r="G194" s="6" t="s">
        <v>56</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25">
      <c r="F195" s="96" t="s">
        <v>238</v>
      </c>
      <c r="G195" s="77" t="s">
        <v>56</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25">
      <c r="F196" s="3"/>
      <c r="G196" s="3"/>
      <c r="H196" s="3"/>
      <c r="I196" s="3"/>
    </row>
    <row r="197" spans="2:43" x14ac:dyDescent="0.25">
      <c r="E197" t="s">
        <v>239</v>
      </c>
      <c r="G197" s="6" t="s">
        <v>56</v>
      </c>
      <c r="H197" s="113">
        <f>H188 + SUM(H191:H195)</f>
        <v>0</v>
      </c>
      <c r="I197" s="3"/>
    </row>
    <row r="198" spans="2:43" x14ac:dyDescent="0.25">
      <c r="I198" s="3"/>
    </row>
    <row r="199" spans="2:43" x14ac:dyDescent="0.25">
      <c r="B199" s="85" t="s">
        <v>107</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formula1>0</formula1>
      <formula2>10</formula2>
    </dataValidation>
    <dataValidation type="decimal" allowBlank="1" showInputMessage="1" showErrorMessage="1" sqref="H40 K146 Q150:Y150 J123:Y123 J119:Y119 J115:Y115 J111:Y111 J107:Y107 J89:Y98 M146:Y146">
      <formula1>0</formula1>
      <formula2>1</formula2>
    </dataValidation>
    <dataValidation type="whole" allowBlank="1" showInputMessage="1" showErrorMessage="1" sqref="L146 J146 J150:P150">
      <formula1>0</formula1>
      <formula2>33</formula2>
    </dataValidation>
    <dataValidation type="decimal" allowBlank="1" showInputMessage="1" showErrorMessage="1" sqref="H36">
      <formula1>0</formula1>
      <formula2>999999</formula2>
    </dataValidation>
    <dataValidation type="decimal" allowBlank="1" showInputMessage="1" showErrorMessage="1" sqref="H38">
      <formula1>0.001</formula1>
      <formula2>1</formula2>
    </dataValidation>
    <dataValidation type="decimal" allowBlank="1" showInputMessage="1" showErrorMessage="1" sqref="H42">
      <formula1>0.001</formula1>
      <formula2>999999.999</formula2>
    </dataValidation>
    <dataValidation type="whole" allowBlank="1" showInputMessage="1" showErrorMessage="1" sqref="J47:Y50 J54:Y57">
      <formula1>0</formula1>
      <formula2>1</formula2>
    </dataValidation>
    <dataValidation type="whole" allowBlank="1" showInputMessage="1" showErrorMessage="1" sqref="J61:Y70 J74:Y83">
      <formula1>-1</formula1>
      <formula2>1</formula2>
    </dataValidation>
    <dataValidation type="list" allowBlank="1" showInputMessage="1" showErrorMessage="1" sqref="J128:Y128 J122:Y122 J118:Y118 J114:Y114 J110:Y110 J106:Y106 J132:Y132">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38" activePane="bottomRight" state="frozen"/>
      <selection pane="topRight"/>
      <selection pane="bottomLeft"/>
      <selection pane="bottomRight" activeCell="K161" sqref="K161"/>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v11 - 2026/27</v>
      </c>
    </row>
    <row r="4" spans="1:43" x14ac:dyDescent="0.25">
      <c r="A4" s="60" t="str">
        <f>H236 &amp; IF(H236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114" t="s">
        <v>143</v>
      </c>
      <c r="H5" s="115" t="s">
        <v>144</v>
      </c>
      <c r="I5" s="62"/>
      <c r="J5" s="115" t="s">
        <v>1114</v>
      </c>
      <c r="K5" s="115" t="s">
        <v>785</v>
      </c>
      <c r="L5" s="115" t="s">
        <v>1115</v>
      </c>
      <c r="M5" s="115" t="s">
        <v>786</v>
      </c>
      <c r="N5" s="115" t="s">
        <v>792</v>
      </c>
      <c r="O5" s="115" t="s">
        <v>793</v>
      </c>
      <c r="P5" s="115" t="s">
        <v>794</v>
      </c>
      <c r="Q5" s="115" t="s">
        <v>795</v>
      </c>
      <c r="R5" s="115" t="s">
        <v>787</v>
      </c>
      <c r="S5" s="115" t="s">
        <v>788</v>
      </c>
      <c r="T5" s="115" t="s">
        <v>789</v>
      </c>
      <c r="U5" s="115" t="s">
        <v>798</v>
      </c>
      <c r="V5" s="115" t="s">
        <v>790</v>
      </c>
      <c r="W5" s="115" t="s">
        <v>797</v>
      </c>
      <c r="X5" s="115" t="s">
        <v>791</v>
      </c>
      <c r="Y5" s="115"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240</v>
      </c>
    </row>
    <row r="11" spans="1:43" x14ac:dyDescent="0.25">
      <c r="B11" s="85" t="s">
        <v>57</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94"/>
    </row>
    <row r="13" spans="1:43" x14ac:dyDescent="0.25">
      <c r="C13" s="93" t="str">
        <f ca="1">INDEX('Version control'!$H$41:$H$64,MATCH($A$1,'Version control'!$F$41:$F$64,0),1)&amp;"-A: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241</v>
      </c>
      <c r="G15" s="61" t="s">
        <v>167</v>
      </c>
      <c r="I15" t="s">
        <v>154</v>
      </c>
      <c r="J15" s="426">
        <v>0.43118428528627506</v>
      </c>
      <c r="K15" s="436">
        <v>0.13841316624389913</v>
      </c>
      <c r="L15" s="436">
        <v>0.44832007498284149</v>
      </c>
      <c r="M15" s="436">
        <v>0.16499245482800254</v>
      </c>
      <c r="N15" s="436">
        <v>0.55545921418146904</v>
      </c>
      <c r="O15" s="436">
        <v>0.60838244554198517</v>
      </c>
      <c r="P15" s="436">
        <v>0.73727707430579059</v>
      </c>
      <c r="Q15" s="436">
        <v>0.49990620990783308</v>
      </c>
      <c r="R15" s="103"/>
      <c r="S15" s="103"/>
      <c r="T15" s="103"/>
      <c r="U15" s="103"/>
      <c r="V15" s="103"/>
      <c r="W15" s="103"/>
      <c r="X15" s="103"/>
      <c r="Y15" s="103"/>
      <c r="AQ15" t="s">
        <v>242</v>
      </c>
    </row>
    <row r="16" spans="1:43" x14ac:dyDescent="0.25">
      <c r="E16" s="94" t="s">
        <v>243</v>
      </c>
      <c r="G16" s="61" t="s">
        <v>167</v>
      </c>
      <c r="I16" t="s">
        <v>154</v>
      </c>
      <c r="J16" s="426">
        <v>0.90921281745411153</v>
      </c>
      <c r="K16" s="103"/>
      <c r="L16" s="426">
        <v>0.76784441858556474</v>
      </c>
      <c r="M16" s="103"/>
      <c r="N16" s="426">
        <v>0.80864043971383504</v>
      </c>
      <c r="O16" s="436">
        <v>0.78906990196811566</v>
      </c>
      <c r="P16" s="436">
        <v>0.84968516734720101</v>
      </c>
      <c r="Q16" s="436">
        <v>0.99205993255925984</v>
      </c>
      <c r="R16" s="103"/>
      <c r="S16" s="103"/>
      <c r="T16" s="103"/>
      <c r="U16" s="103"/>
      <c r="V16" s="103"/>
      <c r="W16" s="103"/>
      <c r="X16" s="103"/>
      <c r="Y16" s="103"/>
      <c r="AQ16" t="s">
        <v>244</v>
      </c>
    </row>
    <row r="17" spans="3:43" x14ac:dyDescent="0.25">
      <c r="G17" s="61"/>
    </row>
    <row r="18" spans="3:43" x14ac:dyDescent="0.25">
      <c r="C18" s="93" t="str">
        <f ca="1">INDEX('Version control'!$H$41:$H$64,MATCH($A$1,'Version control'!$F$41:$F$64,0),1)&amp;"-B: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25">
      <c r="G19" s="61"/>
    </row>
    <row r="20" spans="3:43" x14ac:dyDescent="0.25">
      <c r="D20" s="86" t="s">
        <v>904</v>
      </c>
      <c r="G20" s="61"/>
      <c r="I20" t="s">
        <v>154</v>
      </c>
      <c r="AQ20" t="s">
        <v>246</v>
      </c>
    </row>
    <row r="21" spans="3:43" x14ac:dyDescent="0.25">
      <c r="G21" s="61"/>
    </row>
    <row r="22" spans="3:43" x14ac:dyDescent="0.25">
      <c r="E22" s="75" t="s">
        <v>858</v>
      </c>
      <c r="G22" s="61"/>
    </row>
    <row r="23" spans="3:43" x14ac:dyDescent="0.25">
      <c r="E23" s="75"/>
      <c r="F23" s="116" t="s">
        <v>247</v>
      </c>
      <c r="G23" s="116" t="s">
        <v>207</v>
      </c>
      <c r="H23" s="95"/>
      <c r="I23" s="95"/>
      <c r="J23" s="117"/>
      <c r="K23" s="427">
        <v>42.949716657044405</v>
      </c>
      <c r="L23" s="427">
        <v>51.394728769453245</v>
      </c>
      <c r="M23" s="427">
        <v>25.765928672816155</v>
      </c>
      <c r="N23" s="427">
        <v>124.03234502112436</v>
      </c>
      <c r="O23" s="427">
        <v>32.524509406872198</v>
      </c>
      <c r="P23" s="427">
        <v>442.05271467460517</v>
      </c>
      <c r="Q23" s="117"/>
      <c r="R23" s="427">
        <v>8383.1643992456902</v>
      </c>
      <c r="S23" s="427">
        <v>1036.7343209799037</v>
      </c>
      <c r="T23" s="427">
        <v>4622.4246135079247</v>
      </c>
      <c r="U23" s="427">
        <v>0</v>
      </c>
      <c r="V23" s="427">
        <v>0</v>
      </c>
      <c r="W23" s="427">
        <v>0</v>
      </c>
      <c r="X23" s="427">
        <v>53814.546731455142</v>
      </c>
      <c r="Y23" s="427">
        <v>0</v>
      </c>
    </row>
    <row r="24" spans="3:43" x14ac:dyDescent="0.25">
      <c r="E24" s="75"/>
      <c r="F24" s="118" t="s">
        <v>248</v>
      </c>
      <c r="G24" s="118" t="s">
        <v>207</v>
      </c>
      <c r="J24" s="119"/>
      <c r="K24" s="428">
        <v>3119.337000290659</v>
      </c>
      <c r="L24" s="428">
        <v>429.90214636273004</v>
      </c>
      <c r="M24" s="428">
        <v>1609.0521821484306</v>
      </c>
      <c r="N24" s="428">
        <v>849.34780499680642</v>
      </c>
      <c r="O24" s="428">
        <v>340.94829159017985</v>
      </c>
      <c r="P24" s="428">
        <v>5891.1463199191348</v>
      </c>
      <c r="Q24" s="119"/>
      <c r="R24" s="429">
        <v>76699.786920797414</v>
      </c>
      <c r="S24" s="429">
        <v>8528.2795750860623</v>
      </c>
      <c r="T24" s="428">
        <v>38095.306630822713</v>
      </c>
      <c r="U24" s="428">
        <v>0</v>
      </c>
      <c r="V24" s="428">
        <v>0</v>
      </c>
      <c r="W24" s="428">
        <v>0</v>
      </c>
      <c r="X24" s="428">
        <v>302507.33246507391</v>
      </c>
      <c r="Y24" s="428">
        <v>0</v>
      </c>
    </row>
    <row r="25" spans="3:43" x14ac:dyDescent="0.25">
      <c r="E25" s="75"/>
      <c r="F25" s="118" t="s">
        <v>249</v>
      </c>
      <c r="G25" s="118" t="s">
        <v>207</v>
      </c>
      <c r="J25" s="119"/>
      <c r="K25" s="428">
        <v>24081.62170271924</v>
      </c>
      <c r="L25" s="428">
        <v>443.07069877940268</v>
      </c>
      <c r="M25" s="428">
        <v>11325.873677164167</v>
      </c>
      <c r="N25" s="428">
        <v>933.78525142692774</v>
      </c>
      <c r="O25" s="428">
        <v>235.83839931765723</v>
      </c>
      <c r="P25" s="428">
        <v>7972.5156271940859</v>
      </c>
      <c r="Q25" s="119"/>
      <c r="R25" s="429">
        <v>33364.652963362067</v>
      </c>
      <c r="S25" s="429">
        <v>8832.4293538785987</v>
      </c>
      <c r="T25" s="428">
        <v>44866.446029929481</v>
      </c>
      <c r="U25" s="428">
        <v>0</v>
      </c>
      <c r="V25" s="428">
        <v>0</v>
      </c>
      <c r="W25" s="428">
        <v>0</v>
      </c>
      <c r="X25" s="428">
        <v>259913.71528039253</v>
      </c>
      <c r="Y25" s="428">
        <v>0</v>
      </c>
    </row>
    <row r="26" spans="3:43" x14ac:dyDescent="0.25">
      <c r="E26" s="75"/>
      <c r="F26" s="118" t="s">
        <v>212</v>
      </c>
      <c r="G26" s="118" t="s">
        <v>212</v>
      </c>
      <c r="J26" s="119"/>
      <c r="K26" s="428">
        <v>0</v>
      </c>
      <c r="L26" s="428">
        <v>59.530590717299575</v>
      </c>
      <c r="M26" s="428">
        <v>0</v>
      </c>
      <c r="N26" s="428">
        <v>65.03566608829766</v>
      </c>
      <c r="O26" s="428">
        <v>9.0043923865300144</v>
      </c>
      <c r="P26" s="428">
        <v>154.99570053535271</v>
      </c>
      <c r="Q26" s="119"/>
      <c r="R26" s="428">
        <v>0</v>
      </c>
      <c r="S26" s="428">
        <v>0</v>
      </c>
      <c r="T26" s="428">
        <v>0</v>
      </c>
      <c r="U26" s="428">
        <v>0</v>
      </c>
      <c r="V26" s="428">
        <v>0</v>
      </c>
      <c r="W26" s="428">
        <v>0</v>
      </c>
      <c r="X26" s="428">
        <v>304.24933518428963</v>
      </c>
      <c r="Y26" s="428">
        <v>0</v>
      </c>
    </row>
    <row r="27" spans="3:43" x14ac:dyDescent="0.25">
      <c r="E27" s="75"/>
      <c r="F27" s="118" t="s">
        <v>250</v>
      </c>
      <c r="G27" s="118" t="s">
        <v>251</v>
      </c>
      <c r="J27" s="119"/>
      <c r="K27" s="119"/>
      <c r="L27" s="119"/>
      <c r="M27" s="119"/>
      <c r="N27" s="428">
        <v>2128.9961389961395</v>
      </c>
      <c r="O27" s="428">
        <v>704.99999999999989</v>
      </c>
      <c r="P27" s="428">
        <v>25636.18581907091</v>
      </c>
      <c r="Q27" s="119"/>
      <c r="R27" s="119"/>
      <c r="S27" s="119"/>
      <c r="T27" s="119"/>
      <c r="U27" s="119"/>
      <c r="V27" s="119"/>
      <c r="W27" s="119"/>
      <c r="X27" s="119"/>
      <c r="Y27" s="119"/>
    </row>
    <row r="28" spans="3:43" x14ac:dyDescent="0.25">
      <c r="E28" s="75"/>
      <c r="F28" s="118" t="s">
        <v>252</v>
      </c>
      <c r="G28" s="118" t="s">
        <v>251</v>
      </c>
      <c r="J28" s="119"/>
      <c r="K28" s="119"/>
      <c r="L28" s="119"/>
      <c r="M28" s="119"/>
      <c r="N28" s="428">
        <v>190.2821917808219</v>
      </c>
      <c r="O28" s="428">
        <v>22.958904109589042</v>
      </c>
      <c r="P28" s="428">
        <v>5912.7863013698634</v>
      </c>
      <c r="Q28" s="119"/>
      <c r="R28" s="119"/>
      <c r="S28" s="119"/>
      <c r="T28" s="119"/>
      <c r="U28" s="119"/>
      <c r="V28" s="119"/>
      <c r="W28" s="119"/>
      <c r="X28" s="119"/>
      <c r="Y28" s="119"/>
    </row>
    <row r="29" spans="3:43" x14ac:dyDescent="0.25">
      <c r="E29" s="75"/>
      <c r="F29" s="120" t="s">
        <v>253</v>
      </c>
      <c r="G29" s="120" t="s">
        <v>254</v>
      </c>
      <c r="H29" s="96"/>
      <c r="I29" s="96"/>
      <c r="J29" s="121"/>
      <c r="K29" s="121"/>
      <c r="L29" s="121"/>
      <c r="M29" s="121"/>
      <c r="N29" s="430">
        <v>381.02899999999994</v>
      </c>
      <c r="O29" s="430">
        <v>146.43099999999998</v>
      </c>
      <c r="P29" s="430">
        <v>4654.5249999999996</v>
      </c>
      <c r="Q29" s="121"/>
      <c r="R29" s="121"/>
      <c r="S29" s="121"/>
      <c r="T29" s="430">
        <v>6042.679000000001</v>
      </c>
      <c r="U29" s="121"/>
      <c r="V29" s="430">
        <v>0</v>
      </c>
      <c r="W29" s="121"/>
      <c r="X29" s="430">
        <v>8398.768</v>
      </c>
      <c r="Y29" s="121"/>
    </row>
    <row r="30" spans="3:43" x14ac:dyDescent="0.2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25">
      <c r="E31" s="75" t="s">
        <v>892</v>
      </c>
      <c r="G31" s="61"/>
    </row>
    <row r="32" spans="3:43" x14ac:dyDescent="0.25">
      <c r="E32" s="75"/>
      <c r="F32" s="116" t="s">
        <v>247</v>
      </c>
      <c r="G32" s="116" t="s">
        <v>207</v>
      </c>
      <c r="H32" s="95"/>
      <c r="I32" s="95"/>
      <c r="J32" s="427">
        <v>414037.19304487581</v>
      </c>
      <c r="K32" s="117"/>
      <c r="L32" s="427">
        <v>8842.1747639928744</v>
      </c>
      <c r="M32" s="117"/>
      <c r="N32" s="427">
        <v>28368.276777796113</v>
      </c>
      <c r="O32" s="427">
        <v>3068.499121163622</v>
      </c>
      <c r="P32" s="427">
        <v>16832.080446901444</v>
      </c>
      <c r="Q32" s="427">
        <v>3120.7676206896554</v>
      </c>
      <c r="R32" s="117"/>
      <c r="S32" s="117"/>
      <c r="T32" s="117"/>
      <c r="U32" s="117"/>
      <c r="V32" s="117"/>
      <c r="W32" s="117"/>
      <c r="X32" s="117"/>
      <c r="Y32" s="117"/>
    </row>
    <row r="33" spans="5:42" x14ac:dyDescent="0.25">
      <c r="E33" s="75"/>
      <c r="F33" s="118" t="s">
        <v>248</v>
      </c>
      <c r="G33" s="118" t="s">
        <v>207</v>
      </c>
      <c r="J33" s="428">
        <v>2220877.655844843</v>
      </c>
      <c r="K33" s="119"/>
      <c r="L33" s="428">
        <v>74327.869750998958</v>
      </c>
      <c r="M33" s="126"/>
      <c r="N33" s="428">
        <v>204974.47121884814</v>
      </c>
      <c r="O33" s="428">
        <v>22166.959347146436</v>
      </c>
      <c r="P33" s="428">
        <v>118085.4722621204</v>
      </c>
      <c r="Q33" s="429">
        <v>32439.529862068968</v>
      </c>
      <c r="R33" s="119"/>
      <c r="S33" s="119"/>
      <c r="T33" s="119"/>
      <c r="U33" s="119"/>
      <c r="V33" s="119"/>
      <c r="W33" s="119"/>
      <c r="X33" s="119"/>
      <c r="Y33" s="119"/>
    </row>
    <row r="34" spans="5:42" x14ac:dyDescent="0.25">
      <c r="E34" s="75"/>
      <c r="F34" s="118" t="s">
        <v>249</v>
      </c>
      <c r="G34" s="118" t="s">
        <v>207</v>
      </c>
      <c r="J34" s="428">
        <v>2541068.4625321021</v>
      </c>
      <c r="K34" s="119"/>
      <c r="L34" s="428">
        <v>61486.265517629632</v>
      </c>
      <c r="M34" s="126"/>
      <c r="N34" s="428">
        <v>182800.08330807119</v>
      </c>
      <c r="O34" s="428">
        <v>22105.819031526087</v>
      </c>
      <c r="P34" s="428">
        <v>134606.7008119339</v>
      </c>
      <c r="Q34" s="429">
        <v>72051.073000000004</v>
      </c>
      <c r="R34" s="119"/>
      <c r="S34" s="119"/>
      <c r="T34" s="119"/>
      <c r="U34" s="119"/>
      <c r="V34" s="119"/>
      <c r="W34" s="119"/>
      <c r="X34" s="119"/>
      <c r="Y34" s="119"/>
    </row>
    <row r="35" spans="5:42" x14ac:dyDescent="0.25">
      <c r="E35" s="75"/>
      <c r="F35" s="118" t="s">
        <v>212</v>
      </c>
      <c r="G35" s="118" t="s">
        <v>212</v>
      </c>
      <c r="J35" s="428">
        <v>1518684.7490630394</v>
      </c>
      <c r="K35" s="119"/>
      <c r="L35" s="428">
        <v>61383.441806114555</v>
      </c>
      <c r="M35" s="126"/>
      <c r="N35" s="428">
        <v>4555.404967032785</v>
      </c>
      <c r="O35" s="428">
        <v>384.75674552999504</v>
      </c>
      <c r="P35" s="428">
        <v>400.05973308576057</v>
      </c>
      <c r="Q35" s="428">
        <v>2437</v>
      </c>
      <c r="R35" s="119"/>
      <c r="S35" s="119"/>
      <c r="T35" s="119"/>
      <c r="U35" s="119"/>
      <c r="V35" s="119"/>
      <c r="W35" s="119"/>
      <c r="X35" s="119"/>
      <c r="Y35" s="119"/>
    </row>
    <row r="36" spans="5:42" x14ac:dyDescent="0.25">
      <c r="E36" s="75"/>
      <c r="F36" s="118" t="s">
        <v>250</v>
      </c>
      <c r="G36" s="118" t="s">
        <v>251</v>
      </c>
      <c r="J36" s="119"/>
      <c r="K36" s="119"/>
      <c r="L36" s="119"/>
      <c r="M36" s="126"/>
      <c r="N36" s="428">
        <v>209089.92052076876</v>
      </c>
      <c r="O36" s="428">
        <v>20989.350003962496</v>
      </c>
      <c r="P36" s="428">
        <v>109776.54037156513</v>
      </c>
      <c r="Q36" s="119"/>
      <c r="R36" s="119"/>
      <c r="S36" s="119"/>
      <c r="T36" s="119"/>
      <c r="U36" s="119"/>
      <c r="V36" s="119"/>
      <c r="W36" s="119"/>
      <c r="X36" s="119"/>
      <c r="Y36" s="119"/>
    </row>
    <row r="37" spans="5:42" x14ac:dyDescent="0.25">
      <c r="E37" s="75"/>
      <c r="F37" s="118" t="s">
        <v>252</v>
      </c>
      <c r="G37" s="118" t="s">
        <v>251</v>
      </c>
      <c r="J37" s="119"/>
      <c r="K37" s="119"/>
      <c r="L37" s="119"/>
      <c r="M37" s="126"/>
      <c r="N37" s="428">
        <v>6016.9356846772953</v>
      </c>
      <c r="O37" s="428">
        <v>255.34567876429412</v>
      </c>
      <c r="P37" s="428">
        <v>715.30805909984042</v>
      </c>
      <c r="Q37" s="119"/>
      <c r="R37" s="119"/>
      <c r="S37" s="119"/>
      <c r="T37" s="119"/>
      <c r="U37" s="119"/>
      <c r="V37" s="119"/>
      <c r="W37" s="119"/>
      <c r="X37" s="119"/>
      <c r="Y37" s="119"/>
    </row>
    <row r="38" spans="5:42" x14ac:dyDescent="0.25">
      <c r="E38" s="75"/>
      <c r="F38" s="120" t="s">
        <v>253</v>
      </c>
      <c r="G38" s="120" t="s">
        <v>254</v>
      </c>
      <c r="H38" s="96"/>
      <c r="I38" s="96"/>
      <c r="J38" s="121"/>
      <c r="K38" s="121"/>
      <c r="L38" s="121"/>
      <c r="M38" s="121"/>
      <c r="N38" s="430">
        <v>33282.248170907609</v>
      </c>
      <c r="O38" s="430">
        <v>4331.7769063989854</v>
      </c>
      <c r="P38" s="430">
        <v>19591.499015199184</v>
      </c>
      <c r="Q38" s="121"/>
      <c r="R38" s="121"/>
      <c r="S38" s="121"/>
      <c r="T38" s="121"/>
      <c r="U38" s="121"/>
      <c r="V38" s="121"/>
      <c r="W38" s="121"/>
      <c r="X38" s="121"/>
      <c r="Y38" s="121"/>
    </row>
    <row r="39" spans="5:42" x14ac:dyDescent="0.2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25">
      <c r="E40" s="75" t="s">
        <v>893</v>
      </c>
      <c r="G40" s="61"/>
    </row>
    <row r="41" spans="5:42" x14ac:dyDescent="0.25">
      <c r="E41" s="75"/>
      <c r="F41" s="116" t="s">
        <v>247</v>
      </c>
      <c r="G41" s="116" t="s">
        <v>207</v>
      </c>
      <c r="H41" s="95"/>
      <c r="I41" s="95"/>
      <c r="J41" s="117"/>
      <c r="K41" s="117"/>
      <c r="L41" s="427">
        <v>26083.400569970734</v>
      </c>
      <c r="M41" s="117"/>
      <c r="N41" s="427">
        <v>24543.099162264127</v>
      </c>
      <c r="O41" s="427">
        <v>5626.8294164921617</v>
      </c>
      <c r="P41" s="427">
        <v>31044.745987401129</v>
      </c>
      <c r="Q41" s="117"/>
      <c r="R41" s="117"/>
      <c r="S41" s="117"/>
      <c r="T41" s="117"/>
      <c r="U41" s="117"/>
      <c r="V41" s="117"/>
      <c r="W41" s="117"/>
      <c r="X41" s="117"/>
      <c r="Y41" s="117"/>
    </row>
    <row r="42" spans="5:42" x14ac:dyDescent="0.25">
      <c r="E42" s="75"/>
      <c r="F42" s="118" t="s">
        <v>248</v>
      </c>
      <c r="G42" s="118" t="s">
        <v>207</v>
      </c>
      <c r="J42" s="119"/>
      <c r="K42" s="119"/>
      <c r="L42" s="428">
        <v>219258.68374857187</v>
      </c>
      <c r="M42" s="119"/>
      <c r="N42" s="428">
        <v>177335.7194820655</v>
      </c>
      <c r="O42" s="428">
        <v>40648.438863300071</v>
      </c>
      <c r="P42" s="428">
        <v>217794.43739853788</v>
      </c>
      <c r="Q42" s="119"/>
      <c r="R42" s="119"/>
      <c r="S42" s="119"/>
      <c r="T42" s="119"/>
      <c r="U42" s="119"/>
      <c r="V42" s="119"/>
      <c r="W42" s="119"/>
      <c r="X42" s="119"/>
      <c r="Y42" s="119"/>
    </row>
    <row r="43" spans="5:42" x14ac:dyDescent="0.25">
      <c r="E43" s="75"/>
      <c r="F43" s="118" t="s">
        <v>249</v>
      </c>
      <c r="G43" s="118" t="s">
        <v>207</v>
      </c>
      <c r="J43" s="119"/>
      <c r="K43" s="119"/>
      <c r="L43" s="428">
        <v>181377.42533418277</v>
      </c>
      <c r="M43" s="119"/>
      <c r="N43" s="428">
        <v>158151.32539216164</v>
      </c>
      <c r="O43" s="428">
        <v>40536.323424161295</v>
      </c>
      <c r="P43" s="428">
        <v>248265.8544849015</v>
      </c>
      <c r="Q43" s="119"/>
      <c r="R43" s="119"/>
      <c r="S43" s="119"/>
      <c r="T43" s="119"/>
      <c r="U43" s="119"/>
      <c r="V43" s="119"/>
      <c r="W43" s="119"/>
      <c r="X43" s="119"/>
      <c r="Y43" s="119"/>
    </row>
    <row r="44" spans="5:42" x14ac:dyDescent="0.25">
      <c r="E44" s="75"/>
      <c r="F44" s="118" t="s">
        <v>212</v>
      </c>
      <c r="G44" s="118" t="s">
        <v>212</v>
      </c>
      <c r="J44" s="119"/>
      <c r="K44" s="119"/>
      <c r="L44" s="428">
        <v>44141.630274513212</v>
      </c>
      <c r="M44" s="119"/>
      <c r="N44" s="428">
        <v>2200.2778045610471</v>
      </c>
      <c r="O44" s="428">
        <v>411.53105514161842</v>
      </c>
      <c r="P44" s="428">
        <v>319.08378711177534</v>
      </c>
      <c r="Q44" s="119"/>
      <c r="R44" s="119"/>
      <c r="S44" s="119"/>
      <c r="T44" s="119"/>
      <c r="U44" s="119"/>
      <c r="V44" s="119"/>
      <c r="W44" s="119"/>
      <c r="X44" s="119"/>
      <c r="Y44" s="119"/>
    </row>
    <row r="45" spans="5:42" x14ac:dyDescent="0.25">
      <c r="E45" s="75"/>
      <c r="F45" s="118" t="s">
        <v>250</v>
      </c>
      <c r="G45" s="118" t="s">
        <v>251</v>
      </c>
      <c r="J45" s="119"/>
      <c r="K45" s="119"/>
      <c r="L45" s="119"/>
      <c r="M45" s="119"/>
      <c r="N45" s="428">
        <v>263936.77954765828</v>
      </c>
      <c r="O45" s="428">
        <v>51384.079521085798</v>
      </c>
      <c r="P45" s="428">
        <v>229387.05456338989</v>
      </c>
      <c r="Q45" s="119"/>
      <c r="R45" s="119"/>
      <c r="S45" s="119"/>
      <c r="T45" s="119"/>
      <c r="U45" s="119"/>
      <c r="V45" s="119"/>
      <c r="W45" s="119"/>
      <c r="X45" s="119"/>
      <c r="Y45" s="119"/>
    </row>
    <row r="46" spans="5:42" x14ac:dyDescent="0.25">
      <c r="E46" s="75"/>
      <c r="F46" s="118" t="s">
        <v>252</v>
      </c>
      <c r="G46" s="118" t="s">
        <v>251</v>
      </c>
      <c r="J46" s="119"/>
      <c r="K46" s="119"/>
      <c r="L46" s="119"/>
      <c r="M46" s="119"/>
      <c r="N46" s="428">
        <v>7595.2519538184324</v>
      </c>
      <c r="O46" s="428">
        <v>625.11238606784434</v>
      </c>
      <c r="P46" s="428">
        <v>1494.6946608719054</v>
      </c>
      <c r="Q46" s="119"/>
      <c r="R46" s="119"/>
      <c r="S46" s="119"/>
      <c r="T46" s="119"/>
      <c r="U46" s="119"/>
      <c r="V46" s="119"/>
      <c r="W46" s="119"/>
      <c r="X46" s="119"/>
      <c r="Y46" s="119"/>
    </row>
    <row r="47" spans="5:42" x14ac:dyDescent="0.25">
      <c r="E47" s="75"/>
      <c r="F47" s="120" t="s">
        <v>253</v>
      </c>
      <c r="G47" s="120" t="s">
        <v>254</v>
      </c>
      <c r="H47" s="96"/>
      <c r="I47" s="96"/>
      <c r="J47" s="121"/>
      <c r="K47" s="121"/>
      <c r="L47" s="121"/>
      <c r="M47" s="121"/>
      <c r="N47" s="430">
        <v>28794.470795667741</v>
      </c>
      <c r="O47" s="430">
        <v>7943.3523557159006</v>
      </c>
      <c r="P47" s="430">
        <v>36134.16133305386</v>
      </c>
      <c r="Q47" s="121"/>
      <c r="R47" s="121"/>
      <c r="S47" s="121"/>
      <c r="T47" s="121"/>
      <c r="U47" s="121"/>
      <c r="V47" s="121"/>
      <c r="W47" s="121"/>
      <c r="X47" s="121"/>
      <c r="Y47" s="121"/>
    </row>
    <row r="48" spans="5:42" x14ac:dyDescent="0.2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25">
      <c r="E49" s="75" t="s">
        <v>894</v>
      </c>
      <c r="G49" s="61"/>
    </row>
    <row r="50" spans="5:42" x14ac:dyDescent="0.25">
      <c r="E50" s="75"/>
      <c r="F50" s="116" t="s">
        <v>247</v>
      </c>
      <c r="G50" s="116" t="s">
        <v>207</v>
      </c>
      <c r="H50" s="95"/>
      <c r="I50" s="95"/>
      <c r="J50" s="117"/>
      <c r="K50" s="117"/>
      <c r="L50" s="427">
        <v>21294.252059385202</v>
      </c>
      <c r="M50" s="117"/>
      <c r="N50" s="427">
        <v>17628.221372373271</v>
      </c>
      <c r="O50" s="427">
        <v>8552.0900117834626</v>
      </c>
      <c r="P50" s="427">
        <v>28627.87739438835</v>
      </c>
      <c r="Q50" s="117"/>
      <c r="R50" s="117"/>
      <c r="S50" s="117"/>
      <c r="T50" s="117"/>
      <c r="U50" s="117"/>
      <c r="V50" s="117"/>
      <c r="W50" s="117"/>
      <c r="X50" s="117"/>
      <c r="Y50" s="117"/>
    </row>
    <row r="51" spans="5:42" x14ac:dyDescent="0.25">
      <c r="E51" s="75"/>
      <c r="F51" s="118" t="s">
        <v>248</v>
      </c>
      <c r="G51" s="118" t="s">
        <v>207</v>
      </c>
      <c r="J51" s="119"/>
      <c r="K51" s="119"/>
      <c r="L51" s="428">
        <v>179000.8041867968</v>
      </c>
      <c r="M51" s="119"/>
      <c r="N51" s="428">
        <v>127372.39496898772</v>
      </c>
      <c r="O51" s="428">
        <v>61780.637418742961</v>
      </c>
      <c r="P51" s="428">
        <v>200838.89407745432</v>
      </c>
      <c r="Q51" s="119"/>
      <c r="R51" s="119"/>
      <c r="S51" s="119"/>
      <c r="T51" s="119"/>
      <c r="U51" s="119"/>
      <c r="V51" s="119"/>
      <c r="W51" s="119"/>
      <c r="X51" s="119"/>
      <c r="Y51" s="119"/>
    </row>
    <row r="52" spans="5:42" x14ac:dyDescent="0.25">
      <c r="E52" s="75"/>
      <c r="F52" s="118" t="s">
        <v>249</v>
      </c>
      <c r="G52" s="118" t="s">
        <v>207</v>
      </c>
      <c r="J52" s="119"/>
      <c r="K52" s="119"/>
      <c r="L52" s="428">
        <v>148074.88780412273</v>
      </c>
      <c r="M52" s="119"/>
      <c r="N52" s="428">
        <v>113593.09416937035</v>
      </c>
      <c r="O52" s="428">
        <v>61610.235713581053</v>
      </c>
      <c r="P52" s="428">
        <v>228938.076874302</v>
      </c>
      <c r="Q52" s="119"/>
      <c r="R52" s="119"/>
      <c r="S52" s="119"/>
      <c r="T52" s="119"/>
      <c r="U52" s="119"/>
      <c r="V52" s="119"/>
      <c r="W52" s="119"/>
      <c r="X52" s="119"/>
      <c r="Y52" s="119"/>
    </row>
    <row r="53" spans="5:42" x14ac:dyDescent="0.25">
      <c r="E53" s="75"/>
      <c r="F53" s="118" t="s">
        <v>212</v>
      </c>
      <c r="G53" s="118" t="s">
        <v>212</v>
      </c>
      <c r="J53" s="119"/>
      <c r="K53" s="119"/>
      <c r="L53" s="428">
        <v>17853.539337351296</v>
      </c>
      <c r="M53" s="119"/>
      <c r="N53" s="428">
        <v>1028.2807035115104</v>
      </c>
      <c r="O53" s="428">
        <v>385.74838662672181</v>
      </c>
      <c r="P53" s="428">
        <v>130.13991317247633</v>
      </c>
      <c r="Q53" s="119"/>
      <c r="R53" s="119"/>
      <c r="S53" s="119"/>
      <c r="T53" s="119"/>
      <c r="U53" s="119"/>
      <c r="V53" s="119"/>
      <c r="W53" s="119"/>
      <c r="X53" s="119"/>
      <c r="Y53" s="119"/>
    </row>
    <row r="54" spans="5:42" x14ac:dyDescent="0.25">
      <c r="E54" s="75"/>
      <c r="F54" s="118" t="s">
        <v>250</v>
      </c>
      <c r="G54" s="118" t="s">
        <v>251</v>
      </c>
      <c r="J54" s="119"/>
      <c r="K54" s="119"/>
      <c r="L54" s="119"/>
      <c r="M54" s="119"/>
      <c r="N54" s="428">
        <v>200020.16249079138</v>
      </c>
      <c r="O54" s="428">
        <v>79194.96827633612</v>
      </c>
      <c r="P54" s="428">
        <v>185918.38503155162</v>
      </c>
      <c r="Q54" s="119"/>
      <c r="R54" s="119"/>
      <c r="S54" s="119"/>
      <c r="T54" s="119"/>
      <c r="U54" s="119"/>
      <c r="V54" s="119"/>
      <c r="W54" s="119"/>
      <c r="X54" s="119"/>
      <c r="Y54" s="119"/>
    </row>
    <row r="55" spans="5:42" x14ac:dyDescent="0.25">
      <c r="E55" s="75"/>
      <c r="F55" s="118" t="s">
        <v>252</v>
      </c>
      <c r="G55" s="118" t="s">
        <v>251</v>
      </c>
      <c r="J55" s="119"/>
      <c r="K55" s="119"/>
      <c r="L55" s="119"/>
      <c r="M55" s="119"/>
      <c r="N55" s="428">
        <v>5755.9372080121384</v>
      </c>
      <c r="O55" s="428">
        <v>963.44541043053403</v>
      </c>
      <c r="P55" s="428">
        <v>1211.4511779817706</v>
      </c>
      <c r="Q55" s="119"/>
      <c r="R55" s="119"/>
      <c r="S55" s="119"/>
      <c r="T55" s="119"/>
      <c r="U55" s="119"/>
      <c r="V55" s="119"/>
      <c r="W55" s="119"/>
      <c r="X55" s="119"/>
      <c r="Y55" s="119"/>
    </row>
    <row r="56" spans="5:42" x14ac:dyDescent="0.25">
      <c r="E56" s="75"/>
      <c r="F56" s="120" t="s">
        <v>253</v>
      </c>
      <c r="G56" s="120" t="s">
        <v>254</v>
      </c>
      <c r="H56" s="96"/>
      <c r="I56" s="96"/>
      <c r="J56" s="121"/>
      <c r="K56" s="121"/>
      <c r="L56" s="121"/>
      <c r="M56" s="121"/>
      <c r="N56" s="430">
        <v>20681.793368085051</v>
      </c>
      <c r="O56" s="430">
        <v>12072.920522930024</v>
      </c>
      <c r="P56" s="430">
        <v>33321.075998222761</v>
      </c>
      <c r="Q56" s="121"/>
      <c r="R56" s="121"/>
      <c r="S56" s="121"/>
      <c r="T56" s="121"/>
      <c r="U56" s="121"/>
      <c r="V56" s="121"/>
      <c r="W56" s="121"/>
      <c r="X56" s="121"/>
      <c r="Y56" s="121"/>
    </row>
    <row r="57" spans="5:42" x14ac:dyDescent="0.2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25">
      <c r="E58" s="75" t="s">
        <v>895</v>
      </c>
      <c r="G58" s="61"/>
    </row>
    <row r="59" spans="5:42" x14ac:dyDescent="0.25">
      <c r="E59" s="75"/>
      <c r="F59" s="116" t="s">
        <v>247</v>
      </c>
      <c r="G59" s="116" t="s">
        <v>207</v>
      </c>
      <c r="H59" s="95"/>
      <c r="I59" s="95"/>
      <c r="J59" s="117"/>
      <c r="K59" s="117"/>
      <c r="L59" s="427">
        <v>53816.784649668458</v>
      </c>
      <c r="M59" s="117"/>
      <c r="N59" s="427">
        <v>14538.641677991591</v>
      </c>
      <c r="O59" s="427">
        <v>24482.974530545041</v>
      </c>
      <c r="P59" s="427">
        <v>50215.462316398218</v>
      </c>
      <c r="Q59" s="117"/>
      <c r="R59" s="117"/>
      <c r="S59" s="117"/>
      <c r="T59" s="117"/>
      <c r="U59" s="117"/>
      <c r="V59" s="117"/>
      <c r="W59" s="117"/>
      <c r="X59" s="117"/>
      <c r="Y59" s="117"/>
    </row>
    <row r="60" spans="5:42" x14ac:dyDescent="0.25">
      <c r="E60" s="75"/>
      <c r="F60" s="118" t="s">
        <v>248</v>
      </c>
      <c r="G60" s="118" t="s">
        <v>207</v>
      </c>
      <c r="J60" s="119"/>
      <c r="K60" s="119"/>
      <c r="L60" s="428">
        <v>452387.23126659752</v>
      </c>
      <c r="M60" s="119"/>
      <c r="N60" s="428">
        <v>105048.69271859061</v>
      </c>
      <c r="O60" s="428">
        <v>176865.97899692686</v>
      </c>
      <c r="P60" s="428">
        <v>352286.61134305428</v>
      </c>
      <c r="Q60" s="119"/>
      <c r="R60" s="119"/>
      <c r="S60" s="119"/>
      <c r="T60" s="119"/>
      <c r="U60" s="119"/>
      <c r="V60" s="119"/>
      <c r="W60" s="119"/>
      <c r="X60" s="119"/>
      <c r="Y60" s="119"/>
    </row>
    <row r="61" spans="5:42" x14ac:dyDescent="0.25">
      <c r="E61" s="75"/>
      <c r="F61" s="118" t="s">
        <v>249</v>
      </c>
      <c r="G61" s="118" t="s">
        <v>207</v>
      </c>
      <c r="J61" s="119"/>
      <c r="K61" s="119"/>
      <c r="L61" s="428">
        <v>374228.4221467211</v>
      </c>
      <c r="M61" s="119"/>
      <c r="N61" s="428">
        <v>93684.397213834891</v>
      </c>
      <c r="O61" s="428">
        <v>176378.15197432862</v>
      </c>
      <c r="P61" s="428">
        <v>401574.70334575651</v>
      </c>
      <c r="Q61" s="119"/>
      <c r="R61" s="119"/>
      <c r="S61" s="119"/>
      <c r="T61" s="119"/>
      <c r="U61" s="119"/>
      <c r="V61" s="119"/>
      <c r="W61" s="119"/>
      <c r="X61" s="119"/>
      <c r="Y61" s="119"/>
    </row>
    <row r="62" spans="5:42" x14ac:dyDescent="0.25">
      <c r="E62" s="75"/>
      <c r="F62" s="118" t="s">
        <v>212</v>
      </c>
      <c r="G62" s="118" t="s">
        <v>212</v>
      </c>
      <c r="J62" s="119"/>
      <c r="K62" s="119"/>
      <c r="L62" s="428">
        <v>18593.892029409602</v>
      </c>
      <c r="M62" s="119"/>
      <c r="N62" s="428">
        <v>461.51181181225269</v>
      </c>
      <c r="O62" s="428">
        <v>514.66172920120471</v>
      </c>
      <c r="P62" s="428">
        <v>114.7159234631458</v>
      </c>
      <c r="Q62" s="119"/>
      <c r="R62" s="119"/>
      <c r="S62" s="119"/>
      <c r="T62" s="119"/>
      <c r="U62" s="119"/>
      <c r="V62" s="119"/>
      <c r="W62" s="119"/>
      <c r="X62" s="119"/>
      <c r="Y62" s="119"/>
    </row>
    <row r="63" spans="5:42" x14ac:dyDescent="0.25">
      <c r="E63" s="75"/>
      <c r="F63" s="118" t="s">
        <v>250</v>
      </c>
      <c r="G63" s="118" t="s">
        <v>251</v>
      </c>
      <c r="J63" s="119"/>
      <c r="K63" s="119"/>
      <c r="L63" s="119"/>
      <c r="M63" s="119"/>
      <c r="N63" s="428">
        <v>172872.07566471983</v>
      </c>
      <c r="O63" s="428">
        <v>225197.40466775131</v>
      </c>
      <c r="P63" s="428">
        <v>412552.31506201811</v>
      </c>
      <c r="Q63" s="119"/>
      <c r="R63" s="119"/>
      <c r="S63" s="119"/>
      <c r="T63" s="119"/>
      <c r="U63" s="119"/>
      <c r="V63" s="119"/>
      <c r="W63" s="119"/>
      <c r="X63" s="119"/>
      <c r="Y63" s="119"/>
    </row>
    <row r="64" spans="5:42" x14ac:dyDescent="0.25">
      <c r="E64" s="75"/>
      <c r="F64" s="118" t="s">
        <v>252</v>
      </c>
      <c r="G64" s="118" t="s">
        <v>251</v>
      </c>
      <c r="J64" s="119"/>
      <c r="K64" s="119"/>
      <c r="L64" s="119"/>
      <c r="M64" s="119"/>
      <c r="N64" s="428">
        <v>4974.7025507524068</v>
      </c>
      <c r="O64" s="428">
        <v>2739.6362507647245</v>
      </c>
      <c r="P64" s="428">
        <v>2688.2063760190863</v>
      </c>
      <c r="Q64" s="119"/>
      <c r="R64" s="119"/>
      <c r="S64" s="119"/>
      <c r="T64" s="119"/>
      <c r="U64" s="119"/>
      <c r="V64" s="119"/>
      <c r="W64" s="119"/>
      <c r="X64" s="119"/>
      <c r="Y64" s="119"/>
    </row>
    <row r="65" spans="4:43" x14ac:dyDescent="0.25">
      <c r="E65" s="75"/>
      <c r="F65" s="120" t="s">
        <v>253</v>
      </c>
      <c r="G65" s="120" t="s">
        <v>254</v>
      </c>
      <c r="H65" s="96"/>
      <c r="I65" s="96"/>
      <c r="J65" s="121"/>
      <c r="K65" s="121"/>
      <c r="L65" s="121"/>
      <c r="M65" s="121"/>
      <c r="N65" s="430">
        <v>17057.034665339608</v>
      </c>
      <c r="O65" s="430">
        <v>34562.429214955082</v>
      </c>
      <c r="P65" s="430">
        <v>58447.68765352419</v>
      </c>
      <c r="Q65" s="121"/>
      <c r="R65" s="121"/>
      <c r="S65" s="121"/>
      <c r="T65" s="121"/>
      <c r="U65" s="121"/>
      <c r="V65" s="121"/>
      <c r="W65" s="121"/>
      <c r="X65" s="121"/>
      <c r="Y65" s="121"/>
    </row>
    <row r="66" spans="4:43" x14ac:dyDescent="0.2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25">
      <c r="D67" s="86" t="s">
        <v>905</v>
      </c>
      <c r="G67" s="61"/>
      <c r="I67" t="s">
        <v>154</v>
      </c>
      <c r="AQ67" t="s">
        <v>246</v>
      </c>
    </row>
    <row r="68" spans="4:43" x14ac:dyDescent="0.25">
      <c r="G68" s="61"/>
    </row>
    <row r="69" spans="4:43" x14ac:dyDescent="0.25">
      <c r="E69" s="75" t="s">
        <v>859</v>
      </c>
      <c r="G69" s="61"/>
    </row>
    <row r="70" spans="4:43" x14ac:dyDescent="0.25">
      <c r="E70" s="75"/>
      <c r="F70" s="116" t="s">
        <v>247</v>
      </c>
      <c r="G70" s="116" t="s">
        <v>207</v>
      </c>
      <c r="H70" s="95"/>
      <c r="I70" s="95"/>
      <c r="J70" s="117"/>
      <c r="K70" s="427">
        <v>0</v>
      </c>
      <c r="L70" s="427">
        <v>51.692430869477775</v>
      </c>
      <c r="M70" s="427">
        <v>0</v>
      </c>
      <c r="N70" s="427">
        <v>0</v>
      </c>
      <c r="O70" s="117"/>
      <c r="P70" s="117"/>
      <c r="Q70" s="117"/>
      <c r="R70" s="427">
        <v>135.12309960616332</v>
      </c>
      <c r="S70" s="117"/>
      <c r="T70" s="427">
        <v>0</v>
      </c>
      <c r="U70" s="117"/>
      <c r="V70" s="117"/>
      <c r="W70" s="117"/>
      <c r="X70" s="117"/>
      <c r="Y70" s="117"/>
    </row>
    <row r="71" spans="4:43" x14ac:dyDescent="0.25">
      <c r="E71" s="75"/>
      <c r="F71" s="118" t="s">
        <v>248</v>
      </c>
      <c r="G71" s="118" t="s">
        <v>207</v>
      </c>
      <c r="J71" s="119"/>
      <c r="K71" s="428">
        <v>0</v>
      </c>
      <c r="L71" s="428">
        <v>442.11414250627473</v>
      </c>
      <c r="M71" s="428">
        <v>0</v>
      </c>
      <c r="N71" s="428">
        <v>0</v>
      </c>
      <c r="O71" s="119"/>
      <c r="P71" s="119"/>
      <c r="Q71" s="119"/>
      <c r="R71" s="429">
        <v>1233.0122325268569</v>
      </c>
      <c r="S71" s="119"/>
      <c r="T71" s="428">
        <v>0</v>
      </c>
      <c r="U71" s="119"/>
      <c r="V71" s="119"/>
      <c r="W71" s="119"/>
      <c r="X71" s="119"/>
      <c r="Y71" s="119"/>
    </row>
    <row r="72" spans="4:43" x14ac:dyDescent="0.25">
      <c r="E72" s="75"/>
      <c r="F72" s="118" t="s">
        <v>249</v>
      </c>
      <c r="G72" s="118" t="s">
        <v>207</v>
      </c>
      <c r="J72" s="119"/>
      <c r="K72" s="428">
        <v>0</v>
      </c>
      <c r="L72" s="428">
        <v>329.96533050226304</v>
      </c>
      <c r="M72" s="428">
        <v>0</v>
      </c>
      <c r="N72" s="428">
        <v>0</v>
      </c>
      <c r="O72" s="119"/>
      <c r="P72" s="119"/>
      <c r="Q72" s="119"/>
      <c r="R72" s="429">
        <v>536.82082476268477</v>
      </c>
      <c r="S72" s="119"/>
      <c r="T72" s="428">
        <v>0</v>
      </c>
      <c r="U72" s="119"/>
      <c r="V72" s="119"/>
      <c r="W72" s="119"/>
      <c r="X72" s="119"/>
      <c r="Y72" s="119"/>
    </row>
    <row r="73" spans="4:43" x14ac:dyDescent="0.25">
      <c r="E73" s="75"/>
      <c r="F73" s="118" t="s">
        <v>212</v>
      </c>
      <c r="G73" s="118" t="s">
        <v>212</v>
      </c>
      <c r="J73" s="119"/>
      <c r="K73" s="428">
        <v>0</v>
      </c>
      <c r="L73" s="428">
        <v>120.66191919222645</v>
      </c>
      <c r="M73" s="428">
        <v>0</v>
      </c>
      <c r="N73" s="428">
        <v>0</v>
      </c>
      <c r="O73" s="119"/>
      <c r="P73" s="119"/>
      <c r="Q73" s="119"/>
      <c r="R73" s="428">
        <v>0</v>
      </c>
      <c r="S73" s="119"/>
      <c r="T73" s="428">
        <v>0</v>
      </c>
      <c r="U73" s="119"/>
      <c r="V73" s="119"/>
      <c r="W73" s="119"/>
      <c r="X73" s="119"/>
      <c r="Y73" s="119"/>
    </row>
    <row r="74" spans="4:43" x14ac:dyDescent="0.25">
      <c r="E74" s="75"/>
      <c r="F74" s="118" t="s">
        <v>250</v>
      </c>
      <c r="G74" s="118" t="s">
        <v>251</v>
      </c>
      <c r="J74" s="119"/>
      <c r="K74" s="119"/>
      <c r="L74" s="119"/>
      <c r="M74" s="119"/>
      <c r="N74" s="428">
        <v>0</v>
      </c>
      <c r="O74" s="119"/>
      <c r="P74" s="119"/>
      <c r="Q74" s="119"/>
      <c r="R74" s="119"/>
      <c r="S74" s="119"/>
      <c r="T74" s="119"/>
      <c r="U74" s="119"/>
      <c r="V74" s="119"/>
      <c r="W74" s="119"/>
      <c r="X74" s="119"/>
      <c r="Y74" s="119"/>
    </row>
    <row r="75" spans="4:43" x14ac:dyDescent="0.25">
      <c r="E75" s="75"/>
      <c r="F75" s="118" t="s">
        <v>252</v>
      </c>
      <c r="G75" s="118" t="s">
        <v>251</v>
      </c>
      <c r="J75" s="119"/>
      <c r="K75" s="119"/>
      <c r="L75" s="119"/>
      <c r="M75" s="119"/>
      <c r="N75" s="428">
        <v>0</v>
      </c>
      <c r="O75" s="119"/>
      <c r="P75" s="119"/>
      <c r="Q75" s="119"/>
      <c r="R75" s="119"/>
      <c r="S75" s="119"/>
      <c r="T75" s="119"/>
      <c r="U75" s="119"/>
      <c r="V75" s="119"/>
      <c r="W75" s="119"/>
      <c r="X75" s="119"/>
      <c r="Y75" s="119"/>
    </row>
    <row r="76" spans="4:43" x14ac:dyDescent="0.25">
      <c r="E76" s="75"/>
      <c r="F76" s="120" t="s">
        <v>253</v>
      </c>
      <c r="G76" s="120" t="s">
        <v>254</v>
      </c>
      <c r="H76" s="96"/>
      <c r="I76" s="96"/>
      <c r="J76" s="121"/>
      <c r="K76" s="121"/>
      <c r="L76" s="121"/>
      <c r="M76" s="121"/>
      <c r="N76" s="430">
        <v>0</v>
      </c>
      <c r="O76" s="121"/>
      <c r="P76" s="121"/>
      <c r="Q76" s="121"/>
      <c r="R76" s="121"/>
      <c r="S76" s="121"/>
      <c r="T76" s="430">
        <v>0</v>
      </c>
      <c r="U76" s="121"/>
      <c r="V76" s="121"/>
      <c r="W76" s="121"/>
      <c r="X76" s="121"/>
      <c r="Y76" s="121"/>
    </row>
    <row r="77" spans="4:43" x14ac:dyDescent="0.2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25">
      <c r="E78" s="75" t="s">
        <v>896</v>
      </c>
      <c r="G78" s="61"/>
    </row>
    <row r="79" spans="4:43" x14ac:dyDescent="0.25">
      <c r="E79" s="75"/>
      <c r="F79" s="116" t="s">
        <v>247</v>
      </c>
      <c r="G79" s="116" t="s">
        <v>207</v>
      </c>
      <c r="H79" s="95"/>
      <c r="I79" s="95"/>
      <c r="J79" s="427">
        <v>4412.0021358793929</v>
      </c>
      <c r="K79" s="117"/>
      <c r="L79" s="427">
        <v>20.320998460550786</v>
      </c>
      <c r="M79" s="117"/>
      <c r="N79" s="427">
        <v>44.33554237575418</v>
      </c>
      <c r="O79" s="117"/>
      <c r="P79" s="117"/>
      <c r="Q79" s="427">
        <v>3.5402788970786112</v>
      </c>
      <c r="R79" s="117"/>
      <c r="S79" s="117"/>
      <c r="T79" s="117"/>
      <c r="U79" s="117"/>
      <c r="V79" s="117"/>
      <c r="W79" s="117"/>
      <c r="X79" s="117"/>
      <c r="Y79" s="117"/>
    </row>
    <row r="80" spans="4:43" x14ac:dyDescent="0.25">
      <c r="E80" s="75"/>
      <c r="F80" s="118" t="s">
        <v>248</v>
      </c>
      <c r="G80" s="118" t="s">
        <v>207</v>
      </c>
      <c r="J80" s="428">
        <v>23560.34322446982</v>
      </c>
      <c r="K80" s="119"/>
      <c r="L80" s="428">
        <v>157.93698075487379</v>
      </c>
      <c r="M80" s="126"/>
      <c r="N80" s="428">
        <v>310.49047756649685</v>
      </c>
      <c r="O80" s="119"/>
      <c r="P80" s="119"/>
      <c r="Q80" s="429">
        <v>54.762000803164575</v>
      </c>
      <c r="R80" s="119"/>
      <c r="S80" s="119"/>
      <c r="T80" s="119"/>
      <c r="U80" s="119"/>
      <c r="V80" s="119"/>
      <c r="W80" s="119"/>
      <c r="X80" s="119"/>
      <c r="Y80" s="119"/>
    </row>
    <row r="81" spans="5:42" x14ac:dyDescent="0.25">
      <c r="E81" s="75"/>
      <c r="F81" s="118" t="s">
        <v>249</v>
      </c>
      <c r="G81" s="118" t="s">
        <v>207</v>
      </c>
      <c r="J81" s="428">
        <v>24322.859805914686</v>
      </c>
      <c r="K81" s="119"/>
      <c r="L81" s="428">
        <v>131.34784029174614</v>
      </c>
      <c r="M81" s="126"/>
      <c r="N81" s="428">
        <v>302.06266107949341</v>
      </c>
      <c r="O81" s="119"/>
      <c r="P81" s="119"/>
      <c r="Q81" s="429">
        <v>78.61836209396057</v>
      </c>
      <c r="R81" s="119"/>
      <c r="S81" s="119"/>
      <c r="T81" s="119"/>
      <c r="U81" s="119"/>
      <c r="V81" s="119"/>
      <c r="W81" s="119"/>
      <c r="X81" s="119"/>
      <c r="Y81" s="119"/>
    </row>
    <row r="82" spans="5:42" x14ac:dyDescent="0.25">
      <c r="E82" s="75"/>
      <c r="F82" s="118" t="s">
        <v>212</v>
      </c>
      <c r="G82" s="118" t="s">
        <v>212</v>
      </c>
      <c r="J82" s="428">
        <v>19353.401655970189</v>
      </c>
      <c r="K82" s="119"/>
      <c r="L82" s="428">
        <v>79.585521169340822</v>
      </c>
      <c r="M82" s="126"/>
      <c r="N82" s="428">
        <v>11.552736943936573</v>
      </c>
      <c r="O82" s="119"/>
      <c r="P82" s="119"/>
      <c r="Q82" s="428">
        <v>0</v>
      </c>
      <c r="R82" s="119"/>
      <c r="S82" s="119"/>
      <c r="T82" s="119"/>
      <c r="U82" s="119"/>
      <c r="V82" s="119"/>
      <c r="W82" s="119"/>
      <c r="X82" s="119"/>
      <c r="Y82" s="119"/>
    </row>
    <row r="83" spans="5:42" x14ac:dyDescent="0.25">
      <c r="E83" s="75"/>
      <c r="F83" s="118" t="s">
        <v>250</v>
      </c>
      <c r="G83" s="118" t="s">
        <v>251</v>
      </c>
      <c r="J83" s="119"/>
      <c r="K83" s="119"/>
      <c r="L83" s="119"/>
      <c r="M83" s="126"/>
      <c r="N83" s="428">
        <v>765.04791317624438</v>
      </c>
      <c r="O83" s="119"/>
      <c r="P83" s="119"/>
      <c r="Q83" s="119"/>
      <c r="R83" s="119"/>
      <c r="S83" s="119"/>
      <c r="T83" s="119"/>
      <c r="U83" s="119"/>
      <c r="V83" s="119"/>
      <c r="W83" s="119"/>
      <c r="X83" s="119"/>
      <c r="Y83" s="119"/>
    </row>
    <row r="84" spans="5:42" x14ac:dyDescent="0.25">
      <c r="E84" s="75"/>
      <c r="F84" s="118" t="s">
        <v>252</v>
      </c>
      <c r="G84" s="118" t="s">
        <v>251</v>
      </c>
      <c r="J84" s="119"/>
      <c r="K84" s="119"/>
      <c r="L84" s="119"/>
      <c r="M84" s="126"/>
      <c r="N84" s="428">
        <v>32.831877260100747</v>
      </c>
      <c r="O84" s="119"/>
      <c r="P84" s="119"/>
      <c r="Q84" s="119"/>
      <c r="R84" s="119"/>
      <c r="S84" s="119"/>
      <c r="T84" s="119"/>
      <c r="U84" s="119"/>
      <c r="V84" s="119"/>
      <c r="W84" s="119"/>
      <c r="X84" s="119"/>
      <c r="Y84" s="119"/>
    </row>
    <row r="85" spans="5:42" x14ac:dyDescent="0.25">
      <c r="E85" s="75"/>
      <c r="F85" s="120" t="s">
        <v>253</v>
      </c>
      <c r="G85" s="120" t="s">
        <v>254</v>
      </c>
      <c r="H85" s="96"/>
      <c r="I85" s="96"/>
      <c r="J85" s="121"/>
      <c r="K85" s="121"/>
      <c r="L85" s="121"/>
      <c r="M85" s="121"/>
      <c r="N85" s="430">
        <v>74.458303748948666</v>
      </c>
      <c r="O85" s="121"/>
      <c r="P85" s="121"/>
      <c r="Q85" s="121"/>
      <c r="R85" s="121"/>
      <c r="S85" s="121"/>
      <c r="T85" s="121"/>
      <c r="U85" s="121"/>
      <c r="V85" s="121"/>
      <c r="W85" s="121"/>
      <c r="X85" s="121"/>
      <c r="Y85" s="121"/>
    </row>
    <row r="86" spans="5:42" x14ac:dyDescent="0.2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25">
      <c r="E87" s="75" t="s">
        <v>897</v>
      </c>
      <c r="G87" s="61"/>
    </row>
    <row r="88" spans="5:42" x14ac:dyDescent="0.25">
      <c r="E88" s="75"/>
      <c r="F88" s="116" t="s">
        <v>247</v>
      </c>
      <c r="G88" s="116" t="s">
        <v>207</v>
      </c>
      <c r="H88" s="95"/>
      <c r="I88" s="95"/>
      <c r="J88" s="117"/>
      <c r="K88" s="117"/>
      <c r="L88" s="427">
        <v>13.132501934538336</v>
      </c>
      <c r="M88" s="117"/>
      <c r="N88" s="427">
        <v>207.52325554001433</v>
      </c>
      <c r="O88" s="117"/>
      <c r="P88" s="117"/>
      <c r="Q88" s="117"/>
      <c r="R88" s="117"/>
      <c r="S88" s="117"/>
      <c r="T88" s="117"/>
      <c r="U88" s="117"/>
      <c r="V88" s="117"/>
      <c r="W88" s="117"/>
      <c r="X88" s="117"/>
      <c r="Y88" s="117"/>
    </row>
    <row r="89" spans="5:42" x14ac:dyDescent="0.25">
      <c r="E89" s="75"/>
      <c r="F89" s="118" t="s">
        <v>248</v>
      </c>
      <c r="G89" s="118" t="s">
        <v>207</v>
      </c>
      <c r="J89" s="119"/>
      <c r="K89" s="119"/>
      <c r="L89" s="428">
        <v>111.83354950922403</v>
      </c>
      <c r="M89" s="119"/>
      <c r="N89" s="428">
        <v>1478.0079161369983</v>
      </c>
      <c r="O89" s="119"/>
      <c r="P89" s="119"/>
      <c r="Q89" s="119"/>
      <c r="R89" s="119"/>
      <c r="S89" s="119"/>
      <c r="T89" s="119"/>
      <c r="U89" s="119"/>
      <c r="V89" s="119"/>
      <c r="W89" s="119"/>
      <c r="X89" s="119"/>
      <c r="Y89" s="119"/>
    </row>
    <row r="90" spans="5:42" x14ac:dyDescent="0.25">
      <c r="E90" s="75"/>
      <c r="F90" s="118" t="s">
        <v>249</v>
      </c>
      <c r="G90" s="118" t="s">
        <v>207</v>
      </c>
      <c r="J90" s="119"/>
      <c r="K90" s="119"/>
      <c r="L90" s="428">
        <v>82.843993643226185</v>
      </c>
      <c r="M90" s="119"/>
      <c r="N90" s="428">
        <v>1194.9359803241844</v>
      </c>
      <c r="O90" s="119"/>
      <c r="P90" s="119"/>
      <c r="Q90" s="119"/>
      <c r="R90" s="119"/>
      <c r="S90" s="119"/>
      <c r="T90" s="119"/>
      <c r="U90" s="119"/>
      <c r="V90" s="119"/>
      <c r="W90" s="119"/>
      <c r="X90" s="119"/>
      <c r="Y90" s="119"/>
    </row>
    <row r="91" spans="5:42" x14ac:dyDescent="0.25">
      <c r="E91" s="75"/>
      <c r="F91" s="118" t="s">
        <v>212</v>
      </c>
      <c r="G91" s="118" t="s">
        <v>212</v>
      </c>
      <c r="J91" s="119"/>
      <c r="K91" s="119"/>
      <c r="L91" s="428">
        <v>52.629134966822164</v>
      </c>
      <c r="M91" s="119"/>
      <c r="N91" s="428">
        <v>50.061860090391804</v>
      </c>
      <c r="O91" s="119"/>
      <c r="P91" s="119"/>
      <c r="Q91" s="119"/>
      <c r="R91" s="119"/>
      <c r="S91" s="119"/>
      <c r="T91" s="119"/>
      <c r="U91" s="119"/>
      <c r="V91" s="119"/>
      <c r="W91" s="119"/>
      <c r="X91" s="119"/>
      <c r="Y91" s="119"/>
    </row>
    <row r="92" spans="5:42" x14ac:dyDescent="0.25">
      <c r="E92" s="75"/>
      <c r="F92" s="118" t="s">
        <v>250</v>
      </c>
      <c r="G92" s="118" t="s">
        <v>251</v>
      </c>
      <c r="J92" s="119"/>
      <c r="K92" s="119"/>
      <c r="L92" s="119"/>
      <c r="M92" s="119"/>
      <c r="N92" s="428">
        <v>5844.4012561936916</v>
      </c>
      <c r="O92" s="119"/>
      <c r="P92" s="119"/>
      <c r="Q92" s="119"/>
      <c r="R92" s="119"/>
      <c r="S92" s="119"/>
      <c r="T92" s="119"/>
      <c r="U92" s="119"/>
      <c r="V92" s="119"/>
      <c r="W92" s="119"/>
      <c r="X92" s="119"/>
      <c r="Y92" s="119"/>
    </row>
    <row r="93" spans="5:42" x14ac:dyDescent="0.25">
      <c r="E93" s="75"/>
      <c r="F93" s="118" t="s">
        <v>252</v>
      </c>
      <c r="G93" s="118" t="s">
        <v>251</v>
      </c>
      <c r="J93" s="119"/>
      <c r="K93" s="119"/>
      <c r="L93" s="119"/>
      <c r="M93" s="119"/>
      <c r="N93" s="428">
        <v>0</v>
      </c>
      <c r="O93" s="119"/>
      <c r="P93" s="119"/>
      <c r="Q93" s="119"/>
      <c r="R93" s="119"/>
      <c r="S93" s="119"/>
      <c r="T93" s="119"/>
      <c r="U93" s="119"/>
      <c r="V93" s="119"/>
      <c r="W93" s="119"/>
      <c r="X93" s="119"/>
      <c r="Y93" s="119"/>
    </row>
    <row r="94" spans="5:42" x14ac:dyDescent="0.25">
      <c r="E94" s="75"/>
      <c r="F94" s="120" t="s">
        <v>253</v>
      </c>
      <c r="G94" s="120" t="s">
        <v>254</v>
      </c>
      <c r="H94" s="96"/>
      <c r="I94" s="96"/>
      <c r="J94" s="121"/>
      <c r="K94" s="121"/>
      <c r="L94" s="121"/>
      <c r="M94" s="121"/>
      <c r="N94" s="430">
        <v>372.87674036583576</v>
      </c>
      <c r="O94" s="121"/>
      <c r="P94" s="121"/>
      <c r="Q94" s="121"/>
      <c r="R94" s="121"/>
      <c r="S94" s="121"/>
      <c r="T94" s="121"/>
      <c r="U94" s="121"/>
      <c r="V94" s="121"/>
      <c r="W94" s="121"/>
      <c r="X94" s="121"/>
      <c r="Y94" s="121"/>
    </row>
    <row r="95" spans="5:42" x14ac:dyDescent="0.2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25">
      <c r="E96" s="75" t="s">
        <v>898</v>
      </c>
      <c r="G96" s="61"/>
    </row>
    <row r="97" spans="5:42" x14ac:dyDescent="0.25">
      <c r="E97" s="75"/>
      <c r="F97" s="116" t="s">
        <v>247</v>
      </c>
      <c r="G97" s="116" t="s">
        <v>207</v>
      </c>
      <c r="H97" s="95"/>
      <c r="I97" s="95"/>
      <c r="J97" s="117"/>
      <c r="K97" s="117"/>
      <c r="L97" s="427">
        <v>39.771044721190137</v>
      </c>
      <c r="M97" s="117"/>
      <c r="N97" s="427">
        <v>361.66914295819572</v>
      </c>
      <c r="O97" s="117"/>
      <c r="P97" s="117"/>
      <c r="Q97" s="117"/>
      <c r="R97" s="117"/>
      <c r="S97" s="117"/>
      <c r="T97" s="117"/>
      <c r="U97" s="117"/>
      <c r="V97" s="117"/>
      <c r="W97" s="117"/>
      <c r="X97" s="117"/>
      <c r="Y97" s="117"/>
    </row>
    <row r="98" spans="5:42" x14ac:dyDescent="0.25">
      <c r="E98" s="75"/>
      <c r="F98" s="118" t="s">
        <v>248</v>
      </c>
      <c r="G98" s="118" t="s">
        <v>207</v>
      </c>
      <c r="J98" s="119"/>
      <c r="K98" s="119"/>
      <c r="L98" s="428">
        <v>329.60005765008896</v>
      </c>
      <c r="M98" s="119"/>
      <c r="N98" s="428">
        <v>2411.8183069223987</v>
      </c>
      <c r="O98" s="119"/>
      <c r="P98" s="119"/>
      <c r="Q98" s="119"/>
      <c r="R98" s="119"/>
      <c r="S98" s="119"/>
      <c r="T98" s="119"/>
      <c r="U98" s="119"/>
      <c r="V98" s="119"/>
      <c r="W98" s="119"/>
      <c r="X98" s="119"/>
      <c r="Y98" s="119"/>
    </row>
    <row r="99" spans="5:42" x14ac:dyDescent="0.25">
      <c r="E99" s="75"/>
      <c r="F99" s="118" t="s">
        <v>249</v>
      </c>
      <c r="G99" s="118" t="s">
        <v>207</v>
      </c>
      <c r="J99" s="119"/>
      <c r="K99" s="119"/>
      <c r="L99" s="428">
        <v>250.75606649996607</v>
      </c>
      <c r="M99" s="119"/>
      <c r="N99" s="428">
        <v>1347.8960152201341</v>
      </c>
      <c r="O99" s="119"/>
      <c r="P99" s="119"/>
      <c r="Q99" s="119"/>
      <c r="R99" s="119"/>
      <c r="S99" s="119"/>
      <c r="T99" s="119"/>
      <c r="U99" s="119"/>
      <c r="V99" s="119"/>
      <c r="W99" s="119"/>
      <c r="X99" s="119"/>
      <c r="Y99" s="119"/>
    </row>
    <row r="100" spans="5:42" x14ac:dyDescent="0.25">
      <c r="E100" s="75"/>
      <c r="F100" s="118" t="s">
        <v>212</v>
      </c>
      <c r="G100" s="118" t="s">
        <v>212</v>
      </c>
      <c r="J100" s="119"/>
      <c r="K100" s="119"/>
      <c r="L100" s="428">
        <v>68.032784225404285</v>
      </c>
      <c r="M100" s="119"/>
      <c r="N100" s="428">
        <v>56.480047281467677</v>
      </c>
      <c r="O100" s="119"/>
      <c r="P100" s="119"/>
      <c r="Q100" s="119"/>
      <c r="R100" s="119"/>
      <c r="S100" s="119"/>
      <c r="T100" s="119"/>
      <c r="U100" s="119"/>
      <c r="V100" s="119"/>
      <c r="W100" s="119"/>
      <c r="X100" s="119"/>
      <c r="Y100" s="119"/>
    </row>
    <row r="101" spans="5:42" x14ac:dyDescent="0.25">
      <c r="E101" s="75"/>
      <c r="F101" s="118" t="s">
        <v>250</v>
      </c>
      <c r="G101" s="118" t="s">
        <v>251</v>
      </c>
      <c r="J101" s="119"/>
      <c r="K101" s="119"/>
      <c r="L101" s="119"/>
      <c r="M101" s="119"/>
      <c r="N101" s="428">
        <v>9768.4809048174811</v>
      </c>
      <c r="O101" s="119"/>
      <c r="P101" s="119"/>
      <c r="Q101" s="119"/>
      <c r="R101" s="119"/>
      <c r="S101" s="119"/>
      <c r="T101" s="119"/>
      <c r="U101" s="119"/>
      <c r="V101" s="119"/>
      <c r="W101" s="119"/>
      <c r="X101" s="119"/>
      <c r="Y101" s="119"/>
    </row>
    <row r="102" spans="5:42" x14ac:dyDescent="0.25">
      <c r="E102" s="75"/>
      <c r="F102" s="118" t="s">
        <v>252</v>
      </c>
      <c r="G102" s="118" t="s">
        <v>251</v>
      </c>
      <c r="J102" s="119"/>
      <c r="K102" s="119"/>
      <c r="L102" s="119"/>
      <c r="M102" s="119"/>
      <c r="N102" s="428">
        <v>98.103162338540002</v>
      </c>
      <c r="O102" s="119"/>
      <c r="P102" s="119"/>
      <c r="Q102" s="119"/>
      <c r="R102" s="119"/>
      <c r="S102" s="119"/>
      <c r="T102" s="119"/>
      <c r="U102" s="119"/>
      <c r="V102" s="119"/>
      <c r="W102" s="119"/>
      <c r="X102" s="119"/>
      <c r="Y102" s="119"/>
    </row>
    <row r="103" spans="5:42" x14ac:dyDescent="0.25">
      <c r="E103" s="75"/>
      <c r="F103" s="120" t="s">
        <v>253</v>
      </c>
      <c r="G103" s="120" t="s">
        <v>254</v>
      </c>
      <c r="H103" s="96"/>
      <c r="I103" s="96"/>
      <c r="J103" s="121"/>
      <c r="K103" s="121"/>
      <c r="L103" s="121"/>
      <c r="M103" s="121"/>
      <c r="N103" s="430">
        <v>254.42933667479551</v>
      </c>
      <c r="O103" s="121"/>
      <c r="P103" s="121"/>
      <c r="Q103" s="121"/>
      <c r="R103" s="121"/>
      <c r="S103" s="121"/>
      <c r="T103" s="121"/>
      <c r="U103" s="121"/>
      <c r="V103" s="121"/>
      <c r="W103" s="121"/>
      <c r="X103" s="121"/>
      <c r="Y103" s="121"/>
    </row>
    <row r="104" spans="5:42" x14ac:dyDescent="0.2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25">
      <c r="E105" s="75" t="s">
        <v>899</v>
      </c>
      <c r="G105" s="61"/>
    </row>
    <row r="106" spans="5:42" x14ac:dyDescent="0.25">
      <c r="E106" s="75"/>
      <c r="F106" s="116" t="s">
        <v>247</v>
      </c>
      <c r="G106" s="116" t="s">
        <v>207</v>
      </c>
      <c r="H106" s="95"/>
      <c r="I106" s="95"/>
      <c r="J106" s="117"/>
      <c r="K106" s="117"/>
      <c r="L106" s="427">
        <v>78.185999999999993</v>
      </c>
      <c r="M106" s="117"/>
      <c r="N106" s="427">
        <v>231.60900000000001</v>
      </c>
      <c r="O106" s="117"/>
      <c r="P106" s="117"/>
      <c r="Q106" s="117"/>
      <c r="R106" s="117"/>
      <c r="S106" s="117"/>
      <c r="T106" s="117"/>
      <c r="U106" s="117"/>
      <c r="V106" s="117"/>
      <c r="W106" s="117"/>
      <c r="X106" s="117"/>
      <c r="Y106" s="117"/>
    </row>
    <row r="107" spans="5:42" x14ac:dyDescent="0.25">
      <c r="E107" s="75"/>
      <c r="F107" s="118" t="s">
        <v>248</v>
      </c>
      <c r="G107" s="118" t="s">
        <v>207</v>
      </c>
      <c r="J107" s="119"/>
      <c r="K107" s="119"/>
      <c r="L107" s="428">
        <v>656.98</v>
      </c>
      <c r="M107" s="119"/>
      <c r="N107" s="428">
        <v>1557.96</v>
      </c>
      <c r="O107" s="119"/>
      <c r="P107" s="119"/>
      <c r="Q107" s="119"/>
      <c r="R107" s="119"/>
      <c r="S107" s="119"/>
      <c r="T107" s="119"/>
      <c r="U107" s="119"/>
      <c r="V107" s="119"/>
      <c r="W107" s="119"/>
      <c r="X107" s="119"/>
      <c r="Y107" s="119"/>
    </row>
    <row r="108" spans="5:42" x14ac:dyDescent="0.25">
      <c r="E108" s="75"/>
      <c r="F108" s="118" t="s">
        <v>249</v>
      </c>
      <c r="G108" s="118" t="s">
        <v>207</v>
      </c>
      <c r="J108" s="119"/>
      <c r="K108" s="119"/>
      <c r="L108" s="428">
        <v>496.58699999999999</v>
      </c>
      <c r="M108" s="119"/>
      <c r="N108" s="428">
        <v>1215.3820000000001</v>
      </c>
      <c r="O108" s="119"/>
      <c r="P108" s="119"/>
      <c r="Q108" s="119"/>
      <c r="R108" s="119"/>
      <c r="S108" s="119"/>
      <c r="T108" s="119"/>
      <c r="U108" s="119"/>
      <c r="V108" s="119"/>
      <c r="W108" s="119"/>
      <c r="X108" s="119"/>
      <c r="Y108" s="119"/>
    </row>
    <row r="109" spans="5:42" x14ac:dyDescent="0.25">
      <c r="E109" s="75"/>
      <c r="F109" s="118" t="s">
        <v>212</v>
      </c>
      <c r="G109" s="118" t="s">
        <v>212</v>
      </c>
      <c r="J109" s="119"/>
      <c r="K109" s="119"/>
      <c r="L109" s="428">
        <v>79.991780821917814</v>
      </c>
      <c r="M109" s="119"/>
      <c r="N109" s="428">
        <v>11.482191780821918</v>
      </c>
      <c r="O109" s="119"/>
      <c r="P109" s="119"/>
      <c r="Q109" s="119"/>
      <c r="R109" s="119"/>
      <c r="S109" s="119"/>
      <c r="T109" s="119"/>
      <c r="U109" s="119"/>
      <c r="V109" s="119"/>
      <c r="W109" s="119"/>
      <c r="X109" s="119"/>
      <c r="Y109" s="119"/>
    </row>
    <row r="110" spans="5:42" x14ac:dyDescent="0.25">
      <c r="E110" s="75"/>
      <c r="F110" s="118" t="s">
        <v>250</v>
      </c>
      <c r="G110" s="118" t="s">
        <v>251</v>
      </c>
      <c r="J110" s="119"/>
      <c r="K110" s="119"/>
      <c r="L110" s="119"/>
      <c r="M110" s="119"/>
      <c r="N110" s="428">
        <v>6538.3150684931506</v>
      </c>
      <c r="O110" s="119"/>
      <c r="P110" s="119"/>
      <c r="Q110" s="119"/>
      <c r="R110" s="119"/>
      <c r="S110" s="119"/>
      <c r="T110" s="119"/>
      <c r="U110" s="119"/>
      <c r="V110" s="119"/>
      <c r="W110" s="119"/>
      <c r="X110" s="119"/>
      <c r="Y110" s="119"/>
    </row>
    <row r="111" spans="5:42" x14ac:dyDescent="0.25">
      <c r="E111" s="75"/>
      <c r="F111" s="118" t="s">
        <v>252</v>
      </c>
      <c r="G111" s="118" t="s">
        <v>251</v>
      </c>
      <c r="J111" s="119"/>
      <c r="K111" s="119"/>
      <c r="L111" s="119"/>
      <c r="M111" s="119"/>
      <c r="N111" s="428">
        <v>0.42955710508269518</v>
      </c>
      <c r="O111" s="119"/>
      <c r="P111" s="119"/>
      <c r="Q111" s="119"/>
      <c r="R111" s="119"/>
      <c r="S111" s="119"/>
      <c r="T111" s="119"/>
      <c r="U111" s="119"/>
      <c r="V111" s="119"/>
      <c r="W111" s="119"/>
      <c r="X111" s="119"/>
      <c r="Y111" s="119"/>
    </row>
    <row r="112" spans="5:42" x14ac:dyDescent="0.25">
      <c r="E112" s="75"/>
      <c r="F112" s="120" t="s">
        <v>253</v>
      </c>
      <c r="G112" s="120" t="s">
        <v>254</v>
      </c>
      <c r="H112" s="96"/>
      <c r="I112" s="96"/>
      <c r="J112" s="121"/>
      <c r="K112" s="121"/>
      <c r="L112" s="121"/>
      <c r="M112" s="121"/>
      <c r="N112" s="430">
        <v>561.73322191689988</v>
      </c>
      <c r="O112" s="121"/>
      <c r="P112" s="121"/>
      <c r="Q112" s="121"/>
      <c r="R112" s="121"/>
      <c r="S112" s="121"/>
      <c r="T112" s="121"/>
      <c r="U112" s="121"/>
      <c r="V112" s="121"/>
      <c r="W112" s="121"/>
      <c r="X112" s="121"/>
      <c r="Y112" s="121"/>
    </row>
    <row r="113" spans="4:43" x14ac:dyDescent="0.2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25">
      <c r="D114" s="86" t="s">
        <v>906</v>
      </c>
      <c r="G114" s="61"/>
      <c r="I114" t="s">
        <v>154</v>
      </c>
      <c r="AQ114" t="s">
        <v>246</v>
      </c>
    </row>
    <row r="115" spans="4:43" x14ac:dyDescent="0.25">
      <c r="G115" s="61"/>
    </row>
    <row r="116" spans="4:43" x14ac:dyDescent="0.25">
      <c r="E116" s="75" t="s">
        <v>860</v>
      </c>
      <c r="G116" s="61"/>
    </row>
    <row r="117" spans="4:43" x14ac:dyDescent="0.25">
      <c r="E117" s="75"/>
      <c r="F117" s="116" t="s">
        <v>247</v>
      </c>
      <c r="G117" s="116" t="s">
        <v>207</v>
      </c>
      <c r="H117" s="95"/>
      <c r="I117" s="95"/>
      <c r="J117" s="117"/>
      <c r="K117" s="427">
        <v>0</v>
      </c>
      <c r="L117" s="427">
        <v>70.985493546545925</v>
      </c>
      <c r="M117" s="427">
        <v>0</v>
      </c>
      <c r="N117" s="427">
        <v>12.045770896969415</v>
      </c>
      <c r="O117" s="427">
        <v>0</v>
      </c>
      <c r="P117" s="427">
        <v>0</v>
      </c>
      <c r="Q117" s="117"/>
      <c r="R117" s="427">
        <v>288.39483167076304</v>
      </c>
      <c r="S117" s="427">
        <v>0</v>
      </c>
      <c r="T117" s="427">
        <v>2.3230095129862165</v>
      </c>
      <c r="U117" s="117"/>
      <c r="V117" s="427">
        <v>0</v>
      </c>
      <c r="W117" s="117"/>
      <c r="X117" s="427">
        <v>0</v>
      </c>
      <c r="Y117" s="117"/>
    </row>
    <row r="118" spans="4:43" x14ac:dyDescent="0.25">
      <c r="E118" s="75"/>
      <c r="F118" s="118" t="s">
        <v>248</v>
      </c>
      <c r="G118" s="118" t="s">
        <v>207</v>
      </c>
      <c r="J118" s="119"/>
      <c r="K118" s="428">
        <v>0</v>
      </c>
      <c r="L118" s="428">
        <v>592.05742416768396</v>
      </c>
      <c r="M118" s="428">
        <v>0</v>
      </c>
      <c r="N118" s="428">
        <v>104.91898137272941</v>
      </c>
      <c r="O118" s="428">
        <v>0</v>
      </c>
      <c r="P118" s="428">
        <v>0</v>
      </c>
      <c r="Q118" s="119"/>
      <c r="R118" s="429">
        <v>2734.4347752387589</v>
      </c>
      <c r="S118" s="429">
        <v>0</v>
      </c>
      <c r="T118" s="428">
        <v>28.767744483149521</v>
      </c>
      <c r="U118" s="119"/>
      <c r="V118" s="428">
        <v>0</v>
      </c>
      <c r="W118" s="119"/>
      <c r="X118" s="428">
        <v>0</v>
      </c>
      <c r="Y118" s="119"/>
    </row>
    <row r="119" spans="4:43" x14ac:dyDescent="0.25">
      <c r="E119" s="75"/>
      <c r="F119" s="118" t="s">
        <v>249</v>
      </c>
      <c r="G119" s="118" t="s">
        <v>207</v>
      </c>
      <c r="J119" s="119"/>
      <c r="K119" s="428">
        <v>0</v>
      </c>
      <c r="L119" s="428">
        <v>475.54692631533351</v>
      </c>
      <c r="M119" s="428">
        <v>0</v>
      </c>
      <c r="N119" s="428">
        <v>64.704865253482339</v>
      </c>
      <c r="O119" s="428">
        <v>0</v>
      </c>
      <c r="P119" s="428">
        <v>0</v>
      </c>
      <c r="Q119" s="119"/>
      <c r="R119" s="429">
        <v>1119.1280628397724</v>
      </c>
      <c r="S119" s="429">
        <v>0</v>
      </c>
      <c r="T119" s="428">
        <v>21.818802192518774</v>
      </c>
      <c r="U119" s="119"/>
      <c r="V119" s="428">
        <v>0</v>
      </c>
      <c r="W119" s="119"/>
      <c r="X119" s="428">
        <v>0</v>
      </c>
      <c r="Y119" s="119"/>
    </row>
    <row r="120" spans="4:43" x14ac:dyDescent="0.25">
      <c r="E120" s="75"/>
      <c r="F120" s="118" t="s">
        <v>212</v>
      </c>
      <c r="G120" s="118" t="s">
        <v>212</v>
      </c>
      <c r="J120" s="119"/>
      <c r="K120" s="428">
        <v>0</v>
      </c>
      <c r="L120" s="428">
        <v>133.49829357437818</v>
      </c>
      <c r="M120" s="428">
        <v>0</v>
      </c>
      <c r="N120" s="428">
        <v>3.850912314645524</v>
      </c>
      <c r="O120" s="428">
        <v>0</v>
      </c>
      <c r="P120" s="428">
        <v>0</v>
      </c>
      <c r="Q120" s="119"/>
      <c r="R120" s="428">
        <v>0</v>
      </c>
      <c r="S120" s="428">
        <v>0</v>
      </c>
      <c r="T120" s="428">
        <v>2.5672748764303495</v>
      </c>
      <c r="U120" s="119"/>
      <c r="V120" s="428">
        <v>0</v>
      </c>
      <c r="W120" s="119"/>
      <c r="X120" s="428">
        <v>0</v>
      </c>
      <c r="Y120" s="119"/>
    </row>
    <row r="121" spans="4:43" x14ac:dyDescent="0.25">
      <c r="E121" s="75"/>
      <c r="F121" s="118" t="s">
        <v>250</v>
      </c>
      <c r="G121" s="118" t="s">
        <v>251</v>
      </c>
      <c r="J121" s="119"/>
      <c r="K121" s="119"/>
      <c r="L121" s="119"/>
      <c r="M121" s="119"/>
      <c r="N121" s="428">
        <v>770.18246292910464</v>
      </c>
      <c r="O121" s="428">
        <v>0</v>
      </c>
      <c r="P121" s="428">
        <v>0</v>
      </c>
      <c r="Q121" s="119"/>
      <c r="R121" s="119"/>
      <c r="S121" s="119"/>
      <c r="T121" s="119"/>
      <c r="U121" s="119"/>
      <c r="V121" s="119"/>
      <c r="W121" s="119"/>
      <c r="X121" s="119"/>
      <c r="Y121" s="119"/>
    </row>
    <row r="122" spans="4:43" x14ac:dyDescent="0.25">
      <c r="E122" s="75"/>
      <c r="F122" s="118" t="s">
        <v>252</v>
      </c>
      <c r="G122" s="118" t="s">
        <v>251</v>
      </c>
      <c r="J122" s="119"/>
      <c r="K122" s="119"/>
      <c r="L122" s="119"/>
      <c r="M122" s="119"/>
      <c r="N122" s="428">
        <v>0</v>
      </c>
      <c r="O122" s="428">
        <v>0</v>
      </c>
      <c r="P122" s="428">
        <v>0</v>
      </c>
      <c r="Q122" s="119"/>
      <c r="R122" s="119"/>
      <c r="S122" s="119"/>
      <c r="T122" s="119"/>
      <c r="U122" s="119"/>
      <c r="V122" s="119"/>
      <c r="W122" s="119"/>
      <c r="X122" s="119"/>
      <c r="Y122" s="119"/>
    </row>
    <row r="123" spans="4:43" x14ac:dyDescent="0.25">
      <c r="E123" s="75"/>
      <c r="F123" s="120" t="s">
        <v>253</v>
      </c>
      <c r="G123" s="120" t="s">
        <v>254</v>
      </c>
      <c r="H123" s="96"/>
      <c r="I123" s="96"/>
      <c r="J123" s="121"/>
      <c r="K123" s="121"/>
      <c r="L123" s="121"/>
      <c r="M123" s="121"/>
      <c r="N123" s="430">
        <v>3.9307738658755791</v>
      </c>
      <c r="O123" s="430">
        <v>0</v>
      </c>
      <c r="P123" s="430">
        <v>0</v>
      </c>
      <c r="Q123" s="121"/>
      <c r="R123" s="121"/>
      <c r="S123" s="121"/>
      <c r="T123" s="430">
        <v>5.8391330320959867</v>
      </c>
      <c r="U123" s="121"/>
      <c r="V123" s="430">
        <v>0</v>
      </c>
      <c r="W123" s="121"/>
      <c r="X123" s="430">
        <v>0</v>
      </c>
      <c r="Y123" s="121"/>
    </row>
    <row r="124" spans="4:43" x14ac:dyDescent="0.2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25">
      <c r="E125" s="75" t="s">
        <v>900</v>
      </c>
      <c r="G125" s="61"/>
    </row>
    <row r="126" spans="4:43" x14ac:dyDescent="0.25">
      <c r="E126" s="75"/>
      <c r="F126" s="116" t="s">
        <v>247</v>
      </c>
      <c r="G126" s="116" t="s">
        <v>207</v>
      </c>
      <c r="H126" s="95"/>
      <c r="I126" s="95"/>
      <c r="J126" s="427">
        <v>13965.52024182292</v>
      </c>
      <c r="K126" s="117"/>
      <c r="L126" s="427">
        <v>211.0535821228768</v>
      </c>
      <c r="M126" s="117"/>
      <c r="N126" s="427">
        <v>562.08432284698426</v>
      </c>
      <c r="O126" s="427">
        <v>0</v>
      </c>
      <c r="P126" s="427">
        <v>0</v>
      </c>
      <c r="Q126" s="427">
        <v>0</v>
      </c>
      <c r="R126" s="117"/>
      <c r="S126" s="117"/>
      <c r="T126" s="117"/>
      <c r="U126" s="117"/>
      <c r="V126" s="117"/>
      <c r="W126" s="117"/>
      <c r="X126" s="117"/>
      <c r="Y126" s="117"/>
    </row>
    <row r="127" spans="4:43" x14ac:dyDescent="0.25">
      <c r="E127" s="75"/>
      <c r="F127" s="118" t="s">
        <v>248</v>
      </c>
      <c r="G127" s="118" t="s">
        <v>207</v>
      </c>
      <c r="J127" s="428">
        <v>74417.350985561308</v>
      </c>
      <c r="K127" s="119"/>
      <c r="L127" s="428">
        <v>1747.4831462086197</v>
      </c>
      <c r="M127" s="126"/>
      <c r="N127" s="428">
        <v>3543.7331850241781</v>
      </c>
      <c r="O127" s="428">
        <v>0</v>
      </c>
      <c r="P127" s="428">
        <v>0</v>
      </c>
      <c r="Q127" s="429">
        <v>0</v>
      </c>
      <c r="R127" s="119"/>
      <c r="S127" s="119"/>
      <c r="T127" s="119"/>
      <c r="U127" s="119"/>
      <c r="V127" s="119"/>
      <c r="W127" s="119"/>
      <c r="X127" s="119"/>
      <c r="Y127" s="119"/>
    </row>
    <row r="128" spans="4:43" x14ac:dyDescent="0.25">
      <c r="E128" s="75"/>
      <c r="F128" s="118" t="s">
        <v>249</v>
      </c>
      <c r="G128" s="118" t="s">
        <v>207</v>
      </c>
      <c r="J128" s="428">
        <v>76556.398456911411</v>
      </c>
      <c r="K128" s="119"/>
      <c r="L128" s="428">
        <v>1333.8253788269296</v>
      </c>
      <c r="M128" s="126"/>
      <c r="N128" s="428">
        <v>2921.0587052619221</v>
      </c>
      <c r="O128" s="428">
        <v>0</v>
      </c>
      <c r="P128" s="428">
        <v>0</v>
      </c>
      <c r="Q128" s="429">
        <v>0</v>
      </c>
      <c r="R128" s="119"/>
      <c r="S128" s="119"/>
      <c r="T128" s="119"/>
      <c r="U128" s="119"/>
      <c r="V128" s="119"/>
      <c r="W128" s="119"/>
      <c r="X128" s="119"/>
      <c r="Y128" s="119"/>
    </row>
    <row r="129" spans="5:42" x14ac:dyDescent="0.25">
      <c r="E129" s="75"/>
      <c r="F129" s="118" t="s">
        <v>212</v>
      </c>
      <c r="G129" s="118" t="s">
        <v>212</v>
      </c>
      <c r="J129" s="428">
        <v>61570.95336142907</v>
      </c>
      <c r="K129" s="119"/>
      <c r="L129" s="428">
        <v>560.94956050003134</v>
      </c>
      <c r="M129" s="126"/>
      <c r="N129" s="428">
        <v>74.450971416480158</v>
      </c>
      <c r="O129" s="428">
        <v>0</v>
      </c>
      <c r="P129" s="428">
        <v>0</v>
      </c>
      <c r="Q129" s="428">
        <v>0</v>
      </c>
      <c r="R129" s="119"/>
      <c r="S129" s="119"/>
      <c r="T129" s="119"/>
      <c r="U129" s="119"/>
      <c r="V129" s="119"/>
      <c r="W129" s="119"/>
      <c r="X129" s="119"/>
      <c r="Y129" s="119"/>
    </row>
    <row r="130" spans="5:42" x14ac:dyDescent="0.25">
      <c r="E130" s="75"/>
      <c r="F130" s="118" t="s">
        <v>250</v>
      </c>
      <c r="G130" s="118" t="s">
        <v>251</v>
      </c>
      <c r="J130" s="119"/>
      <c r="K130" s="119"/>
      <c r="L130" s="119"/>
      <c r="M130" s="126"/>
      <c r="N130" s="428">
        <v>4282.2144938858219</v>
      </c>
      <c r="O130" s="428">
        <v>0</v>
      </c>
      <c r="P130" s="428">
        <v>0</v>
      </c>
      <c r="Q130" s="119"/>
      <c r="R130" s="119"/>
      <c r="S130" s="119"/>
      <c r="T130" s="119"/>
      <c r="U130" s="119"/>
      <c r="V130" s="119"/>
      <c r="W130" s="119"/>
      <c r="X130" s="119"/>
      <c r="Y130" s="119"/>
    </row>
    <row r="131" spans="5:42" x14ac:dyDescent="0.25">
      <c r="E131" s="75"/>
      <c r="F131" s="118" t="s">
        <v>252</v>
      </c>
      <c r="G131" s="118" t="s">
        <v>251</v>
      </c>
      <c r="J131" s="119"/>
      <c r="K131" s="119"/>
      <c r="L131" s="119"/>
      <c r="M131" s="126"/>
      <c r="N131" s="428">
        <v>135.48997157803211</v>
      </c>
      <c r="O131" s="428">
        <v>0</v>
      </c>
      <c r="P131" s="428">
        <v>0</v>
      </c>
      <c r="Q131" s="119"/>
      <c r="R131" s="119"/>
      <c r="S131" s="119"/>
      <c r="T131" s="119"/>
      <c r="U131" s="119"/>
      <c r="V131" s="119"/>
      <c r="W131" s="119"/>
      <c r="X131" s="119"/>
      <c r="Y131" s="119"/>
    </row>
    <row r="132" spans="5:42" x14ac:dyDescent="0.25">
      <c r="E132" s="75"/>
      <c r="F132" s="120" t="s">
        <v>253</v>
      </c>
      <c r="G132" s="120" t="s">
        <v>254</v>
      </c>
      <c r="H132" s="96"/>
      <c r="I132" s="96"/>
      <c r="J132" s="121"/>
      <c r="K132" s="121"/>
      <c r="L132" s="121"/>
      <c r="M132" s="121"/>
      <c r="N132" s="430">
        <v>373.10185788891516</v>
      </c>
      <c r="O132" s="430">
        <v>0</v>
      </c>
      <c r="P132" s="430">
        <v>0</v>
      </c>
      <c r="Q132" s="121"/>
      <c r="R132" s="121"/>
      <c r="S132" s="121"/>
      <c r="T132" s="121"/>
      <c r="U132" s="121"/>
      <c r="V132" s="121"/>
      <c r="W132" s="121"/>
      <c r="X132" s="121"/>
      <c r="Y132" s="121"/>
    </row>
    <row r="133" spans="5:42" x14ac:dyDescent="0.2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25">
      <c r="E134" s="75" t="s">
        <v>901</v>
      </c>
      <c r="G134" s="61"/>
    </row>
    <row r="135" spans="5:42" x14ac:dyDescent="0.25">
      <c r="E135" s="75"/>
      <c r="F135" s="116" t="s">
        <v>247</v>
      </c>
      <c r="G135" s="116" t="s">
        <v>207</v>
      </c>
      <c r="H135" s="95"/>
      <c r="I135" s="95"/>
      <c r="J135" s="117"/>
      <c r="K135" s="117"/>
      <c r="L135" s="427">
        <v>169.76903162227174</v>
      </c>
      <c r="M135" s="117"/>
      <c r="N135" s="427">
        <v>1221.6881531936185</v>
      </c>
      <c r="O135" s="427">
        <v>0.38774383891471487</v>
      </c>
      <c r="P135" s="427">
        <v>222.94135647985203</v>
      </c>
      <c r="Q135" s="117"/>
      <c r="R135" s="117"/>
      <c r="S135" s="117"/>
      <c r="T135" s="117"/>
      <c r="U135" s="117"/>
      <c r="V135" s="117"/>
      <c r="W135" s="117"/>
      <c r="X135" s="117"/>
      <c r="Y135" s="117"/>
    </row>
    <row r="136" spans="5:42" x14ac:dyDescent="0.25">
      <c r="E136" s="75"/>
      <c r="F136" s="118" t="s">
        <v>248</v>
      </c>
      <c r="G136" s="118" t="s">
        <v>207</v>
      </c>
      <c r="J136" s="119"/>
      <c r="K136" s="119"/>
      <c r="L136" s="431">
        <v>1418.2264322956496</v>
      </c>
      <c r="M136" s="119"/>
      <c r="N136" s="428">
        <v>8467.1384504198923</v>
      </c>
      <c r="O136" s="428">
        <v>2.4852648185313768</v>
      </c>
      <c r="P136" s="428">
        <v>1768.12828960659</v>
      </c>
      <c r="Q136" s="119"/>
      <c r="R136" s="119"/>
      <c r="S136" s="119"/>
      <c r="T136" s="119"/>
      <c r="U136" s="119"/>
      <c r="V136" s="119"/>
      <c r="W136" s="119"/>
      <c r="X136" s="119"/>
      <c r="Y136" s="119"/>
    </row>
    <row r="137" spans="5:42" x14ac:dyDescent="0.25">
      <c r="E137" s="75"/>
      <c r="F137" s="118" t="s">
        <v>249</v>
      </c>
      <c r="G137" s="118" t="s">
        <v>207</v>
      </c>
      <c r="J137" s="119"/>
      <c r="K137" s="119"/>
      <c r="L137" s="431">
        <v>1060.2979989450546</v>
      </c>
      <c r="M137" s="119"/>
      <c r="N137" s="428">
        <v>7079.7738942261676</v>
      </c>
      <c r="O137" s="428">
        <v>3.4592126789653053</v>
      </c>
      <c r="P137" s="428">
        <v>1450.7985885421429</v>
      </c>
      <c r="Q137" s="119"/>
      <c r="R137" s="119"/>
      <c r="S137" s="119"/>
      <c r="T137" s="119"/>
      <c r="U137" s="119"/>
      <c r="V137" s="119"/>
      <c r="W137" s="119"/>
      <c r="X137" s="119"/>
      <c r="Y137" s="119"/>
    </row>
    <row r="138" spans="5:42" x14ac:dyDescent="0.25">
      <c r="E138" s="75"/>
      <c r="F138" s="118" t="s">
        <v>212</v>
      </c>
      <c r="G138" s="118" t="s">
        <v>212</v>
      </c>
      <c r="J138" s="119"/>
      <c r="K138" s="119"/>
      <c r="L138" s="428">
        <v>386.37486890276762</v>
      </c>
      <c r="M138" s="119"/>
      <c r="N138" s="428">
        <v>143.76739308009954</v>
      </c>
      <c r="O138" s="428">
        <v>2.5672748764303495</v>
      </c>
      <c r="P138" s="428">
        <v>3.850912314645524</v>
      </c>
      <c r="Q138" s="119"/>
      <c r="R138" s="119"/>
      <c r="S138" s="119"/>
      <c r="T138" s="119"/>
      <c r="U138" s="119"/>
      <c r="V138" s="119"/>
      <c r="W138" s="119"/>
      <c r="X138" s="119"/>
      <c r="Y138" s="119"/>
    </row>
    <row r="139" spans="5:42" x14ac:dyDescent="0.25">
      <c r="E139" s="75"/>
      <c r="F139" s="118" t="s">
        <v>250</v>
      </c>
      <c r="G139" s="118" t="s">
        <v>251</v>
      </c>
      <c r="J139" s="119"/>
      <c r="K139" s="119"/>
      <c r="L139" s="119"/>
      <c r="M139" s="119"/>
      <c r="N139" s="428">
        <v>19656.340091388967</v>
      </c>
      <c r="O139" s="428">
        <v>355.5675703856034</v>
      </c>
      <c r="P139" s="428">
        <v>3080.7298517164186</v>
      </c>
      <c r="Q139" s="119"/>
      <c r="R139" s="119"/>
      <c r="S139" s="119"/>
      <c r="T139" s="119"/>
      <c r="U139" s="119"/>
      <c r="V139" s="119"/>
      <c r="W139" s="119"/>
      <c r="X139" s="119"/>
      <c r="Y139" s="119"/>
    </row>
    <row r="140" spans="5:42" x14ac:dyDescent="0.25">
      <c r="E140" s="75"/>
      <c r="F140" s="118" t="s">
        <v>252</v>
      </c>
      <c r="G140" s="118" t="s">
        <v>251</v>
      </c>
      <c r="J140" s="119"/>
      <c r="K140" s="119"/>
      <c r="L140" s="119"/>
      <c r="M140" s="119"/>
      <c r="N140" s="428">
        <v>8.6985313779245779</v>
      </c>
      <c r="O140" s="428">
        <v>0</v>
      </c>
      <c r="P140" s="428">
        <v>0</v>
      </c>
      <c r="Q140" s="119"/>
      <c r="R140" s="119"/>
      <c r="S140" s="119"/>
      <c r="T140" s="119"/>
      <c r="U140" s="119"/>
      <c r="V140" s="119"/>
      <c r="W140" s="119"/>
      <c r="X140" s="119"/>
      <c r="Y140" s="119"/>
    </row>
    <row r="141" spans="5:42" x14ac:dyDescent="0.25">
      <c r="E141" s="75"/>
      <c r="F141" s="120" t="s">
        <v>253</v>
      </c>
      <c r="G141" s="120" t="s">
        <v>254</v>
      </c>
      <c r="H141" s="96"/>
      <c r="I141" s="96"/>
      <c r="J141" s="121"/>
      <c r="K141" s="121"/>
      <c r="L141" s="121"/>
      <c r="M141" s="121"/>
      <c r="N141" s="430">
        <v>1151.9678766385236</v>
      </c>
      <c r="O141" s="430">
        <v>0</v>
      </c>
      <c r="P141" s="430">
        <v>0.47150504326395015</v>
      </c>
      <c r="Q141" s="121"/>
      <c r="R141" s="121"/>
      <c r="S141" s="121"/>
      <c r="T141" s="121"/>
      <c r="U141" s="121"/>
      <c r="V141" s="121"/>
      <c r="W141" s="121"/>
      <c r="X141" s="121"/>
      <c r="Y141" s="121"/>
    </row>
    <row r="142" spans="5:42" x14ac:dyDescent="0.2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25">
      <c r="E143" s="75" t="s">
        <v>902</v>
      </c>
      <c r="G143" s="61"/>
    </row>
    <row r="144" spans="5:42" x14ac:dyDescent="0.25">
      <c r="E144" s="75"/>
      <c r="F144" s="116" t="s">
        <v>247</v>
      </c>
      <c r="G144" s="116" t="s">
        <v>207</v>
      </c>
      <c r="H144" s="95"/>
      <c r="I144" s="95"/>
      <c r="J144" s="117"/>
      <c r="K144" s="117"/>
      <c r="L144" s="427">
        <v>217.93925999372698</v>
      </c>
      <c r="M144" s="117"/>
      <c r="N144" s="427">
        <v>879.2166259620443</v>
      </c>
      <c r="O144" s="427">
        <v>54.790446415701311</v>
      </c>
      <c r="P144" s="427">
        <v>458.69120612505856</v>
      </c>
      <c r="Q144" s="117"/>
      <c r="R144" s="117"/>
      <c r="S144" s="117"/>
      <c r="T144" s="117"/>
      <c r="U144" s="117"/>
      <c r="V144" s="117"/>
      <c r="W144" s="117"/>
      <c r="X144" s="117"/>
      <c r="Y144" s="117"/>
    </row>
    <row r="145" spans="5:42" x14ac:dyDescent="0.25">
      <c r="E145" s="75"/>
      <c r="F145" s="118" t="s">
        <v>248</v>
      </c>
      <c r="G145" s="118" t="s">
        <v>207</v>
      </c>
      <c r="J145" s="119"/>
      <c r="K145" s="119"/>
      <c r="L145" s="428">
        <v>1781.6554912068107</v>
      </c>
      <c r="M145" s="119"/>
      <c r="N145" s="428">
        <v>5849.8864446908874</v>
      </c>
      <c r="O145" s="428">
        <v>301.23743141410893</v>
      </c>
      <c r="P145" s="428">
        <v>2906.1966948994973</v>
      </c>
      <c r="Q145" s="119"/>
      <c r="R145" s="119"/>
      <c r="S145" s="119"/>
      <c r="T145" s="119"/>
      <c r="U145" s="119"/>
      <c r="V145" s="119"/>
      <c r="W145" s="119"/>
      <c r="X145" s="119"/>
      <c r="Y145" s="119"/>
    </row>
    <row r="146" spans="5:42" x14ac:dyDescent="0.25">
      <c r="E146" s="75"/>
      <c r="F146" s="118" t="s">
        <v>249</v>
      </c>
      <c r="G146" s="118" t="s">
        <v>207</v>
      </c>
      <c r="J146" s="119"/>
      <c r="K146" s="119"/>
      <c r="L146" s="428">
        <v>1376.5411593478129</v>
      </c>
      <c r="M146" s="119"/>
      <c r="N146" s="428">
        <v>5022.1244925955807</v>
      </c>
      <c r="O146" s="428">
        <v>373.68096625992473</v>
      </c>
      <c r="P146" s="428">
        <v>3538.9172771830781</v>
      </c>
      <c r="Q146" s="119"/>
      <c r="R146" s="119"/>
      <c r="S146" s="119"/>
      <c r="T146" s="119"/>
      <c r="U146" s="119"/>
      <c r="V146" s="119"/>
      <c r="W146" s="119"/>
      <c r="X146" s="119"/>
      <c r="Y146" s="119"/>
    </row>
    <row r="147" spans="5:42" x14ac:dyDescent="0.25">
      <c r="E147" s="75"/>
      <c r="F147" s="118" t="s">
        <v>212</v>
      </c>
      <c r="G147" s="118" t="s">
        <v>212</v>
      </c>
      <c r="J147" s="119"/>
      <c r="K147" s="119"/>
      <c r="L147" s="428">
        <v>274.69841177804739</v>
      </c>
      <c r="M147" s="119"/>
      <c r="N147" s="428">
        <v>70.600059101834617</v>
      </c>
      <c r="O147" s="428">
        <v>1.2836374382151747</v>
      </c>
      <c r="P147" s="428">
        <v>5.1345497528606989</v>
      </c>
      <c r="Q147" s="119"/>
      <c r="R147" s="119"/>
      <c r="S147" s="119"/>
      <c r="T147" s="119"/>
      <c r="U147" s="119"/>
      <c r="V147" s="119"/>
      <c r="W147" s="119"/>
      <c r="X147" s="119"/>
      <c r="Y147" s="119"/>
    </row>
    <row r="148" spans="5:42" x14ac:dyDescent="0.25">
      <c r="E148" s="75"/>
      <c r="F148" s="118" t="s">
        <v>250</v>
      </c>
      <c r="G148" s="118" t="s">
        <v>251</v>
      </c>
      <c r="J148" s="119"/>
      <c r="K148" s="119"/>
      <c r="L148" s="119"/>
      <c r="M148" s="119"/>
      <c r="N148" s="428">
        <v>13782.415174116331</v>
      </c>
      <c r="O148" s="428">
        <v>263.14567483411082</v>
      </c>
      <c r="P148" s="428">
        <v>6674.9146787189075</v>
      </c>
      <c r="Q148" s="119"/>
      <c r="R148" s="119"/>
      <c r="S148" s="119"/>
      <c r="T148" s="119"/>
      <c r="U148" s="119"/>
      <c r="V148" s="119"/>
      <c r="W148" s="119"/>
      <c r="X148" s="119"/>
      <c r="Y148" s="119"/>
    </row>
    <row r="149" spans="5:42" x14ac:dyDescent="0.25">
      <c r="E149" s="75"/>
      <c r="F149" s="118" t="s">
        <v>252</v>
      </c>
      <c r="G149" s="118" t="s">
        <v>251</v>
      </c>
      <c r="J149" s="119"/>
      <c r="K149" s="119"/>
      <c r="L149" s="119"/>
      <c r="M149" s="119"/>
      <c r="N149" s="428">
        <v>36.820882928827466</v>
      </c>
      <c r="O149" s="428">
        <v>0</v>
      </c>
      <c r="P149" s="428">
        <v>0</v>
      </c>
      <c r="Q149" s="119"/>
      <c r="R149" s="119"/>
      <c r="S149" s="119"/>
      <c r="T149" s="119"/>
      <c r="U149" s="119"/>
      <c r="V149" s="119"/>
      <c r="W149" s="119"/>
      <c r="X149" s="119"/>
      <c r="Y149" s="119"/>
    </row>
    <row r="150" spans="5:42" x14ac:dyDescent="0.25">
      <c r="E150" s="75"/>
      <c r="F150" s="120" t="s">
        <v>253</v>
      </c>
      <c r="G150" s="120" t="s">
        <v>254</v>
      </c>
      <c r="H150" s="96"/>
      <c r="I150" s="96"/>
      <c r="J150" s="121"/>
      <c r="K150" s="121"/>
      <c r="L150" s="121"/>
      <c r="M150" s="121"/>
      <c r="N150" s="430">
        <v>754.33685858150238</v>
      </c>
      <c r="O150" s="430">
        <v>0.6820664859261435</v>
      </c>
      <c r="P150" s="430">
        <v>277.223424074891</v>
      </c>
      <c r="Q150" s="121"/>
      <c r="R150" s="121"/>
      <c r="S150" s="121"/>
      <c r="T150" s="121"/>
      <c r="U150" s="121"/>
      <c r="V150" s="121"/>
      <c r="W150" s="121"/>
      <c r="X150" s="121"/>
      <c r="Y150" s="121"/>
    </row>
    <row r="151" spans="5:42" x14ac:dyDescent="0.2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25">
      <c r="E152" s="75" t="s">
        <v>903</v>
      </c>
      <c r="G152" s="61"/>
    </row>
    <row r="153" spans="5:42" x14ac:dyDescent="0.25">
      <c r="E153" s="75"/>
      <c r="F153" s="116" t="s">
        <v>247</v>
      </c>
      <c r="G153" s="116" t="s">
        <v>207</v>
      </c>
      <c r="H153" s="95"/>
      <c r="I153" s="95"/>
      <c r="J153" s="117"/>
      <c r="K153" s="117"/>
      <c r="L153" s="427">
        <v>363.416</v>
      </c>
      <c r="M153" s="117"/>
      <c r="N153" s="427">
        <v>3482.2709999999997</v>
      </c>
      <c r="O153" s="427">
        <v>1278.9470000000001</v>
      </c>
      <c r="P153" s="427">
        <v>192.81700000000001</v>
      </c>
      <c r="Q153" s="117"/>
      <c r="R153" s="117"/>
      <c r="S153" s="117"/>
      <c r="T153" s="117"/>
      <c r="U153" s="117"/>
      <c r="V153" s="117"/>
      <c r="W153" s="117"/>
      <c r="X153" s="117"/>
      <c r="Y153" s="117"/>
    </row>
    <row r="154" spans="5:42" x14ac:dyDescent="0.25">
      <c r="E154" s="75"/>
      <c r="F154" s="118" t="s">
        <v>248</v>
      </c>
      <c r="G154" s="118" t="s">
        <v>207</v>
      </c>
      <c r="J154" s="119"/>
      <c r="K154" s="119"/>
      <c r="L154" s="428">
        <v>2871.8290000000002</v>
      </c>
      <c r="M154" s="119"/>
      <c r="N154" s="428">
        <v>23055.248</v>
      </c>
      <c r="O154" s="428">
        <v>8233.9170000000013</v>
      </c>
      <c r="P154" s="428">
        <v>1277.2540000000001</v>
      </c>
      <c r="Q154" s="119"/>
      <c r="R154" s="119"/>
      <c r="S154" s="119"/>
      <c r="T154" s="119"/>
      <c r="U154" s="119"/>
      <c r="V154" s="119"/>
      <c r="W154" s="119"/>
      <c r="X154" s="119"/>
      <c r="Y154" s="119"/>
    </row>
    <row r="155" spans="5:42" x14ac:dyDescent="0.25">
      <c r="E155" s="75"/>
      <c r="F155" s="118" t="s">
        <v>249</v>
      </c>
      <c r="G155" s="118" t="s">
        <v>207</v>
      </c>
      <c r="J155" s="119"/>
      <c r="K155" s="119"/>
      <c r="L155" s="428">
        <v>2256.2660000000001</v>
      </c>
      <c r="M155" s="119"/>
      <c r="N155" s="428">
        <v>21992.912</v>
      </c>
      <c r="O155" s="428">
        <v>6473.2839999999997</v>
      </c>
      <c r="P155" s="428">
        <v>1450.789</v>
      </c>
      <c r="Q155" s="119"/>
      <c r="R155" s="119"/>
      <c r="S155" s="119"/>
      <c r="T155" s="119"/>
      <c r="U155" s="119"/>
      <c r="V155" s="119"/>
      <c r="W155" s="119"/>
      <c r="X155" s="119"/>
      <c r="Y155" s="119"/>
    </row>
    <row r="156" spans="5:42" x14ac:dyDescent="0.25">
      <c r="E156" s="75"/>
      <c r="F156" s="118" t="s">
        <v>212</v>
      </c>
      <c r="G156" s="118" t="s">
        <v>212</v>
      </c>
      <c r="J156" s="119"/>
      <c r="K156" s="119"/>
      <c r="L156" s="428">
        <v>122.35616438356165</v>
      </c>
      <c r="M156" s="119"/>
      <c r="N156" s="428">
        <v>103.84931506849315</v>
      </c>
      <c r="O156" s="428">
        <v>28.265753424657536</v>
      </c>
      <c r="P156" s="428">
        <v>2.4136986301369863</v>
      </c>
      <c r="Q156" s="119"/>
      <c r="R156" s="119"/>
      <c r="S156" s="119"/>
      <c r="T156" s="119"/>
      <c r="U156" s="119"/>
      <c r="V156" s="119"/>
      <c r="W156" s="119"/>
      <c r="X156" s="119"/>
      <c r="Y156" s="119"/>
    </row>
    <row r="157" spans="5:42" x14ac:dyDescent="0.25">
      <c r="E157" s="75"/>
      <c r="F157" s="118" t="s">
        <v>250</v>
      </c>
      <c r="G157" s="118" t="s">
        <v>251</v>
      </c>
      <c r="J157" s="119"/>
      <c r="K157" s="119"/>
      <c r="L157" s="119"/>
      <c r="M157" s="119"/>
      <c r="N157" s="428">
        <v>56907.356164383564</v>
      </c>
      <c r="O157" s="428">
        <v>20910.413698630138</v>
      </c>
      <c r="P157" s="428">
        <v>9191.0958904109593</v>
      </c>
      <c r="Q157" s="119"/>
      <c r="R157" s="119"/>
      <c r="S157" s="119"/>
      <c r="T157" s="119"/>
      <c r="U157" s="119"/>
      <c r="V157" s="119"/>
      <c r="W157" s="119"/>
      <c r="X157" s="119"/>
      <c r="Y157" s="119"/>
    </row>
    <row r="158" spans="5:42" x14ac:dyDescent="0.25">
      <c r="E158" s="75"/>
      <c r="F158" s="118" t="s">
        <v>252</v>
      </c>
      <c r="G158" s="118" t="s">
        <v>251</v>
      </c>
      <c r="J158" s="119"/>
      <c r="K158" s="119"/>
      <c r="L158" s="119"/>
      <c r="M158" s="119"/>
      <c r="N158" s="428">
        <v>112.94607990012896</v>
      </c>
      <c r="O158" s="428">
        <v>0</v>
      </c>
      <c r="P158" s="428">
        <v>0</v>
      </c>
      <c r="Q158" s="119"/>
      <c r="R158" s="119"/>
      <c r="S158" s="119"/>
      <c r="T158" s="119"/>
      <c r="U158" s="119"/>
      <c r="V158" s="119"/>
      <c r="W158" s="119"/>
      <c r="X158" s="119"/>
      <c r="Y158" s="119"/>
    </row>
    <row r="159" spans="5:42" x14ac:dyDescent="0.25">
      <c r="E159" s="75"/>
      <c r="F159" s="120" t="s">
        <v>253</v>
      </c>
      <c r="G159" s="120" t="s">
        <v>254</v>
      </c>
      <c r="H159" s="96"/>
      <c r="I159" s="96"/>
      <c r="J159" s="121"/>
      <c r="K159" s="121"/>
      <c r="L159" s="121"/>
      <c r="M159" s="121"/>
      <c r="N159" s="430">
        <v>4319.2549914540596</v>
      </c>
      <c r="O159" s="430">
        <v>689.60628538872209</v>
      </c>
      <c r="P159" s="430">
        <v>2.2164755623706265</v>
      </c>
      <c r="Q159" s="121"/>
      <c r="R159" s="121"/>
      <c r="S159" s="121"/>
      <c r="T159" s="121"/>
      <c r="U159" s="121"/>
      <c r="V159" s="121"/>
      <c r="W159" s="121"/>
      <c r="X159" s="121"/>
      <c r="Y159" s="121"/>
    </row>
    <row r="160" spans="5:42" x14ac:dyDescent="0.2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25">
      <c r="E161" s="75" t="s">
        <v>839</v>
      </c>
      <c r="G161" s="61" t="s">
        <v>212</v>
      </c>
      <c r="I161" t="s">
        <v>154</v>
      </c>
      <c r="J161" s="432">
        <v>6935.4930786765872</v>
      </c>
      <c r="K161" s="442">
        <v>0</v>
      </c>
      <c r="L161" s="442">
        <v>57.91277240503733</v>
      </c>
      <c r="M161" s="442">
        <v>0</v>
      </c>
      <c r="N161" s="442">
        <v>7.1345497528606998</v>
      </c>
      <c r="O161" s="442">
        <v>0</v>
      </c>
      <c r="P161" s="442">
        <v>7.1345497528606989</v>
      </c>
      <c r="Q161" s="432"/>
      <c r="R161" s="432"/>
      <c r="S161" s="432"/>
      <c r="T161" s="432"/>
      <c r="U161" s="432"/>
      <c r="V161" s="432"/>
      <c r="W161" s="432"/>
      <c r="X161" s="432"/>
      <c r="Y161" s="432"/>
      <c r="AQ161" t="s">
        <v>855</v>
      </c>
    </row>
    <row r="162" spans="3:43" x14ac:dyDescent="0.25">
      <c r="G162" s="61"/>
    </row>
    <row r="163" spans="3:43" x14ac:dyDescent="0.25">
      <c r="C163" s="93" t="str">
        <f ca="1">INDEX('Version control'!$H$41:$H$64,MATCH($A$1,'Version control'!$F$41:$F$64,0),1)&amp;"-C: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25">
      <c r="G164" s="61"/>
    </row>
    <row r="165" spans="3:43" x14ac:dyDescent="0.25">
      <c r="D165" s="86" t="s">
        <v>1074</v>
      </c>
      <c r="G165" s="61"/>
      <c r="I165" t="s">
        <v>154</v>
      </c>
      <c r="AQ165" t="s">
        <v>1086</v>
      </c>
    </row>
    <row r="166" spans="3:43" x14ac:dyDescent="0.25">
      <c r="D166" s="86" t="s">
        <v>1075</v>
      </c>
      <c r="G166" s="61"/>
    </row>
    <row r="167" spans="3:43" x14ac:dyDescent="0.25">
      <c r="G167" s="61"/>
    </row>
    <row r="168" spans="3:43" x14ac:dyDescent="0.25">
      <c r="E168" s="75" t="s">
        <v>935</v>
      </c>
      <c r="G168" s="61"/>
      <c r="J168" s="115" t="s">
        <v>926</v>
      </c>
      <c r="K168" s="115" t="s">
        <v>931</v>
      </c>
      <c r="L168" s="115" t="s">
        <v>932</v>
      </c>
      <c r="M168" s="115" t="s">
        <v>933</v>
      </c>
      <c r="N168" s="115" t="s">
        <v>934</v>
      </c>
    </row>
    <row r="169" spans="3:43" x14ac:dyDescent="0.25">
      <c r="E169" s="75"/>
      <c r="F169" s="116" t="s">
        <v>247</v>
      </c>
      <c r="G169" s="116" t="s">
        <v>167</v>
      </c>
      <c r="H169" s="128"/>
      <c r="I169" s="95"/>
      <c r="J169" s="438">
        <f>L23/SUM(L32,L41,L50,L59,L23)</f>
        <v>4.6685129721709757E-4</v>
      </c>
      <c r="K169" s="438">
        <f>L32/SUM(L32,L41,L50,L59,L23)</f>
        <v>8.0319146683460005E-2</v>
      </c>
      <c r="L169" s="438">
        <f>L41/SUM(L32,L41,L50,L59,L23)</f>
        <v>0.23693226296704442</v>
      </c>
      <c r="M169" s="438">
        <f>L50/SUM(L32,L41,L50,L59,L23)</f>
        <v>0.19342935423954358</v>
      </c>
      <c r="N169" s="438">
        <f>L59/SUM(L32,L41,L50,L59,L23)</f>
        <v>0.48885238481273507</v>
      </c>
    </row>
    <row r="170" spans="3:43" x14ac:dyDescent="0.25">
      <c r="E170" s="75"/>
      <c r="F170" s="129" t="s">
        <v>248</v>
      </c>
      <c r="G170" s="129" t="s">
        <v>167</v>
      </c>
      <c r="H170" s="130"/>
      <c r="J170" s="443">
        <f>L24/SUM(L33,L42,L51,L60,L24)</f>
        <v>4.6455593256526211E-4</v>
      </c>
      <c r="K170" s="443">
        <f>L33/SUM(L33,L42,L51,L60,L24)</f>
        <v>8.0319331131299881E-2</v>
      </c>
      <c r="L170" s="443">
        <f>L42/SUM(L33,L42,L51,L60,L24)</f>
        <v>0.23693280706699948</v>
      </c>
      <c r="M170" s="443">
        <f>L51/SUM(L33,L42,L51,L60,L24)</f>
        <v>0.19342979843782046</v>
      </c>
      <c r="N170" s="443">
        <f>L60/SUM(L33,L42,L51,L60,L24)</f>
        <v>0.488853507431315</v>
      </c>
    </row>
    <row r="171" spans="3:43" x14ac:dyDescent="0.25">
      <c r="E171" s="75"/>
      <c r="F171" s="120" t="s">
        <v>249</v>
      </c>
      <c r="G171" s="120" t="s">
        <v>167</v>
      </c>
      <c r="H171" s="131"/>
      <c r="I171" s="96"/>
      <c r="J171" s="439">
        <f>L25/SUM(L34,L43,L52,L61,L25)</f>
        <v>5.7871587022163655E-4</v>
      </c>
      <c r="K171" s="439">
        <f>L34/SUM(L34,L43,L52,L61,L25)</f>
        <v>8.031015761985616E-2</v>
      </c>
      <c r="L171" s="439">
        <f>L43/SUM(L34,L43,L52,L61,L25)</f>
        <v>0.2369057462612581</v>
      </c>
      <c r="M171" s="439">
        <f>L52/SUM(L34,L43,L52,L61,L25)</f>
        <v>0.19340770624102882</v>
      </c>
      <c r="N171" s="439">
        <f>L61/SUM(L34,L43,L52,L61,L25)</f>
        <v>0.48879767400763535</v>
      </c>
    </row>
    <row r="172" spans="3:43" x14ac:dyDescent="0.25">
      <c r="E172" s="122"/>
      <c r="F172" s="123"/>
      <c r="G172" s="123"/>
      <c r="H172" s="14"/>
      <c r="I172" s="14"/>
      <c r="J172" s="124"/>
      <c r="K172" s="124"/>
      <c r="L172" s="124"/>
      <c r="M172" s="124"/>
      <c r="N172" s="124"/>
    </row>
    <row r="173" spans="3:43" x14ac:dyDescent="0.25">
      <c r="E173" s="75" t="s">
        <v>936</v>
      </c>
      <c r="G173" s="61"/>
      <c r="J173" s="115" t="s">
        <v>926</v>
      </c>
      <c r="K173" s="115" t="s">
        <v>931</v>
      </c>
      <c r="L173" s="115" t="s">
        <v>932</v>
      </c>
      <c r="M173" s="115" t="s">
        <v>933</v>
      </c>
      <c r="N173" s="115" t="s">
        <v>934</v>
      </c>
    </row>
    <row r="174" spans="3:43" x14ac:dyDescent="0.25">
      <c r="E174" s="75"/>
      <c r="F174" s="116" t="s">
        <v>247</v>
      </c>
      <c r="G174" s="116" t="s">
        <v>167</v>
      </c>
      <c r="H174" s="128"/>
      <c r="I174" s="95"/>
      <c r="J174" s="438">
        <f>J169</f>
        <v>4.6685129721709757E-4</v>
      </c>
      <c r="K174" s="438">
        <f t="shared" ref="K174:N176" si="0">K169</f>
        <v>8.0319146683460005E-2</v>
      </c>
      <c r="L174" s="438">
        <f t="shared" si="0"/>
        <v>0.23693226296704442</v>
      </c>
      <c r="M174" s="438">
        <f t="shared" si="0"/>
        <v>0.19342935423954358</v>
      </c>
      <c r="N174" s="438">
        <f t="shared" si="0"/>
        <v>0.48885238481273507</v>
      </c>
    </row>
    <row r="175" spans="3:43" x14ac:dyDescent="0.25">
      <c r="E175" s="75"/>
      <c r="F175" s="129" t="s">
        <v>248</v>
      </c>
      <c r="G175" s="129" t="s">
        <v>167</v>
      </c>
      <c r="H175" s="130"/>
      <c r="J175" s="443">
        <f>J170</f>
        <v>4.6455593256526211E-4</v>
      </c>
      <c r="K175" s="443">
        <f t="shared" si="0"/>
        <v>8.0319331131299881E-2</v>
      </c>
      <c r="L175" s="443">
        <f t="shared" si="0"/>
        <v>0.23693280706699948</v>
      </c>
      <c r="M175" s="443">
        <f t="shared" si="0"/>
        <v>0.19342979843782046</v>
      </c>
      <c r="N175" s="443">
        <f t="shared" si="0"/>
        <v>0.488853507431315</v>
      </c>
    </row>
    <row r="176" spans="3:43" x14ac:dyDescent="0.25">
      <c r="E176" s="75"/>
      <c r="F176" s="120" t="s">
        <v>249</v>
      </c>
      <c r="G176" s="120" t="s">
        <v>167</v>
      </c>
      <c r="H176" s="131"/>
      <c r="I176" s="96"/>
      <c r="J176" s="439">
        <f>J171</f>
        <v>5.7871587022163655E-4</v>
      </c>
      <c r="K176" s="439">
        <f t="shared" si="0"/>
        <v>8.031015761985616E-2</v>
      </c>
      <c r="L176" s="439">
        <f t="shared" si="0"/>
        <v>0.2369057462612581</v>
      </c>
      <c r="M176" s="439">
        <f t="shared" si="0"/>
        <v>0.19340770624102882</v>
      </c>
      <c r="N176" s="439">
        <f t="shared" si="0"/>
        <v>0.48879767400763535</v>
      </c>
    </row>
    <row r="177" spans="3:43" x14ac:dyDescent="0.25">
      <c r="E177" s="122"/>
      <c r="F177" s="123"/>
      <c r="G177" s="123"/>
      <c r="H177" s="14"/>
      <c r="I177" s="14"/>
      <c r="J177" s="124"/>
      <c r="K177" s="124"/>
      <c r="L177" s="124"/>
      <c r="M177" s="124"/>
      <c r="N177" s="124"/>
    </row>
    <row r="178" spans="3:43" x14ac:dyDescent="0.25">
      <c r="E178" s="75" t="s">
        <v>937</v>
      </c>
      <c r="G178" s="61"/>
      <c r="J178" s="115" t="s">
        <v>926</v>
      </c>
      <c r="K178" s="115" t="s">
        <v>931</v>
      </c>
      <c r="L178" s="115" t="s">
        <v>932</v>
      </c>
      <c r="M178" s="115" t="s">
        <v>933</v>
      </c>
      <c r="N178" s="115" t="s">
        <v>934</v>
      </c>
    </row>
    <row r="179" spans="3:43" x14ac:dyDescent="0.25">
      <c r="E179" s="75"/>
      <c r="F179" s="116" t="s">
        <v>247</v>
      </c>
      <c r="G179" s="116" t="s">
        <v>167</v>
      </c>
      <c r="H179" s="128"/>
      <c r="I179" s="95"/>
      <c r="J179" s="438">
        <f>J174</f>
        <v>4.6685129721709757E-4</v>
      </c>
      <c r="K179" s="438">
        <f t="shared" ref="K179:N181" si="1">K174</f>
        <v>8.0319146683460005E-2</v>
      </c>
      <c r="L179" s="438">
        <f t="shared" si="1"/>
        <v>0.23693226296704442</v>
      </c>
      <c r="M179" s="438">
        <f t="shared" si="1"/>
        <v>0.19342935423954358</v>
      </c>
      <c r="N179" s="438">
        <f t="shared" si="1"/>
        <v>0.48885238481273507</v>
      </c>
    </row>
    <row r="180" spans="3:43" x14ac:dyDescent="0.25">
      <c r="E180" s="75"/>
      <c r="F180" s="129" t="s">
        <v>248</v>
      </c>
      <c r="G180" s="129" t="s">
        <v>167</v>
      </c>
      <c r="H180" s="130"/>
      <c r="J180" s="443">
        <f>J175</f>
        <v>4.6455593256526211E-4</v>
      </c>
      <c r="K180" s="443">
        <f t="shared" si="1"/>
        <v>8.0319331131299881E-2</v>
      </c>
      <c r="L180" s="443">
        <f t="shared" si="1"/>
        <v>0.23693280706699948</v>
      </c>
      <c r="M180" s="443">
        <f t="shared" si="1"/>
        <v>0.19342979843782046</v>
      </c>
      <c r="N180" s="443">
        <f t="shared" si="1"/>
        <v>0.488853507431315</v>
      </c>
    </row>
    <row r="181" spans="3:43" x14ac:dyDescent="0.25">
      <c r="E181" s="75"/>
      <c r="F181" s="120" t="s">
        <v>249</v>
      </c>
      <c r="G181" s="120" t="s">
        <v>167</v>
      </c>
      <c r="H181" s="131"/>
      <c r="I181" s="96"/>
      <c r="J181" s="439">
        <f>J176</f>
        <v>5.7871587022163655E-4</v>
      </c>
      <c r="K181" s="439">
        <f t="shared" si="1"/>
        <v>8.031015761985616E-2</v>
      </c>
      <c r="L181" s="439">
        <f t="shared" si="1"/>
        <v>0.2369057462612581</v>
      </c>
      <c r="M181" s="439">
        <f t="shared" si="1"/>
        <v>0.19340770624102882</v>
      </c>
      <c r="N181" s="439">
        <f t="shared" si="1"/>
        <v>0.48879767400763535</v>
      </c>
    </row>
    <row r="182" spans="3:43" x14ac:dyDescent="0.2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25">
      <c r="C183" s="93" t="str">
        <f ca="1">INDEX('Version control'!$H$41:$H$64,MATCH($A$1,'Version control'!$F$41:$F$64,0),1)&amp;"-D: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25">
      <c r="G184" s="61"/>
    </row>
    <row r="185" spans="3:43" x14ac:dyDescent="0.25">
      <c r="D185" s="86" t="s">
        <v>258</v>
      </c>
      <c r="H185" s="97"/>
    </row>
    <row r="186" spans="3:43" x14ac:dyDescent="0.25">
      <c r="G186" s="61"/>
      <c r="I186" t="s">
        <v>154</v>
      </c>
      <c r="AQ186" t="s">
        <v>259</v>
      </c>
    </row>
    <row r="187" spans="3:43" x14ac:dyDescent="0.25">
      <c r="D187" s="105"/>
      <c r="E187" t="s">
        <v>260</v>
      </c>
      <c r="G187" t="s">
        <v>261</v>
      </c>
      <c r="H187" s="78"/>
      <c r="J187" s="437">
        <v>264.02537366356052</v>
      </c>
      <c r="K187" s="119"/>
      <c r="L187" s="437">
        <v>774.15837677371223</v>
      </c>
      <c r="M187" s="119"/>
      <c r="N187" s="437">
        <v>1544.5525401205996</v>
      </c>
      <c r="O187" s="437">
        <v>1205.6892409926963</v>
      </c>
      <c r="P187" s="119"/>
      <c r="Q187" s="119"/>
      <c r="R187" s="437">
        <v>0</v>
      </c>
      <c r="S187" s="437">
        <v>0</v>
      </c>
      <c r="T187" s="437">
        <v>0</v>
      </c>
      <c r="U187" s="437">
        <v>0</v>
      </c>
      <c r="V187" s="437">
        <v>0</v>
      </c>
      <c r="W187" s="437">
        <v>0</v>
      </c>
      <c r="X187" s="119"/>
      <c r="Y187" s="119"/>
    </row>
    <row r="188" spans="3:43" x14ac:dyDescent="0.25">
      <c r="D188" s="105"/>
      <c r="E188" t="s">
        <v>262</v>
      </c>
      <c r="G188" t="s">
        <v>261</v>
      </c>
      <c r="H188" s="78"/>
      <c r="J188" s="119"/>
      <c r="K188" s="119"/>
      <c r="L188" s="119"/>
      <c r="M188" s="119"/>
      <c r="N188" s="119"/>
      <c r="O188" s="119"/>
      <c r="P188" s="437">
        <v>11130.724915787147</v>
      </c>
      <c r="Q188" s="119"/>
      <c r="R188" s="119"/>
      <c r="S188" s="119"/>
      <c r="T188" s="119"/>
      <c r="U188" s="119"/>
      <c r="V188" s="119"/>
      <c r="W188" s="119"/>
      <c r="X188" s="437">
        <v>6966.0827492580638</v>
      </c>
      <c r="Y188" s="437">
        <v>6966.0827492580638</v>
      </c>
    </row>
    <row r="189" spans="3:43" x14ac:dyDescent="0.25">
      <c r="G189" s="61"/>
      <c r="J189" s="106"/>
      <c r="K189" s="106"/>
      <c r="L189" s="106"/>
      <c r="M189" s="106"/>
      <c r="N189" s="106"/>
      <c r="O189" s="106"/>
      <c r="P189" s="106"/>
      <c r="Q189" s="106"/>
      <c r="R189" s="106"/>
      <c r="S189" s="106"/>
      <c r="T189" s="106"/>
      <c r="U189" s="106"/>
      <c r="V189" s="106"/>
      <c r="W189" s="106"/>
      <c r="X189" s="106"/>
      <c r="Y189" s="106"/>
    </row>
    <row r="190" spans="3:43" x14ac:dyDescent="0.25">
      <c r="D190" s="105"/>
      <c r="E190" t="s">
        <v>263</v>
      </c>
      <c r="G190" t="s">
        <v>264</v>
      </c>
      <c r="I190" t="s">
        <v>154</v>
      </c>
      <c r="J190" s="119"/>
      <c r="K190" s="119"/>
      <c r="L190" s="119"/>
      <c r="M190" s="119"/>
      <c r="N190" s="119"/>
      <c r="O190" s="119"/>
      <c r="P190" s="119"/>
      <c r="Q190" s="437">
        <v>298.46392869796432</v>
      </c>
      <c r="R190" s="119"/>
      <c r="S190" s="119"/>
      <c r="T190" s="119"/>
      <c r="U190" s="119"/>
      <c r="V190" s="119"/>
      <c r="W190" s="119"/>
      <c r="X190" s="119"/>
      <c r="Y190" s="119"/>
      <c r="AQ190" t="s">
        <v>265</v>
      </c>
    </row>
    <row r="191" spans="3:43" x14ac:dyDescent="0.25">
      <c r="D191" s="105"/>
      <c r="J191" s="106"/>
      <c r="K191" s="106"/>
      <c r="L191" s="106"/>
      <c r="M191" s="106"/>
      <c r="N191" s="106"/>
      <c r="O191" s="106"/>
      <c r="P191" s="106"/>
      <c r="Q191" s="106"/>
      <c r="R191" s="106"/>
      <c r="S191" s="106"/>
      <c r="T191" s="106"/>
      <c r="U191" s="106"/>
      <c r="V191" s="106"/>
      <c r="W191" s="106"/>
      <c r="X191" s="106"/>
      <c r="Y191" s="106"/>
    </row>
    <row r="192" spans="3:43" x14ac:dyDescent="0.25">
      <c r="C192" s="93" t="str">
        <f ca="1">INDEX('Version control'!$H$41:$H$64,MATCH($A$1,'Version control'!$F$41:$F$64,0),1)&amp;"-E: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2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25">
      <c r="D194" s="86" t="s">
        <v>266</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25">
      <c r="D195" s="134" t="s">
        <v>267</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2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60" x14ac:dyDescent="0.25">
      <c r="E197" s="75" t="s">
        <v>268</v>
      </c>
      <c r="G197" s="61"/>
      <c r="J197" s="107" t="s">
        <v>1116</v>
      </c>
      <c r="K197" s="107" t="s">
        <v>785</v>
      </c>
      <c r="L197" s="107" t="s">
        <v>1117</v>
      </c>
      <c r="M197" s="107" t="s">
        <v>1118</v>
      </c>
      <c r="N197" s="107" t="s">
        <v>1119</v>
      </c>
      <c r="O197" s="107" t="s">
        <v>1120</v>
      </c>
      <c r="P197" s="107" t="s">
        <v>1121</v>
      </c>
      <c r="Q197" s="107" t="s">
        <v>786</v>
      </c>
      <c r="R197" s="107" t="s">
        <v>862</v>
      </c>
      <c r="S197" s="107" t="s">
        <v>863</v>
      </c>
      <c r="T197" s="107" t="s">
        <v>864</v>
      </c>
      <c r="U197" s="107" t="s">
        <v>865</v>
      </c>
      <c r="V197" s="107" t="s">
        <v>866</v>
      </c>
      <c r="W197" s="107" t="s">
        <v>867</v>
      </c>
      <c r="X197" s="107" t="s">
        <v>868</v>
      </c>
      <c r="Y197" s="107" t="s">
        <v>869</v>
      </c>
      <c r="Z197" s="107" t="s">
        <v>870</v>
      </c>
      <c r="AA197" s="107" t="s">
        <v>871</v>
      </c>
      <c r="AB197" s="107" t="s">
        <v>872</v>
      </c>
      <c r="AC197" s="107" t="s">
        <v>873</v>
      </c>
      <c r="AD197" s="107" t="s">
        <v>874</v>
      </c>
      <c r="AE197" s="107" t="s">
        <v>875</v>
      </c>
      <c r="AF197" s="107" t="s">
        <v>876</v>
      </c>
      <c r="AG197" s="107" t="s">
        <v>795</v>
      </c>
      <c r="AH197" s="107" t="s">
        <v>787</v>
      </c>
      <c r="AI197" s="107" t="s">
        <v>788</v>
      </c>
      <c r="AJ197" s="107" t="s">
        <v>789</v>
      </c>
      <c r="AK197" s="107" t="s">
        <v>798</v>
      </c>
      <c r="AL197" s="107" t="s">
        <v>790</v>
      </c>
      <c r="AM197" s="107" t="s">
        <v>797</v>
      </c>
      <c r="AN197" s="107" t="s">
        <v>791</v>
      </c>
      <c r="AO197" s="107" t="s">
        <v>796</v>
      </c>
    </row>
    <row r="198" spans="3:43" x14ac:dyDescent="0.25">
      <c r="D198" s="75"/>
      <c r="F198" s="95" t="s">
        <v>156</v>
      </c>
      <c r="G198" s="95" t="s">
        <v>269</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25">
      <c r="D199" s="75"/>
      <c r="F199" t="s">
        <v>157</v>
      </c>
      <c r="G199" t="s">
        <v>269</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25">
      <c r="D200" s="75"/>
      <c r="F200" t="s">
        <v>158</v>
      </c>
      <c r="G200" t="s">
        <v>269</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25">
      <c r="D201" s="75"/>
      <c r="F201" t="s">
        <v>159</v>
      </c>
      <c r="G201" t="s">
        <v>270</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25">
      <c r="D202" s="75"/>
      <c r="F202" t="s">
        <v>160</v>
      </c>
      <c r="G202" t="s">
        <v>271</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25">
      <c r="D203" s="135"/>
      <c r="F203" t="s">
        <v>161</v>
      </c>
      <c r="G203" t="s">
        <v>271</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25">
      <c r="D204" s="135"/>
      <c r="F204" s="96" t="s">
        <v>162</v>
      </c>
      <c r="G204" s="96" t="s">
        <v>272</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2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25">
      <c r="C206" s="93" t="str">
        <f ca="1">INDEX('Version control'!$H$41:$H$64,MATCH($A$1,'Version control'!$F$41:$F$64,0),1)&amp;"-F: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2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25">
      <c r="D208" s="86" t="s">
        <v>273</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25">
      <c r="D209" s="134" t="s">
        <v>274</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25">
      <c r="D210" s="86" t="s">
        <v>275</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2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60" x14ac:dyDescent="0.25">
      <c r="J212" s="136" t="s">
        <v>1116</v>
      </c>
      <c r="K212" s="136" t="s">
        <v>785</v>
      </c>
      <c r="L212" s="136" t="s">
        <v>1117</v>
      </c>
      <c r="M212" s="136" t="s">
        <v>1118</v>
      </c>
      <c r="N212" s="136" t="s">
        <v>1119</v>
      </c>
      <c r="O212" s="136" t="s">
        <v>1120</v>
      </c>
      <c r="P212" s="136" t="s">
        <v>1121</v>
      </c>
      <c r="Q212" s="136" t="s">
        <v>786</v>
      </c>
      <c r="R212" s="136" t="s">
        <v>862</v>
      </c>
      <c r="S212" s="136" t="s">
        <v>863</v>
      </c>
      <c r="T212" s="136" t="s">
        <v>864</v>
      </c>
      <c r="U212" s="136" t="s">
        <v>865</v>
      </c>
      <c r="V212" s="136" t="s">
        <v>866</v>
      </c>
      <c r="W212" s="136" t="s">
        <v>867</v>
      </c>
      <c r="X212" s="136" t="s">
        <v>868</v>
      </c>
      <c r="Y212" s="136" t="s">
        <v>869</v>
      </c>
      <c r="Z212" s="136" t="s">
        <v>870</v>
      </c>
      <c r="AA212" s="136" t="s">
        <v>871</v>
      </c>
      <c r="AB212" s="136" t="s">
        <v>872</v>
      </c>
      <c r="AC212" s="136" t="s">
        <v>873</v>
      </c>
      <c r="AD212" s="136" t="s">
        <v>874</v>
      </c>
      <c r="AE212" s="136" t="s">
        <v>875</v>
      </c>
      <c r="AF212" s="136" t="s">
        <v>876</v>
      </c>
      <c r="AG212" s="136" t="s">
        <v>795</v>
      </c>
      <c r="AH212" s="136" t="s">
        <v>787</v>
      </c>
      <c r="AI212" s="136" t="s">
        <v>788</v>
      </c>
      <c r="AJ212" s="136" t="s">
        <v>789</v>
      </c>
      <c r="AK212" s="136" t="s">
        <v>798</v>
      </c>
      <c r="AL212" s="136" t="s">
        <v>790</v>
      </c>
      <c r="AM212" s="136" t="s">
        <v>797</v>
      </c>
      <c r="AN212" s="136" t="s">
        <v>791</v>
      </c>
      <c r="AO212" s="136" t="s">
        <v>796</v>
      </c>
    </row>
    <row r="213" spans="2:43" x14ac:dyDescent="0.25">
      <c r="E213" s="94" t="s">
        <v>276</v>
      </c>
      <c r="G213" t="s">
        <v>277</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25">
      <c r="G214" s="61"/>
    </row>
    <row r="215" spans="2:43" x14ac:dyDescent="0.25">
      <c r="B215" s="85" t="s">
        <v>231</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25">
      <c r="G216" s="61"/>
    </row>
    <row r="217" spans="2:43" x14ac:dyDescent="0.25">
      <c r="E217" s="75" t="s">
        <v>1061</v>
      </c>
      <c r="G217" s="61"/>
    </row>
    <row r="218" spans="2:43" x14ac:dyDescent="0.25">
      <c r="E218" s="75"/>
      <c r="F218" s="116" t="s">
        <v>247</v>
      </c>
      <c r="G218" s="116" t="s">
        <v>209</v>
      </c>
      <c r="H218" s="128" t="b">
        <f>SUM(J169:N169)=1</f>
        <v>1</v>
      </c>
    </row>
    <row r="219" spans="2:43" x14ac:dyDescent="0.25">
      <c r="E219" s="75"/>
      <c r="F219" s="129" t="s">
        <v>248</v>
      </c>
      <c r="G219" s="129" t="s">
        <v>209</v>
      </c>
      <c r="H219" s="130" t="b">
        <f t="shared" ref="H219:H220" si="2">SUM(J170:N170)=1</f>
        <v>1</v>
      </c>
    </row>
    <row r="220" spans="2:43" x14ac:dyDescent="0.25">
      <c r="E220" s="75"/>
      <c r="F220" s="120" t="s">
        <v>249</v>
      </c>
      <c r="G220" s="120" t="s">
        <v>209</v>
      </c>
      <c r="H220" s="131" t="b">
        <f t="shared" si="2"/>
        <v>1</v>
      </c>
    </row>
    <row r="221" spans="2:43" x14ac:dyDescent="0.25">
      <c r="E221" s="122"/>
      <c r="F221" s="123"/>
      <c r="G221" s="123"/>
      <c r="H221" s="14"/>
    </row>
    <row r="222" spans="2:43" x14ac:dyDescent="0.25">
      <c r="E222" s="75" t="s">
        <v>1062</v>
      </c>
      <c r="G222" s="61"/>
    </row>
    <row r="223" spans="2:43" x14ac:dyDescent="0.25">
      <c r="E223" s="75"/>
      <c r="F223" s="116" t="s">
        <v>247</v>
      </c>
      <c r="G223" s="116" t="s">
        <v>209</v>
      </c>
      <c r="H223" s="128" t="b">
        <f>SUM(J174:N174)=1</f>
        <v>1</v>
      </c>
    </row>
    <row r="224" spans="2:43" x14ac:dyDescent="0.25">
      <c r="E224" s="75"/>
      <c r="F224" s="129" t="s">
        <v>248</v>
      </c>
      <c r="G224" s="129" t="s">
        <v>209</v>
      </c>
      <c r="H224" s="130" t="b">
        <f t="shared" ref="H224:H225" si="3">SUM(J175:N175)=1</f>
        <v>1</v>
      </c>
    </row>
    <row r="225" spans="2:43" x14ac:dyDescent="0.25">
      <c r="E225" s="75"/>
      <c r="F225" s="120" t="s">
        <v>249</v>
      </c>
      <c r="G225" s="120" t="s">
        <v>209</v>
      </c>
      <c r="H225" s="131" t="b">
        <f t="shared" si="3"/>
        <v>1</v>
      </c>
    </row>
    <row r="226" spans="2:43" x14ac:dyDescent="0.25">
      <c r="E226" s="122"/>
      <c r="F226" s="123"/>
      <c r="G226" s="123"/>
      <c r="H226" s="14"/>
    </row>
    <row r="227" spans="2:43" x14ac:dyDescent="0.25">
      <c r="E227" s="75" t="s">
        <v>1063</v>
      </c>
      <c r="G227" s="61"/>
    </row>
    <row r="228" spans="2:43" x14ac:dyDescent="0.25">
      <c r="E228" s="75"/>
      <c r="F228" s="116" t="s">
        <v>247</v>
      </c>
      <c r="G228" s="116" t="s">
        <v>209</v>
      </c>
      <c r="H228" s="128" t="b">
        <f>SUM(J179:N179)=1</f>
        <v>1</v>
      </c>
    </row>
    <row r="229" spans="2:43" x14ac:dyDescent="0.25">
      <c r="E229" s="75"/>
      <c r="F229" s="129" t="s">
        <v>248</v>
      </c>
      <c r="G229" s="129" t="s">
        <v>209</v>
      </c>
      <c r="H229" s="130" t="b">
        <f t="shared" ref="H229:H230" si="4">SUM(J180:N180)=1</f>
        <v>1</v>
      </c>
    </row>
    <row r="230" spans="2:43" x14ac:dyDescent="0.25">
      <c r="E230" s="75"/>
      <c r="F230" s="120" t="s">
        <v>249</v>
      </c>
      <c r="G230" s="120" t="s">
        <v>209</v>
      </c>
      <c r="H230" s="131" t="b">
        <f t="shared" si="4"/>
        <v>1</v>
      </c>
    </row>
    <row r="231" spans="2:43" x14ac:dyDescent="0.25">
      <c r="G231" s="61"/>
    </row>
    <row r="232" spans="2:43" x14ac:dyDescent="0.25">
      <c r="E232" t="s">
        <v>1064</v>
      </c>
      <c r="G232" s="6" t="s">
        <v>56</v>
      </c>
      <c r="H232" s="109">
        <f>COUNTIF(H218:H230,FALSE)</f>
        <v>0</v>
      </c>
    </row>
    <row r="233" spans="2:43" x14ac:dyDescent="0.25">
      <c r="G233" s="61"/>
    </row>
    <row r="234" spans="2:43" x14ac:dyDescent="0.25">
      <c r="E234" t="s">
        <v>232</v>
      </c>
      <c r="G234" s="6" t="s">
        <v>56</v>
      </c>
      <c r="H234" s="109">
        <f t="array" ref="H234">SUM(IF(ISERROR(H13:Y214), 1))</f>
        <v>0</v>
      </c>
    </row>
    <row r="235" spans="2:43" x14ac:dyDescent="0.25">
      <c r="G235" s="61"/>
    </row>
    <row r="236" spans="2:43" x14ac:dyDescent="0.25">
      <c r="E236" t="s">
        <v>239</v>
      </c>
      <c r="G236" s="6" t="s">
        <v>56</v>
      </c>
      <c r="H236" s="113">
        <f xml:space="preserve"> H232 + H234</f>
        <v>0</v>
      </c>
    </row>
    <row r="238" spans="2:43" x14ac:dyDescent="0.25">
      <c r="B238" s="85" t="s">
        <v>107</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sheet="1"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O36" sqref="O36"/>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H56 &amp; IF(H56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 t="s">
        <v>143</v>
      </c>
      <c r="H5" s="138" t="s">
        <v>144</v>
      </c>
      <c r="I5" s="62"/>
      <c r="J5" s="138" t="s">
        <v>189</v>
      </c>
      <c r="K5" s="138" t="s">
        <v>191</v>
      </c>
      <c r="L5" s="138" t="s">
        <v>192</v>
      </c>
      <c r="M5" s="138" t="s">
        <v>193</v>
      </c>
      <c r="N5" s="138" t="s">
        <v>194</v>
      </c>
      <c r="O5" s="138" t="s">
        <v>195</v>
      </c>
      <c r="P5" s="138" t="s">
        <v>196</v>
      </c>
      <c r="Q5" s="138" t="s">
        <v>197</v>
      </c>
      <c r="R5" s="138" t="s">
        <v>198</v>
      </c>
      <c r="S5" s="138" t="s">
        <v>199</v>
      </c>
      <c r="U5" s="91" t="s">
        <v>145</v>
      </c>
    </row>
    <row r="7" spans="1:27" x14ac:dyDescent="0.25">
      <c r="B7" s="85" t="s">
        <v>11</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25">
      <c r="C9" s="86" t="s">
        <v>278</v>
      </c>
    </row>
    <row r="11" spans="1:27" x14ac:dyDescent="0.25">
      <c r="B11" s="85" t="s">
        <v>59</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25">
      <c r="C13" s="93" t="str">
        <f ca="1">INDEX('Version control'!$H$41:$H$64,MATCH($A$1,'Version control'!$F$41:$F$64,0),1)&amp;"-A: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25">
      <c r="E15" s="94" t="s">
        <v>279</v>
      </c>
      <c r="G15" s="94" t="s">
        <v>167</v>
      </c>
      <c r="I15" t="s">
        <v>154</v>
      </c>
      <c r="J15" s="139"/>
      <c r="K15" s="445">
        <v>2.1999999999999999E-2</v>
      </c>
      <c r="L15" s="445">
        <v>3.1E-2</v>
      </c>
      <c r="M15" s="139"/>
      <c r="N15" s="445">
        <v>7.4999999999999997E-2</v>
      </c>
      <c r="O15" s="139"/>
      <c r="P15" s="140"/>
      <c r="Q15" s="445">
        <v>0.37</v>
      </c>
      <c r="R15" s="100"/>
      <c r="S15" s="100"/>
      <c r="U15" s="97" t="s">
        <v>280</v>
      </c>
    </row>
    <row r="17" spans="3:27" x14ac:dyDescent="0.25">
      <c r="E17" s="94" t="s">
        <v>281</v>
      </c>
      <c r="G17" s="94" t="s">
        <v>167</v>
      </c>
      <c r="H17" s="94"/>
      <c r="I17" s="141"/>
      <c r="J17" s="139"/>
      <c r="K17" s="100"/>
      <c r="L17" s="100"/>
      <c r="M17" s="100"/>
      <c r="N17" s="100"/>
      <c r="O17" s="100"/>
      <c r="P17" s="435">
        <v>0</v>
      </c>
      <c r="Q17" s="100"/>
      <c r="R17" s="100"/>
      <c r="S17" s="100"/>
    </row>
    <row r="19" spans="3:27" x14ac:dyDescent="0.25">
      <c r="E19" s="94" t="s">
        <v>282</v>
      </c>
      <c r="G19" s="94" t="s">
        <v>283</v>
      </c>
      <c r="I19" t="s">
        <v>154</v>
      </c>
      <c r="J19" s="119"/>
      <c r="K19" s="428">
        <v>1</v>
      </c>
      <c r="L19" s="428">
        <v>1.0009999999999999</v>
      </c>
      <c r="M19" s="428">
        <v>1.0049999999999999</v>
      </c>
      <c r="N19" s="428">
        <v>1.012</v>
      </c>
      <c r="O19" s="428">
        <v>1.018</v>
      </c>
      <c r="P19" s="119"/>
      <c r="Q19" s="428">
        <v>1.034</v>
      </c>
      <c r="R19" s="428">
        <v>1.048</v>
      </c>
      <c r="S19" s="428">
        <v>1.0620000000000001</v>
      </c>
      <c r="U19" s="97" t="s">
        <v>284</v>
      </c>
    </row>
    <row r="20" spans="3:27" x14ac:dyDescent="0.25">
      <c r="J20" s="106"/>
      <c r="K20" s="106"/>
      <c r="L20" s="106"/>
      <c r="M20" s="106"/>
      <c r="N20" s="106"/>
      <c r="O20" s="106"/>
      <c r="P20" s="106"/>
      <c r="Q20" s="106"/>
      <c r="R20" s="106"/>
      <c r="S20" s="106"/>
    </row>
    <row r="21" spans="3:27" x14ac:dyDescent="0.25">
      <c r="E21" s="94" t="s">
        <v>285</v>
      </c>
      <c r="G21" s="94" t="s">
        <v>286</v>
      </c>
      <c r="I21" t="s">
        <v>154</v>
      </c>
      <c r="J21" s="119"/>
      <c r="K21" s="428">
        <v>0.14554679684248217</v>
      </c>
      <c r="L21" s="437">
        <v>0.14554679684248217</v>
      </c>
      <c r="M21" s="437">
        <v>0.14554679684248217</v>
      </c>
      <c r="N21" s="437">
        <v>0.14554679684248217</v>
      </c>
      <c r="O21" s="437">
        <v>0.14554679684248217</v>
      </c>
      <c r="P21" s="437">
        <v>0.14554679684248217</v>
      </c>
      <c r="Q21" s="437">
        <v>0.14554679684248217</v>
      </c>
      <c r="R21" s="437">
        <v>0.14554679684248217</v>
      </c>
      <c r="S21" s="437">
        <v>0.14554679684248217</v>
      </c>
      <c r="U21" s="97" t="s">
        <v>287</v>
      </c>
    </row>
    <row r="23" spans="3:27" x14ac:dyDescent="0.25">
      <c r="C23" s="93" t="str">
        <f ca="1">INDEX('Version control'!$H$41:$H$64,MATCH($A$1,'Version control'!$F$41:$F$64,0),1)&amp;"-B: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25">
      <c r="C24" s="75"/>
      <c r="I24" t="s">
        <v>154</v>
      </c>
      <c r="U24" t="s">
        <v>288</v>
      </c>
    </row>
    <row r="25" spans="3:27" x14ac:dyDescent="0.25">
      <c r="C25" s="75"/>
      <c r="E25" s="75" t="s">
        <v>289</v>
      </c>
    </row>
    <row r="26" spans="3:27" x14ac:dyDescent="0.25">
      <c r="F26" s="98" t="s">
        <v>186</v>
      </c>
      <c r="G26" s="98" t="s">
        <v>167</v>
      </c>
      <c r="H26" s="95"/>
      <c r="I26" s="95"/>
      <c r="J26" s="99"/>
      <c r="K26" s="99"/>
      <c r="L26" s="433"/>
      <c r="M26" s="433"/>
      <c r="N26" s="433"/>
      <c r="O26" s="433"/>
      <c r="P26" s="433"/>
      <c r="Q26" s="433"/>
      <c r="R26" s="433"/>
      <c r="S26" s="433"/>
    </row>
    <row r="27" spans="3:27" x14ac:dyDescent="0.25">
      <c r="F27" s="94" t="s">
        <v>185</v>
      </c>
      <c r="G27" s="94" t="s">
        <v>167</v>
      </c>
      <c r="J27" s="100"/>
      <c r="K27" s="100"/>
      <c r="L27" s="426"/>
      <c r="M27" s="426"/>
      <c r="N27" s="426"/>
      <c r="O27" s="426"/>
      <c r="P27" s="426"/>
      <c r="Q27" s="426"/>
      <c r="R27" s="426"/>
      <c r="S27" s="103"/>
    </row>
    <row r="28" spans="3:27" x14ac:dyDescent="0.25">
      <c r="F28" s="94" t="s">
        <v>184</v>
      </c>
      <c r="G28" s="94" t="s">
        <v>167</v>
      </c>
      <c r="J28" s="100"/>
      <c r="K28" s="100"/>
      <c r="L28" s="426"/>
      <c r="M28" s="426"/>
      <c r="N28" s="426"/>
      <c r="O28" s="426"/>
      <c r="P28" s="426"/>
      <c r="Q28" s="426"/>
      <c r="R28" s="103"/>
      <c r="S28" s="103"/>
    </row>
    <row r="29" spans="3:27" x14ac:dyDescent="0.25">
      <c r="F29" s="101" t="s">
        <v>183</v>
      </c>
      <c r="G29" s="101" t="s">
        <v>167</v>
      </c>
      <c r="H29" s="96"/>
      <c r="I29" s="96"/>
      <c r="J29" s="102"/>
      <c r="K29" s="102"/>
      <c r="L29" s="434"/>
      <c r="M29" s="434"/>
      <c r="N29" s="434"/>
      <c r="O29" s="434"/>
      <c r="P29" s="104"/>
      <c r="Q29" s="104"/>
      <c r="R29" s="104"/>
      <c r="S29" s="104"/>
    </row>
    <row r="31" spans="3:27" x14ac:dyDescent="0.25">
      <c r="C31" s="93" t="str">
        <f ca="1">INDEX('Version control'!$H$41:$H$64,MATCH($A$1,'Version control'!$F$41:$F$64,0),1)&amp;"-C: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25">
      <c r="E33" s="94" t="s">
        <v>290</v>
      </c>
      <c r="G33" s="94" t="s">
        <v>277</v>
      </c>
      <c r="I33" t="s">
        <v>154</v>
      </c>
      <c r="J33" s="119"/>
      <c r="K33" s="119"/>
      <c r="L33" s="428">
        <v>126533777.63046321</v>
      </c>
      <c r="M33" s="437">
        <v>18124885.346998829</v>
      </c>
      <c r="N33" s="437">
        <v>57956872.475489102</v>
      </c>
      <c r="O33" s="437">
        <v>45841518.879583202</v>
      </c>
      <c r="P33" s="437">
        <v>0</v>
      </c>
      <c r="Q33" s="437">
        <v>211100594.18893585</v>
      </c>
      <c r="R33" s="437">
        <v>86611411.625644997</v>
      </c>
      <c r="S33" s="437">
        <v>213740079.55963728</v>
      </c>
    </row>
    <row r="35" spans="2:27" x14ac:dyDescent="0.25">
      <c r="C35" s="93" t="str">
        <f ca="1">INDEX('Version control'!$H$41:$H$64,MATCH($A$1,'Version control'!$F$41:$F$64,0),1)&amp;"-D: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25">
      <c r="D37" s="86" t="s">
        <v>291</v>
      </c>
    </row>
    <row r="38" spans="2:27" x14ac:dyDescent="0.25">
      <c r="C38" s="86"/>
    </row>
    <row r="39" spans="2:27" x14ac:dyDescent="0.25">
      <c r="D39" s="75"/>
      <c r="E39" s="75" t="s">
        <v>292</v>
      </c>
      <c r="I39" t="s">
        <v>154</v>
      </c>
      <c r="U39" t="s">
        <v>293</v>
      </c>
    </row>
    <row r="40" spans="2:27" x14ac:dyDescent="0.25">
      <c r="F40" s="95" t="s">
        <v>294</v>
      </c>
      <c r="G40" s="116" t="s">
        <v>167</v>
      </c>
      <c r="H40" s="95"/>
      <c r="I40" s="95"/>
      <c r="J40" s="99"/>
      <c r="K40" s="433">
        <v>1</v>
      </c>
      <c r="L40" s="438">
        <v>0.79352298204514149</v>
      </c>
      <c r="M40" s="438">
        <v>0.79352298204514149</v>
      </c>
      <c r="N40" s="438">
        <v>0.53667582516844081</v>
      </c>
      <c r="O40" s="438">
        <v>0.53667582516844081</v>
      </c>
      <c r="P40" s="438">
        <v>0.79352298204514149</v>
      </c>
      <c r="Q40" s="438">
        <v>0.53667582516844081</v>
      </c>
      <c r="R40" s="438">
        <v>0.53667582516844081</v>
      </c>
      <c r="S40" s="438">
        <v>0.53667582516844081</v>
      </c>
    </row>
    <row r="41" spans="2:27" x14ac:dyDescent="0.25">
      <c r="F41" t="s">
        <v>295</v>
      </c>
      <c r="G41" s="118" t="s">
        <v>167</v>
      </c>
      <c r="J41" s="100"/>
      <c r="K41" s="426">
        <v>0</v>
      </c>
      <c r="L41" s="436">
        <v>0.18708889287568198</v>
      </c>
      <c r="M41" s="436">
        <v>0.18708889287568198</v>
      </c>
      <c r="N41" s="436">
        <v>0.39924969728850995</v>
      </c>
      <c r="O41" s="436">
        <v>0.39924969728850995</v>
      </c>
      <c r="P41" s="436">
        <v>0.18708889287568198</v>
      </c>
      <c r="Q41" s="436">
        <v>0.39924969728850995</v>
      </c>
      <c r="R41" s="436">
        <v>0.39924969728850995</v>
      </c>
      <c r="S41" s="436">
        <v>0.39924969728850995</v>
      </c>
    </row>
    <row r="42" spans="2:27" x14ac:dyDescent="0.25">
      <c r="F42" s="96" t="s">
        <v>257</v>
      </c>
      <c r="G42" s="120" t="s">
        <v>167</v>
      </c>
      <c r="H42" s="96"/>
      <c r="I42" s="96"/>
      <c r="J42" s="102"/>
      <c r="K42" s="434">
        <v>0</v>
      </c>
      <c r="L42" s="439">
        <v>1.9388125079176501E-2</v>
      </c>
      <c r="M42" s="439">
        <v>1.9388125079176501E-2</v>
      </c>
      <c r="N42" s="439">
        <v>6.4074477543049194E-2</v>
      </c>
      <c r="O42" s="439">
        <v>6.4074477543049194E-2</v>
      </c>
      <c r="P42" s="439">
        <v>1.9388125079176501E-2</v>
      </c>
      <c r="Q42" s="439">
        <v>6.4074477543049194E-2</v>
      </c>
      <c r="R42" s="439">
        <v>6.4074477543049194E-2</v>
      </c>
      <c r="S42" s="439">
        <v>6.4074477543049194E-2</v>
      </c>
    </row>
    <row r="43" spans="2:27" x14ac:dyDescent="0.25">
      <c r="F43" s="96" t="s">
        <v>296</v>
      </c>
      <c r="G43" s="120" t="s">
        <v>167</v>
      </c>
      <c r="H43" s="96"/>
      <c r="I43" s="96"/>
      <c r="J43" s="102"/>
      <c r="K43" s="434">
        <v>0.91323115162044077</v>
      </c>
      <c r="L43" s="439">
        <v>0.68224654314411237</v>
      </c>
      <c r="M43" s="439">
        <v>0.68224654314411237</v>
      </c>
      <c r="N43" s="439">
        <v>0.45632329765244756</v>
      </c>
      <c r="O43" s="439">
        <v>0.45632329765244756</v>
      </c>
      <c r="P43" s="439">
        <v>0.68224654314411237</v>
      </c>
      <c r="Q43" s="439">
        <v>0.45632329765244756</v>
      </c>
      <c r="R43" s="439">
        <v>0.45632329765244756</v>
      </c>
      <c r="S43" s="439">
        <v>0.45632329765244756</v>
      </c>
    </row>
    <row r="45" spans="2:27" x14ac:dyDescent="0.25">
      <c r="B45" s="85" t="s">
        <v>231</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25">
      <c r="E47" t="s">
        <v>232</v>
      </c>
      <c r="G47" s="6" t="s">
        <v>56</v>
      </c>
      <c r="H47" s="109">
        <f t="array" ref="H47">SUM(IF(ISERROR(H15:AA44), 1))</f>
        <v>0</v>
      </c>
    </row>
    <row r="49" spans="2:27" x14ac:dyDescent="0.25">
      <c r="E49" t="s">
        <v>297</v>
      </c>
      <c r="G49" s="6" t="s">
        <v>56</v>
      </c>
      <c r="H49" s="109">
        <f>IF(K19 = 1, 0, 1)</f>
        <v>0</v>
      </c>
    </row>
    <row r="51" spans="2:27" x14ac:dyDescent="0.25">
      <c r="E51" s="75" t="s">
        <v>298</v>
      </c>
    </row>
    <row r="52" spans="2:27" x14ac:dyDescent="0.25">
      <c r="E52" s="86" t="s">
        <v>299</v>
      </c>
    </row>
    <row r="53" spans="2:27" x14ac:dyDescent="0.25">
      <c r="F53" s="95" t="s">
        <v>300</v>
      </c>
      <c r="G53" s="110" t="s">
        <v>56</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25">
      <c r="F54" s="96" t="s">
        <v>192</v>
      </c>
      <c r="G54" s="77" t="s">
        <v>56</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25">
      <c r="E56" t="s">
        <v>239</v>
      </c>
      <c r="G56" s="6" t="s">
        <v>56</v>
      </c>
      <c r="H56" s="113">
        <f>SUM(H47:H54)</f>
        <v>0</v>
      </c>
    </row>
    <row r="58" spans="2:27" x14ac:dyDescent="0.25">
      <c r="B58" s="85" t="s">
        <v>107</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sheet="1"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21"/>
  <sheetViews>
    <sheetView showGridLines="0" tabSelected="1" zoomScale="80" zoomScaleNormal="80" workbookViewId="0">
      <pane ySplit="5" topLeftCell="A54" activePane="bottomLeft" state="frozen"/>
      <selection pane="bottomLeft" activeCell="J85" sqref="J85"/>
    </sheetView>
  </sheetViews>
  <sheetFormatPr defaultColWidth="0" defaultRowHeight="15" x14ac:dyDescent="0.25"/>
  <cols>
    <col min="1" max="5" width="2.5703125" customWidth="1"/>
    <col min="6" max="6" width="68.5703125" customWidth="1"/>
    <col min="7" max="7" width="27.85546875" bestFit="1" customWidth="1"/>
    <col min="8"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v11 - 2026/27</v>
      </c>
    </row>
    <row r="4" spans="1:27" x14ac:dyDescent="0.25">
      <c r="A4" s="60" t="str">
        <f>H119 &amp; IF(H119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42" t="s">
        <v>143</v>
      </c>
      <c r="H5" s="138" t="s">
        <v>144</v>
      </c>
      <c r="J5" s="91" t="s">
        <v>145</v>
      </c>
    </row>
    <row r="6" spans="1:27" x14ac:dyDescent="0.25">
      <c r="G6" s="61"/>
    </row>
    <row r="7" spans="1:27" x14ac:dyDescent="0.25">
      <c r="B7" s="85" t="s">
        <v>11</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25">
      <c r="G8" s="61"/>
    </row>
    <row r="9" spans="1:27" x14ac:dyDescent="0.25">
      <c r="C9" s="86" t="s">
        <v>301</v>
      </c>
      <c r="G9" s="61"/>
    </row>
    <row r="10" spans="1:27" x14ac:dyDescent="0.25">
      <c r="G10" s="61"/>
    </row>
    <row r="11" spans="1:27" x14ac:dyDescent="0.25">
      <c r="B11" s="85" t="s">
        <v>61</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25">
      <c r="G12" s="61"/>
    </row>
    <row r="13" spans="1:27" x14ac:dyDescent="0.25">
      <c r="C13" s="93" t="str">
        <f ca="1">INDEX('Version control'!$H$41:$H$64,MATCH($A$1,'Version control'!$F$41:$F$64,0),1)&amp;"-A: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25">
      <c r="G14" s="61"/>
    </row>
    <row r="15" spans="1:27" x14ac:dyDescent="0.25">
      <c r="D15" s="75" t="s">
        <v>302</v>
      </c>
      <c r="E15" s="75"/>
      <c r="G15" s="61"/>
      <c r="I15" t="s">
        <v>154</v>
      </c>
      <c r="J15" t="s">
        <v>303</v>
      </c>
    </row>
    <row r="16" spans="1:27" x14ac:dyDescent="0.25">
      <c r="E16" s="98" t="s">
        <v>296</v>
      </c>
      <c r="F16" s="98"/>
      <c r="G16" s="143" t="s">
        <v>304</v>
      </c>
      <c r="H16" s="440">
        <v>150</v>
      </c>
    </row>
    <row r="17" spans="3:27" x14ac:dyDescent="0.25">
      <c r="E17" s="94" t="s">
        <v>305</v>
      </c>
      <c r="F17" s="94"/>
      <c r="G17" s="61" t="s">
        <v>304</v>
      </c>
      <c r="H17" s="437">
        <v>3816</v>
      </c>
    </row>
    <row r="18" spans="3:27" x14ac:dyDescent="0.25">
      <c r="E18" s="101" t="s">
        <v>257</v>
      </c>
      <c r="F18" s="101"/>
      <c r="G18" s="144" t="s">
        <v>304</v>
      </c>
      <c r="H18" s="441">
        <v>4794</v>
      </c>
    </row>
    <row r="19" spans="3:27" x14ac:dyDescent="0.25">
      <c r="G19" s="61"/>
      <c r="H19" s="106"/>
    </row>
    <row r="20" spans="3:27" x14ac:dyDescent="0.25">
      <c r="D20" s="75" t="s">
        <v>306</v>
      </c>
      <c r="E20" s="75"/>
      <c r="G20" s="61"/>
      <c r="H20" s="106"/>
      <c r="I20" t="s">
        <v>154</v>
      </c>
      <c r="J20" t="s">
        <v>303</v>
      </c>
    </row>
    <row r="21" spans="3:27" x14ac:dyDescent="0.25">
      <c r="E21" s="95" t="s">
        <v>294</v>
      </c>
      <c r="F21" s="95"/>
      <c r="G21" s="143" t="s">
        <v>304</v>
      </c>
      <c r="H21" s="440">
        <v>522</v>
      </c>
    </row>
    <row r="22" spans="3:27" x14ac:dyDescent="0.25">
      <c r="E22" t="s">
        <v>295</v>
      </c>
      <c r="G22" s="61" t="s">
        <v>304</v>
      </c>
      <c r="H22" s="437">
        <v>3444</v>
      </c>
    </row>
    <row r="23" spans="3:27" x14ac:dyDescent="0.25">
      <c r="E23" s="96" t="s">
        <v>257</v>
      </c>
      <c r="F23" s="96"/>
      <c r="G23" s="144" t="s">
        <v>304</v>
      </c>
      <c r="H23" s="441">
        <v>4794</v>
      </c>
    </row>
    <row r="24" spans="3:27" x14ac:dyDescent="0.25">
      <c r="G24" s="61"/>
    </row>
    <row r="25" spans="3:27" x14ac:dyDescent="0.25">
      <c r="C25" s="93" t="str">
        <f ca="1">INDEX('Version control'!$H$41:$H$64,MATCH($A$1,'Version control'!$F$41:$F$64,0),1)&amp;"-B: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25">
      <c r="G26" s="61"/>
    </row>
    <row r="27" spans="3:27" x14ac:dyDescent="0.25">
      <c r="D27" s="86" t="s">
        <v>307</v>
      </c>
      <c r="E27" s="86"/>
      <c r="G27" s="61"/>
    </row>
    <row r="28" spans="3:27" x14ac:dyDescent="0.25">
      <c r="D28" s="86"/>
      <c r="E28" s="86"/>
      <c r="G28" s="61"/>
    </row>
    <row r="29" spans="3:27" x14ac:dyDescent="0.25">
      <c r="D29" s="75" t="s">
        <v>308</v>
      </c>
      <c r="E29" s="75"/>
      <c r="G29" s="61"/>
      <c r="I29" t="s">
        <v>154</v>
      </c>
      <c r="J29" t="s">
        <v>309</v>
      </c>
    </row>
    <row r="30" spans="3:27" x14ac:dyDescent="0.25">
      <c r="E30" s="98" t="s">
        <v>175</v>
      </c>
      <c r="F30" s="95"/>
      <c r="G30" s="116" t="s">
        <v>167</v>
      </c>
      <c r="H30" s="446">
        <v>0.38335161514577376</v>
      </c>
      <c r="J30" s="444">
        <v>-4.778180073827798E-10</v>
      </c>
    </row>
    <row r="31" spans="3:27" x14ac:dyDescent="0.25">
      <c r="E31" s="94" t="s">
        <v>177</v>
      </c>
      <c r="G31" s="118" t="s">
        <v>167</v>
      </c>
      <c r="H31" s="435">
        <v>0.58826186187526186</v>
      </c>
      <c r="J31" s="444">
        <v>-8.1796869277894757E-10</v>
      </c>
    </row>
    <row r="32" spans="3:27" x14ac:dyDescent="0.25">
      <c r="E32" s="94" t="s">
        <v>178</v>
      </c>
      <c r="G32" s="118" t="s">
        <v>167</v>
      </c>
      <c r="H32" s="435">
        <v>0.31100226640485212</v>
      </c>
      <c r="J32" s="444">
        <v>-7.9614054238064114E-10</v>
      </c>
    </row>
    <row r="33" spans="3:27" x14ac:dyDescent="0.25">
      <c r="E33" s="101" t="s">
        <v>179</v>
      </c>
      <c r="F33" s="96"/>
      <c r="G33" s="120" t="s">
        <v>167</v>
      </c>
      <c r="H33" s="447">
        <v>0.17999797646529783</v>
      </c>
      <c r="J33" s="444">
        <v>-6.0343194330236827E-10</v>
      </c>
    </row>
    <row r="34" spans="3:27" x14ac:dyDescent="0.25">
      <c r="G34" s="61"/>
    </row>
    <row r="35" spans="3:27" x14ac:dyDescent="0.25">
      <c r="C35" s="93" t="str">
        <f ca="1">INDEX('Version control'!$H$41:$H$64,MATCH($A$1,'Version control'!$F$41:$F$64,0),1)&amp;"-C: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25">
      <c r="D37" s="86" t="s">
        <v>1169</v>
      </c>
      <c r="E37" s="86"/>
      <c r="G37" s="61"/>
      <c r="H37" s="61"/>
      <c r="I37" t="s">
        <v>154</v>
      </c>
      <c r="J37" t="s">
        <v>1106</v>
      </c>
    </row>
    <row r="39" spans="3:27" x14ac:dyDescent="0.25">
      <c r="D39" s="75" t="s">
        <v>1142</v>
      </c>
    </row>
    <row r="40" spans="3:27" x14ac:dyDescent="0.25">
      <c r="E40" s="95" t="s">
        <v>1156</v>
      </c>
      <c r="F40" s="95"/>
      <c r="G40" s="95" t="s">
        <v>1135</v>
      </c>
      <c r="H40" s="427">
        <v>58.229782395291757</v>
      </c>
    </row>
    <row r="41" spans="3:27" x14ac:dyDescent="0.25">
      <c r="E41" t="s">
        <v>1157</v>
      </c>
      <c r="G41" t="s">
        <v>1135</v>
      </c>
      <c r="H41" s="431">
        <v>129.43569880159259</v>
      </c>
    </row>
    <row r="42" spans="3:27" x14ac:dyDescent="0.25">
      <c r="E42" t="s">
        <v>1158</v>
      </c>
      <c r="G42" t="s">
        <v>1135</v>
      </c>
      <c r="H42" s="431">
        <v>92.787613671703781</v>
      </c>
    </row>
    <row r="43" spans="3:27" x14ac:dyDescent="0.25">
      <c r="E43" t="s">
        <v>1143</v>
      </c>
    </row>
    <row r="44" spans="3:27" x14ac:dyDescent="0.25">
      <c r="F44" s="95" t="s">
        <v>1144</v>
      </c>
      <c r="G44" s="95" t="s">
        <v>1135</v>
      </c>
      <c r="H44" s="427">
        <v>1.5631999999999999</v>
      </c>
    </row>
    <row r="45" spans="3:27" x14ac:dyDescent="0.25">
      <c r="F45" t="s">
        <v>1145</v>
      </c>
      <c r="G45" t="s">
        <v>1135</v>
      </c>
      <c r="H45" s="431">
        <v>20.1327</v>
      </c>
    </row>
    <row r="46" spans="3:27" x14ac:dyDescent="0.25">
      <c r="F46" t="s">
        <v>1146</v>
      </c>
      <c r="G46" t="s">
        <v>1135</v>
      </c>
      <c r="H46" s="431">
        <v>8.3246000000000002</v>
      </c>
    </row>
    <row r="47" spans="3:27" x14ac:dyDescent="0.25">
      <c r="F47" t="s">
        <v>1147</v>
      </c>
      <c r="G47" t="s">
        <v>1135</v>
      </c>
      <c r="H47" s="431">
        <v>1.639</v>
      </c>
    </row>
    <row r="48" spans="3:27" x14ac:dyDescent="0.25">
      <c r="F48" t="s">
        <v>1148</v>
      </c>
      <c r="G48" t="s">
        <v>1135</v>
      </c>
      <c r="H48" s="431">
        <v>0.4143</v>
      </c>
    </row>
    <row r="49" spans="4:8" x14ac:dyDescent="0.25">
      <c r="F49" t="s">
        <v>1149</v>
      </c>
      <c r="G49" t="s">
        <v>1135</v>
      </c>
      <c r="H49" s="431">
        <v>3.6200000000000003E-2</v>
      </c>
    </row>
    <row r="50" spans="4:8" x14ac:dyDescent="0.25">
      <c r="F50" t="s">
        <v>1150</v>
      </c>
      <c r="G50" t="s">
        <v>1135</v>
      </c>
      <c r="H50" s="431">
        <v>0</v>
      </c>
    </row>
    <row r="51" spans="4:8" x14ac:dyDescent="0.25">
      <c r="F51" t="s">
        <v>1151</v>
      </c>
      <c r="G51" t="s">
        <v>1135</v>
      </c>
      <c r="H51" s="431">
        <v>0</v>
      </c>
    </row>
    <row r="52" spans="4:8" x14ac:dyDescent="0.25">
      <c r="F52" t="s">
        <v>1152</v>
      </c>
      <c r="G52" t="s">
        <v>1135</v>
      </c>
      <c r="H52" s="431">
        <v>0.5</v>
      </c>
    </row>
    <row r="53" spans="4:8" x14ac:dyDescent="0.25">
      <c r="F53" t="s">
        <v>1153</v>
      </c>
      <c r="G53" t="s">
        <v>1135</v>
      </c>
      <c r="H53" s="431">
        <v>0</v>
      </c>
    </row>
    <row r="54" spans="4:8" x14ac:dyDescent="0.25">
      <c r="F54" t="s">
        <v>1154</v>
      </c>
      <c r="G54" t="s">
        <v>1135</v>
      </c>
      <c r="H54" s="431">
        <v>0</v>
      </c>
    </row>
    <row r="55" spans="4:8" x14ac:dyDescent="0.25">
      <c r="F55" s="96" t="s">
        <v>1155</v>
      </c>
      <c r="G55" s="96" t="s">
        <v>1135</v>
      </c>
      <c r="H55" s="430">
        <v>0</v>
      </c>
    </row>
    <row r="56" spans="4:8" x14ac:dyDescent="0.25">
      <c r="F56" s="145" t="s">
        <v>1159</v>
      </c>
      <c r="G56" s="145" t="s">
        <v>1135</v>
      </c>
      <c r="H56" s="146">
        <f>(H44 + H45 + H46 + H47 + H48 + H49 + H50 + H51 + H52 + H54) - (H53 + H55)</f>
        <v>32.61</v>
      </c>
    </row>
    <row r="57" spans="4:8" x14ac:dyDescent="0.25">
      <c r="E57" s="145" t="s">
        <v>1160</v>
      </c>
      <c r="F57" s="145"/>
      <c r="G57" s="145" t="s">
        <v>1135</v>
      </c>
      <c r="H57" s="146">
        <f>H40 + H41 + H42 + H56</f>
        <v>313.06309486858811</v>
      </c>
    </row>
    <row r="59" spans="4:8" x14ac:dyDescent="0.25">
      <c r="D59" s="75" t="s">
        <v>1170</v>
      </c>
    </row>
    <row r="60" spans="4:8" x14ac:dyDescent="0.25">
      <c r="E60" s="95" t="s">
        <v>1171</v>
      </c>
      <c r="F60" s="95"/>
      <c r="G60" s="95" t="s">
        <v>1135</v>
      </c>
      <c r="H60" s="427">
        <v>0</v>
      </c>
    </row>
    <row r="61" spans="4:8" x14ac:dyDescent="0.25">
      <c r="E61" t="s">
        <v>1137</v>
      </c>
      <c r="G61" t="s">
        <v>1135</v>
      </c>
      <c r="H61" s="431">
        <v>0</v>
      </c>
    </row>
    <row r="62" spans="4:8" x14ac:dyDescent="0.25">
      <c r="E62" t="s">
        <v>1138</v>
      </c>
      <c r="G62" t="s">
        <v>1135</v>
      </c>
      <c r="H62" s="431">
        <v>0</v>
      </c>
    </row>
    <row r="63" spans="4:8" x14ac:dyDescent="0.25">
      <c r="E63" t="s">
        <v>1139</v>
      </c>
      <c r="G63" t="s">
        <v>1135</v>
      </c>
      <c r="H63" s="431">
        <v>0.248394134255712</v>
      </c>
    </row>
    <row r="64" spans="4:8" x14ac:dyDescent="0.25">
      <c r="E64" t="s">
        <v>1140</v>
      </c>
      <c r="G64" t="s">
        <v>1135</v>
      </c>
      <c r="H64" s="431">
        <v>0.40564641872741769</v>
      </c>
    </row>
    <row r="65" spans="4:8" x14ac:dyDescent="0.25">
      <c r="E65" t="s">
        <v>1141</v>
      </c>
      <c r="G65" t="s">
        <v>1135</v>
      </c>
      <c r="H65" s="431">
        <v>0</v>
      </c>
    </row>
    <row r="66" spans="4:8" x14ac:dyDescent="0.25">
      <c r="E66" s="145" t="s">
        <v>1173</v>
      </c>
      <c r="F66" s="145"/>
      <c r="G66" s="145" t="s">
        <v>1135</v>
      </c>
      <c r="H66" s="146">
        <f>SUM(H60:H65)</f>
        <v>0.65404055298312969</v>
      </c>
    </row>
    <row r="68" spans="4:8" x14ac:dyDescent="0.25">
      <c r="D68" s="75" t="s">
        <v>1132</v>
      </c>
    </row>
    <row r="69" spans="4:8" x14ac:dyDescent="0.25">
      <c r="E69" s="95" t="s">
        <v>1131</v>
      </c>
      <c r="F69" s="95"/>
      <c r="G69" s="95" t="s">
        <v>1135</v>
      </c>
      <c r="H69" s="147">
        <f>H57 + H66</f>
        <v>313.71713542157124</v>
      </c>
    </row>
    <row r="70" spans="4:8" x14ac:dyDescent="0.25">
      <c r="E70" t="s">
        <v>1133</v>
      </c>
      <c r="G70" t="s">
        <v>1135</v>
      </c>
      <c r="H70" s="427">
        <v>7.471581867098597</v>
      </c>
    </row>
    <row r="71" spans="4:8" x14ac:dyDescent="0.25">
      <c r="E71" t="s">
        <v>1134</v>
      </c>
      <c r="G71" t="s">
        <v>1135</v>
      </c>
      <c r="H71" s="430">
        <v>0</v>
      </c>
    </row>
    <row r="72" spans="4:8" x14ac:dyDescent="0.25">
      <c r="E72" s="145" t="s">
        <v>1132</v>
      </c>
      <c r="F72" s="145"/>
      <c r="G72" s="145" t="s">
        <v>1135</v>
      </c>
      <c r="H72" s="146">
        <f>H69 + H70 + H71</f>
        <v>321.18871728866986</v>
      </c>
    </row>
    <row r="74" spans="4:8" ht="18" x14ac:dyDescent="0.35">
      <c r="D74" s="75" t="s">
        <v>1130</v>
      </c>
      <c r="G74" t="s">
        <v>1136</v>
      </c>
      <c r="H74" s="428">
        <v>1.3841294022609805</v>
      </c>
    </row>
    <row r="76" spans="4:8" x14ac:dyDescent="0.25">
      <c r="D76" s="75" t="s">
        <v>1124</v>
      </c>
    </row>
    <row r="77" spans="4:8" x14ac:dyDescent="0.25">
      <c r="E77" s="95" t="s">
        <v>1172</v>
      </c>
      <c r="F77" s="95"/>
      <c r="G77" s="95" t="s">
        <v>1126</v>
      </c>
      <c r="H77" s="146">
        <f>H72 * H74</f>
        <v>444.56674727373769</v>
      </c>
    </row>
    <row r="78" spans="4:8" x14ac:dyDescent="0.25">
      <c r="E78" t="s">
        <v>1127</v>
      </c>
      <c r="G78" t="s">
        <v>1126</v>
      </c>
      <c r="H78" s="431">
        <v>-30.988769418649966</v>
      </c>
    </row>
    <row r="79" spans="4:8" x14ac:dyDescent="0.25">
      <c r="E79" t="s">
        <v>1128</v>
      </c>
      <c r="G79" t="s">
        <v>1126</v>
      </c>
      <c r="H79" s="431">
        <v>0</v>
      </c>
    </row>
    <row r="80" spans="4:8" x14ac:dyDescent="0.25">
      <c r="E80" s="96" t="s">
        <v>1129</v>
      </c>
      <c r="F80" s="96"/>
      <c r="G80" s="96" t="s">
        <v>1126</v>
      </c>
      <c r="H80" s="430">
        <v>0.19933851619162407</v>
      </c>
    </row>
    <row r="81" spans="3:27" x14ac:dyDescent="0.25">
      <c r="E81" s="145" t="s">
        <v>1161</v>
      </c>
      <c r="F81" s="145"/>
      <c r="G81" s="145" t="s">
        <v>1126</v>
      </c>
      <c r="H81" s="146">
        <f>SUM(H77:H80)</f>
        <v>413.77731637127937</v>
      </c>
    </row>
    <row r="82" spans="3:27" x14ac:dyDescent="0.25">
      <c r="E82" s="145" t="s">
        <v>1161</v>
      </c>
      <c r="F82" s="145"/>
      <c r="G82" s="145" t="s">
        <v>277</v>
      </c>
      <c r="H82" s="146">
        <f>H81 * million</f>
        <v>413777316.37127936</v>
      </c>
    </row>
    <row r="84" spans="3:27" x14ac:dyDescent="0.25">
      <c r="D84" s="75" t="s">
        <v>1166</v>
      </c>
    </row>
    <row r="85" spans="3:27" x14ac:dyDescent="0.25">
      <c r="E85" s="95" t="s">
        <v>1174</v>
      </c>
      <c r="F85" s="95"/>
      <c r="G85" s="95" t="s">
        <v>277</v>
      </c>
      <c r="H85" s="427">
        <v>10882585.129460681</v>
      </c>
      <c r="J85" s="448">
        <v>0</v>
      </c>
    </row>
    <row r="86" spans="3:27" x14ac:dyDescent="0.25">
      <c r="E86" s="96" t="s">
        <v>1125</v>
      </c>
      <c r="F86" s="96"/>
      <c r="G86" s="96" t="s">
        <v>277</v>
      </c>
      <c r="H86" s="148">
        <f>H82 - H85</f>
        <v>402894731.24181867</v>
      </c>
    </row>
    <row r="88" spans="3:27" x14ac:dyDescent="0.25">
      <c r="D88" s="75" t="s">
        <v>827</v>
      </c>
    </row>
    <row r="89" spans="3:27" x14ac:dyDescent="0.25">
      <c r="E89" s="95" t="s">
        <v>1150</v>
      </c>
      <c r="F89" s="95"/>
      <c r="G89" s="95" t="s">
        <v>277</v>
      </c>
      <c r="H89" s="149">
        <f>H50 * H$74 * million</f>
        <v>0</v>
      </c>
    </row>
    <row r="90" spans="3:27" x14ac:dyDescent="0.25">
      <c r="E90" s="96" t="s">
        <v>1151</v>
      </c>
      <c r="F90" s="96"/>
      <c r="G90" s="96" t="s">
        <v>277</v>
      </c>
      <c r="H90" s="150">
        <f>H51 * H$74 * million</f>
        <v>0</v>
      </c>
    </row>
    <row r="92" spans="3:27" x14ac:dyDescent="0.25">
      <c r="D92" s="75" t="s">
        <v>310</v>
      </c>
      <c r="G92" t="s">
        <v>277</v>
      </c>
      <c r="H92" s="151">
        <f>H47 * H$74 * million</f>
        <v>2268588.090305747</v>
      </c>
    </row>
    <row r="94" spans="3:27" x14ac:dyDescent="0.25">
      <c r="C94" s="93" t="str">
        <f ca="1">INDEX('Version control'!$H$41:$H$64,MATCH($A$1,'Version control'!$F$41:$F$64,0),1)&amp;"-D: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25">
      <c r="E96" s="94" t="s">
        <v>311</v>
      </c>
      <c r="G96" t="s">
        <v>167</v>
      </c>
      <c r="H96" s="435">
        <v>4.8399999999999999E-2</v>
      </c>
      <c r="I96" t="s">
        <v>154</v>
      </c>
      <c r="J96" s="3" t="s">
        <v>165</v>
      </c>
    </row>
    <row r="97" spans="2:27" x14ac:dyDescent="0.25">
      <c r="E97" s="94" t="s">
        <v>128</v>
      </c>
      <c r="G97" s="94" t="s">
        <v>312</v>
      </c>
      <c r="H97" s="424">
        <v>365</v>
      </c>
    </row>
    <row r="98" spans="2:27" x14ac:dyDescent="0.25">
      <c r="E98" t="s">
        <v>313</v>
      </c>
      <c r="G98" t="s">
        <v>147</v>
      </c>
      <c r="H98" s="113">
        <f>days_in_year * hours_in_day</f>
        <v>8760</v>
      </c>
    </row>
    <row r="100" spans="2:27" x14ac:dyDescent="0.25">
      <c r="C100" s="93" t="str">
        <f ca="1">INDEX('Version control'!$H$41:$H$64,MATCH($A$1,'Version control'!$F$41:$F$64,0),1)&amp;"-E: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25">
      <c r="E102" s="94" t="s">
        <v>314</v>
      </c>
      <c r="G102" t="s">
        <v>315</v>
      </c>
      <c r="H102" s="428">
        <f>H46*H74*1000000</f>
        <v>11522323.622061759</v>
      </c>
      <c r="I102" t="s">
        <v>154</v>
      </c>
      <c r="J102" t="s">
        <v>316</v>
      </c>
    </row>
    <row r="103" spans="2:27" x14ac:dyDescent="0.25">
      <c r="H103" s="106"/>
    </row>
    <row r="104" spans="2:27" x14ac:dyDescent="0.25">
      <c r="C104" s="93" t="str">
        <f ca="1">INDEX('Version control'!$H$41:$H$64,MATCH($A$1,'Version control'!$F$41:$F$64,0),1)&amp;"-F: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25">
      <c r="H105" s="106"/>
    </row>
    <row r="106" spans="2:27" x14ac:dyDescent="0.25">
      <c r="E106" s="75" t="s">
        <v>317</v>
      </c>
      <c r="F106" s="75"/>
      <c r="H106" s="106"/>
      <c r="I106" t="s">
        <v>154</v>
      </c>
      <c r="J106" t="s">
        <v>170</v>
      </c>
    </row>
    <row r="107" spans="2:27" x14ac:dyDescent="0.25">
      <c r="F107" s="98" t="s">
        <v>318</v>
      </c>
      <c r="G107" s="95" t="s">
        <v>315</v>
      </c>
      <c r="H107" s="427">
        <v>46484265.845722906</v>
      </c>
    </row>
    <row r="108" spans="2:27" x14ac:dyDescent="0.25">
      <c r="F108" s="94" t="s">
        <v>319</v>
      </c>
      <c r="G108" t="s">
        <v>315</v>
      </c>
      <c r="H108" s="428">
        <v>164105017.06092203</v>
      </c>
      <c r="R108" s="105"/>
      <c r="S108" s="105"/>
    </row>
    <row r="109" spans="2:27" x14ac:dyDescent="0.25">
      <c r="F109" s="101" t="s">
        <v>320</v>
      </c>
      <c r="G109" s="96" t="s">
        <v>315</v>
      </c>
      <c r="H109" s="430">
        <f>H45*H74*1000000</f>
        <v>27866262.016899642</v>
      </c>
      <c r="R109" s="105"/>
      <c r="S109" s="105"/>
    </row>
    <row r="111" spans="2:27" x14ac:dyDescent="0.25">
      <c r="B111" s="85" t="s">
        <v>231</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25">
      <c r="E113" t="s">
        <v>232</v>
      </c>
      <c r="G113" s="6" t="s">
        <v>56</v>
      </c>
      <c r="H113" s="109">
        <f t="array" ref="H113">SUM(IF(ISERROR(H6:H110), 1))</f>
        <v>0</v>
      </c>
    </row>
    <row r="115" spans="2:27" x14ac:dyDescent="0.25">
      <c r="E115" s="75" t="s">
        <v>321</v>
      </c>
    </row>
    <row r="116" spans="2:27" x14ac:dyDescent="0.25">
      <c r="F116" s="95" t="s">
        <v>322</v>
      </c>
      <c r="G116" s="110" t="s">
        <v>56</v>
      </c>
      <c r="H116" s="111">
        <f>IF(SUM(H16:H18) = hours_in_year, 0, 1)</f>
        <v>0</v>
      </c>
    </row>
    <row r="117" spans="2:27" x14ac:dyDescent="0.25">
      <c r="F117" s="96" t="s">
        <v>323</v>
      </c>
      <c r="G117" s="77" t="s">
        <v>56</v>
      </c>
      <c r="H117" s="112">
        <f>IF(SUM(H21:H23) = hours_in_year, 0, 1)</f>
        <v>0</v>
      </c>
    </row>
    <row r="119" spans="2:27" x14ac:dyDescent="0.25">
      <c r="E119" t="s">
        <v>239</v>
      </c>
      <c r="G119" s="6" t="s">
        <v>56</v>
      </c>
      <c r="H119" s="113">
        <f>SUM(H113,H116:H117)</f>
        <v>0</v>
      </c>
    </row>
    <row r="121" spans="2:27" x14ac:dyDescent="0.25">
      <c r="B121" s="85" t="s">
        <v>107</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7">
      <formula1>365</formula1>
      <formula2>366</formula2>
    </dataValidation>
    <dataValidation type="decimal" operator="greaterThanOrEqual" allowBlank="1" showInputMessage="1" showErrorMessage="1" sqref="H107:H109 H16:H18 H102 H21:H23">
      <formula1>0</formula1>
    </dataValidation>
    <dataValidation type="decimal" operator="greaterThanOrEqual" allowBlank="1" showInputMessage="1" showErrorMessage="1" error="The rate of return must be a non-negative percentage value." sqref="H96">
      <formula1>0</formula1>
    </dataValidation>
    <dataValidation type="whole" allowBlank="1" showInputMessage="1" showErrorMessage="1" sqref="H98">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8" ma:contentTypeDescription="Create a new document." ma:contentTypeScope="" ma:versionID="e1d8423f53ac4c8d2986e8061fdb5b45">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57702440390c1dc59e45f9fc1173653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df11e38d-df47-44a9-bb81-9cb5331e96c9"/>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dcbf8a88-e063-4a69-82e9-42d02808f636"/>
  </ds:schemaRefs>
</ds:datastoreItem>
</file>

<file path=customXml/itemProps3.xml><?xml version="1.0" encoding="utf-8"?>
<ds:datastoreItem xmlns:ds="http://schemas.openxmlformats.org/officeDocument/2006/customXml" ds:itemID="{1455B763-4CC9-417E-8D0F-8F1E56B67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2024-12-11T13:54:43Z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