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T:\RevApr27\Charging Models From DCUSA\Broken Links\"/>
    </mc:Choice>
  </mc:AlternateContent>
  <xr:revisionPtr revIDLastSave="0" documentId="13_ncr:1_{0B5840B5-17A9-48BF-AC5A-17E2722A59CF}" xr6:coauthVersionLast="47" xr6:coauthVersionMax="47" xr10:uidLastSave="{00000000-0000-0000-0000-000000000000}"/>
  <workbookProtection lockStructure="1"/>
  <bookViews>
    <workbookView xWindow="-120" yWindow="-120" windowWidth="38640" windowHeight="15840" tabRatio="933" firstSheet="5" activeTab="8"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69" i="87" l="1"/>
  <c r="M174" i="87" s="1"/>
  <c r="M179" i="87" s="1"/>
  <c r="K169" i="87"/>
  <c r="K174" i="87" s="1"/>
  <c r="K179" i="87" s="1"/>
  <c r="J169" i="87"/>
  <c r="J174" i="87" s="1"/>
  <c r="J179" i="87" s="1"/>
  <c r="L169" i="87"/>
  <c r="L174" i="87" s="1"/>
  <c r="L179" i="87" s="1"/>
  <c r="N169" i="87"/>
  <c r="N174" i="87" s="1"/>
  <c r="N179" i="87" s="1"/>
  <c r="L170" i="87" l="1"/>
  <c r="L175" i="87" s="1"/>
  <c r="L180" i="87" s="1"/>
  <c r="M170" i="87"/>
  <c r="M175" i="87" s="1"/>
  <c r="M180" i="87" s="1"/>
  <c r="K170" i="87"/>
  <c r="K175" i="87" s="1"/>
  <c r="K180" i="87" s="1"/>
  <c r="J170" i="87"/>
  <c r="J175" i="87" s="1"/>
  <c r="J180" i="87" s="1"/>
  <c r="N170" i="87"/>
  <c r="N175" i="87" s="1"/>
  <c r="N180" i="87" s="1"/>
  <c r="L171" i="87" l="1"/>
  <c r="L176" i="87" s="1"/>
  <c r="L181" i="87" s="1"/>
  <c r="K171" i="87"/>
  <c r="K176" i="87" s="1"/>
  <c r="K181" i="87" s="1"/>
  <c r="J171" i="87"/>
  <c r="J176" i="87" s="1"/>
  <c r="J181" i="87" s="1"/>
  <c r="N171" i="87"/>
  <c r="N176" i="87" s="1"/>
  <c r="N181" i="87" s="1"/>
  <c r="M171" i="87"/>
  <c r="M176" i="87" s="1"/>
  <c r="M181" i="87" s="1"/>
  <c r="H109" i="89" l="1"/>
  <c r="H102" i="89"/>
  <c r="H92" i="89" l="1"/>
  <c r="H29" i="82" s="1"/>
  <c r="H56" i="89"/>
  <c r="H57" i="89" s="1"/>
  <c r="H90" i="89"/>
  <c r="H31" i="112" s="1"/>
  <c r="H89" i="89"/>
  <c r="H30" i="112" s="1"/>
  <c r="H66" i="89"/>
  <c r="H64" i="41" l="1"/>
  <c r="H65" i="41"/>
  <c r="H69" i="89"/>
  <c r="H72" i="89" s="1"/>
  <c r="H77" i="89" s="1"/>
  <c r="H81" i="89" s="1"/>
  <c r="H82" i="89" s="1"/>
  <c r="Y27" i="112" l="1"/>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R147" i="105"/>
  <c r="W148" i="105"/>
  <c r="AB147"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M23" i="112"/>
  <c r="M54" i="112" s="1"/>
  <c r="K23" i="112"/>
  <c r="K54" i="112" s="1"/>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M50" i="112" l="1"/>
  <c r="M60" i="112" s="1"/>
  <c r="Y50" i="112"/>
  <c r="Y60" i="112" s="1"/>
  <c r="Q50" i="112"/>
  <c r="Q60" i="112" s="1"/>
  <c r="R50" i="112"/>
  <c r="R60" i="112" s="1"/>
  <c r="T50" i="112"/>
  <c r="T60" i="112" s="1"/>
  <c r="U50" i="112"/>
  <c r="U60" i="112" s="1"/>
  <c r="S50" i="112"/>
  <c r="S60" i="112" s="1"/>
  <c r="V50" i="112"/>
  <c r="V60" i="112" s="1"/>
  <c r="K50" i="112"/>
  <c r="K60" i="112" s="1"/>
  <c r="W50" i="112"/>
  <c r="W60" i="112" s="1"/>
  <c r="X50" i="112"/>
  <c r="X60" i="112" s="1"/>
  <c r="V37" i="112"/>
  <c r="M36" i="112"/>
  <c r="U37" i="112"/>
  <c r="M37" i="112"/>
  <c r="T36" i="112"/>
  <c r="T37" i="112"/>
  <c r="S36" i="112"/>
  <c r="K36" i="112"/>
  <c r="S37" i="112"/>
  <c r="K37" i="112"/>
  <c r="R36" i="112"/>
  <c r="R37" i="112"/>
  <c r="Y36" i="112"/>
  <c r="Q36" i="112"/>
  <c r="Y37" i="112"/>
  <c r="X37" i="112"/>
  <c r="W36" i="112"/>
  <c r="U36" i="112"/>
  <c r="Q37" i="112"/>
  <c r="X36" i="112"/>
  <c r="W37" i="112"/>
  <c r="V36" i="112"/>
  <c r="C33" i="112"/>
  <c r="G196" i="85" s="1"/>
  <c r="C48" i="112"/>
  <c r="G197" i="85" s="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W26" i="76"/>
  <c r="V26" i="76"/>
  <c r="U26" i="76"/>
  <c r="T26" i="76"/>
  <c r="S26" i="76"/>
  <c r="R26" i="76"/>
  <c r="Y25" i="76"/>
  <c r="X25" i="76"/>
  <c r="O26" i="76"/>
  <c r="N26" i="76"/>
  <c r="M26" i="76"/>
  <c r="L26" i="76"/>
  <c r="K26" i="76"/>
  <c r="J26" i="76"/>
  <c r="P25" i="76"/>
  <c r="M25" i="76"/>
  <c r="K25" i="76"/>
  <c r="W22" i="111"/>
  <c r="V22" i="111"/>
  <c r="U22" i="111"/>
  <c r="T22" i="111"/>
  <c r="S22" i="111"/>
  <c r="Y21" i="111"/>
  <c r="X21" i="111"/>
  <c r="R22" i="111"/>
  <c r="O22" i="111"/>
  <c r="N22" i="111"/>
  <c r="M22" i="111"/>
  <c r="L22" i="111"/>
  <c r="K22" i="111"/>
  <c r="J22" i="111"/>
  <c r="P21" i="111"/>
  <c r="M21" i="111"/>
  <c r="K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W249" i="22"/>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R31" i="53"/>
  <c r="U58" i="80"/>
  <c r="S57" i="80"/>
  <c r="W18" i="74"/>
  <c r="Y57" i="80"/>
  <c r="V33" i="53"/>
  <c r="S58" i="80"/>
  <c r="V31" i="53"/>
  <c r="V189" i="80"/>
  <c r="W33" i="53"/>
  <c r="T16" i="11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8" i="111"/>
  <c r="W34" i="111" s="1"/>
  <c r="Y27" i="111"/>
  <c r="Y33"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11" i="105" l="1"/>
  <c r="W188" i="105"/>
  <c r="W108" i="105"/>
  <c r="W185" i="105"/>
  <c r="AB106" i="105"/>
  <c r="AB183" i="105"/>
  <c r="AB107" i="105"/>
  <c r="AB184" i="105"/>
  <c r="AB110" i="105"/>
  <c r="AB187" i="105"/>
  <c r="W105" i="105"/>
  <c r="W182" i="105"/>
  <c r="W109" i="105"/>
  <c r="W186" i="105"/>
  <c r="W106" i="105"/>
  <c r="W183" i="105"/>
  <c r="AB111" i="105"/>
  <c r="AB188" i="105"/>
  <c r="AB109" i="105"/>
  <c r="AB186" i="105"/>
  <c r="AB105" i="105"/>
  <c r="AB182" i="105"/>
  <c r="W107" i="105"/>
  <c r="W184" i="105"/>
  <c r="W110" i="105"/>
  <c r="W187"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AB112" i="105"/>
  <c r="W189" i="105"/>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4"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2" i="55"/>
  <c r="H70" i="23" a="1"/>
  <c r="H70" i="23" s="1"/>
  <c r="A4" i="23" s="1"/>
  <c r="A4" i="70"/>
  <c r="J46" i="55"/>
  <c r="P386" i="22" l="1"/>
  <c r="P506" i="22" s="1"/>
  <c r="AC57" i="41" s="1"/>
  <c r="K354" i="22"/>
  <c r="K487" i="22" s="1"/>
  <c r="K54"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S55" i="81"/>
  <c r="M40" i="81"/>
  <c r="M48" i="81" s="1"/>
  <c r="M55"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8"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R174" i="31"/>
  <c r="N155" i="31"/>
  <c r="Q155" i="31"/>
  <c r="J157" i="31"/>
  <c r="S174" i="31"/>
  <c r="O176" i="31"/>
  <c r="K157" i="31"/>
  <c r="Q157" i="31"/>
  <c r="J176" i="31"/>
  <c r="M155" i="31"/>
  <c r="J155" i="31"/>
  <c r="N157" i="31"/>
  <c r="L157" i="31"/>
  <c r="M148" i="31"/>
  <c r="O55" i="81"/>
  <c r="N174" i="31"/>
  <c r="K174" i="31"/>
  <c r="P174" i="31"/>
  <c r="R176" i="31"/>
  <c r="S176" i="31"/>
  <c r="P155" i="31"/>
  <c r="R155" i="31"/>
  <c r="K155" i="31"/>
  <c r="S155" i="31"/>
  <c r="R157" i="31"/>
  <c r="O157" i="31"/>
  <c r="R148" i="31"/>
  <c r="Q174" i="31"/>
  <c r="M176" i="31"/>
  <c r="Q147" i="31"/>
  <c r="R55" i="8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O188" i="80"/>
  <c r="O191" i="80" s="1"/>
  <c r="O192" i="80" s="1"/>
  <c r="K16" i="111"/>
  <c r="K18" i="74"/>
  <c r="J32" i="53"/>
  <c r="J57" i="80"/>
  <c r="Q189" i="80"/>
  <c r="Q191" i="80" s="1"/>
  <c r="Q192" i="80" s="1"/>
  <c r="J28" i="111"/>
  <c r="J34"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J80" i="73" a="1"/>
  <c r="J55" i="83" a="1"/>
  <c r="J34" i="80" a="1"/>
  <c r="L59" i="80"/>
  <c r="L200" i="80" s="1"/>
  <c r="L20" i="74" s="1"/>
  <c r="L28" i="111"/>
  <c r="L34" i="111" s="1"/>
  <c r="K200" i="80"/>
  <c r="K20" i="74" s="1"/>
  <c r="K34" i="53"/>
  <c r="L191" i="80"/>
  <c r="L192" i="80" s="1"/>
  <c r="P59" i="80"/>
  <c r="P200" i="80" s="1"/>
  <c r="P20" i="74" s="1"/>
  <c r="L34" i="53"/>
  <c r="M59" i="80"/>
  <c r="M27" i="111"/>
  <c r="M33" i="111" s="1"/>
  <c r="Q59" i="80"/>
  <c r="Q200" i="80" s="1"/>
  <c r="Q20" i="74" s="1"/>
  <c r="O59" i="80"/>
  <c r="O200" i="80" s="1"/>
  <c r="O20" i="74" s="1"/>
  <c r="P20" i="31"/>
  <c r="O21" i="31"/>
  <c r="O23" i="31" s="1"/>
  <c r="K255" i="80"/>
  <c r="K258" i="80"/>
  <c r="K252" i="80"/>
  <c r="K259" i="80"/>
  <c r="K257" i="80"/>
  <c r="K253" i="80"/>
  <c r="K256" i="80"/>
  <c r="K254" i="80"/>
  <c r="P27" i="111"/>
  <c r="P33" i="111" s="1"/>
  <c r="P34" i="53"/>
  <c r="K28" i="111"/>
  <c r="K34" i="111" s="1"/>
  <c r="K27" i="111"/>
  <c r="K33" i="111" s="1"/>
  <c r="O34" i="53"/>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V131" i="80" l="1"/>
  <c r="V85" i="80"/>
  <c r="W84" i="80"/>
  <c r="W130" i="80"/>
  <c r="W82" i="80"/>
  <c r="U105" i="80"/>
  <c r="U82" i="80"/>
  <c r="W105" i="80"/>
  <c r="V107" i="80"/>
  <c r="T90" i="80"/>
  <c r="P202" i="80"/>
  <c r="P206" i="80" s="1"/>
  <c r="X128" i="80"/>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U133" i="80"/>
  <c r="U110" i="80"/>
  <c r="V130" i="80"/>
  <c r="U108" i="80"/>
  <c r="X83" i="80"/>
  <c r="U83" i="80"/>
  <c r="Y105" i="80"/>
  <c r="W135" i="80"/>
  <c r="Y128" i="80"/>
  <c r="V132" i="80"/>
  <c r="V129" i="80"/>
  <c r="U84" i="80"/>
  <c r="Y129" i="80"/>
  <c r="V106" i="80"/>
  <c r="V86" i="80"/>
  <c r="U106" i="80"/>
  <c r="W89" i="80"/>
  <c r="R204" i="80"/>
  <c r="R206" i="80" s="1"/>
  <c r="U107" i="80"/>
  <c r="W85" i="80"/>
  <c r="X109" i="80"/>
  <c r="V135" i="80"/>
  <c r="X134" i="80"/>
  <c r="Y204" i="80"/>
  <c r="T108" i="80"/>
  <c r="Y132" i="80"/>
  <c r="Y135" i="80"/>
  <c r="X130" i="80"/>
  <c r="X135" i="80"/>
  <c r="Y134" i="80"/>
  <c r="W133" i="80"/>
  <c r="X90" i="80"/>
  <c r="X133" i="80"/>
  <c r="T132" i="80"/>
  <c r="T152" i="83"/>
  <c r="T22" i="71" s="1"/>
  <c r="T127" i="71" s="1"/>
  <c r="X182" i="83"/>
  <c r="X53" i="71" s="1"/>
  <c r="X158" i="71" s="1"/>
  <c r="Y181" i="83"/>
  <c r="Y52" i="71" s="1"/>
  <c r="Y157" i="71" s="1"/>
  <c r="P77" i="53"/>
  <c r="P83" i="53" s="1"/>
  <c r="O79" i="53"/>
  <c r="O85" i="53" s="1"/>
  <c r="P79" i="53"/>
  <c r="P85" i="53" s="1"/>
  <c r="O77" i="53"/>
  <c r="O83" i="53" s="1"/>
  <c r="Y152" i="83"/>
  <c r="Y22" i="71" s="1"/>
  <c r="Y127" i="71" s="1"/>
  <c r="X153" i="83"/>
  <c r="X23" i="71" s="1"/>
  <c r="X128" i="71" s="1"/>
  <c r="T181" i="83"/>
  <c r="T52" i="71" s="1"/>
  <c r="T157" i="71" s="1"/>
  <c r="X124" i="83"/>
  <c r="T210" i="83"/>
  <c r="T82" i="71" s="1"/>
  <c r="T187" i="71" s="1"/>
  <c r="Y210" i="83"/>
  <c r="Y82" i="71" s="1"/>
  <c r="Y187" i="71" s="1"/>
  <c r="X131" i="80"/>
  <c r="U136" i="80"/>
  <c r="Y202" i="80"/>
  <c r="X210" i="83"/>
  <c r="X82" i="71" s="1"/>
  <c r="X187" i="71" s="1"/>
  <c r="Y106" i="80"/>
  <c r="V134" i="80"/>
  <c r="X89" i="80"/>
  <c r="X86" i="80"/>
  <c r="T131" i="80"/>
  <c r="W108" i="80"/>
  <c r="Y112" i="80"/>
  <c r="T105" i="80"/>
  <c r="X108" i="80"/>
  <c r="U202" i="80"/>
  <c r="X107" i="80"/>
  <c r="W129" i="80"/>
  <c r="S202" i="80"/>
  <c r="S206" i="80" s="1"/>
  <c r="T89" i="80"/>
  <c r="T112" i="80"/>
  <c r="V89" i="80"/>
  <c r="V88" i="80"/>
  <c r="L202" i="80"/>
  <c r="L206" i="80" s="1"/>
  <c r="Y136" i="80"/>
  <c r="Y113" i="80"/>
  <c r="U90" i="80"/>
  <c r="U204" i="80"/>
  <c r="W83" i="80"/>
  <c r="V211" i="83"/>
  <c r="V83" i="71" s="1"/>
  <c r="V188" i="71" s="1"/>
  <c r="T82" i="80"/>
  <c r="V182" i="83"/>
  <c r="V53" i="71" s="1"/>
  <c r="V158" i="71" s="1"/>
  <c r="V133" i="80"/>
  <c r="X123" i="83"/>
  <c r="U124" i="83"/>
  <c r="X181" i="83"/>
  <c r="X52" i="71" s="1"/>
  <c r="X157" i="71" s="1"/>
  <c r="V153" i="83"/>
  <c r="V23" i="71" s="1"/>
  <c r="V128" i="71" s="1"/>
  <c r="U211" i="83"/>
  <c r="U83" i="71" s="1"/>
  <c r="U188" i="71" s="1"/>
  <c r="V204" i="80"/>
  <c r="V136" i="80"/>
  <c r="U182" i="83"/>
  <c r="U53" i="71" s="1"/>
  <c r="U158" i="71" s="1"/>
  <c r="V110" i="80"/>
  <c r="T106" i="80"/>
  <c r="V90" i="80"/>
  <c r="Y110" i="80"/>
  <c r="T83" i="80"/>
  <c r="U111" i="80"/>
  <c r="W152" i="83"/>
  <c r="W22" i="71" s="1"/>
  <c r="W127" i="71" s="1"/>
  <c r="W153" i="83"/>
  <c r="W23" i="71" s="1"/>
  <c r="W128" i="71" s="1"/>
  <c r="W123" i="83"/>
  <c r="Y182" i="83"/>
  <c r="Y53" i="71" s="1"/>
  <c r="Y158" i="71" s="1"/>
  <c r="T87" i="80"/>
  <c r="Y87" i="80"/>
  <c r="T133" i="80"/>
  <c r="U132" i="80"/>
  <c r="U134" i="80"/>
  <c r="W182" i="83"/>
  <c r="W53" i="71" s="1"/>
  <c r="W158" i="71" s="1"/>
  <c r="V202" i="80"/>
  <c r="U109" i="80"/>
  <c r="W90" i="80"/>
  <c r="W136" i="80"/>
  <c r="X111" i="80"/>
  <c r="X113" i="80"/>
  <c r="U210" i="83"/>
  <c r="U82" i="71" s="1"/>
  <c r="U187" i="71" s="1"/>
  <c r="Q204" i="80"/>
  <c r="Q206" i="80" s="1"/>
  <c r="U181" i="83"/>
  <c r="U52" i="71" s="1"/>
  <c r="U157" i="71" s="1"/>
  <c r="Y84" i="80"/>
  <c r="Y86" i="80"/>
  <c r="T84" i="80"/>
  <c r="T153" i="83"/>
  <c r="T23" i="71" s="1"/>
  <c r="T128" i="71" s="1"/>
  <c r="U123" i="83"/>
  <c r="T182" i="83"/>
  <c r="T53" i="71" s="1"/>
  <c r="T158" i="71" s="1"/>
  <c r="W86" i="80"/>
  <c r="X202" i="80"/>
  <c r="X206" i="80" s="1"/>
  <c r="T211" i="83"/>
  <c r="T83" i="71" s="1"/>
  <c r="T188" i="71" s="1"/>
  <c r="V152" i="83"/>
  <c r="V22" i="71" s="1"/>
  <c r="V127" i="71" s="1"/>
  <c r="W88" i="80"/>
  <c r="Y107" i="80"/>
  <c r="W134" i="80"/>
  <c r="W109" i="80"/>
  <c r="T111" i="80"/>
  <c r="T107" i="80"/>
  <c r="T109" i="80"/>
  <c r="T136" i="80"/>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V145" i="80"/>
  <c r="V171" i="80" s="1"/>
  <c r="W144" i="80"/>
  <c r="W170" i="80" s="1"/>
  <c r="U142" i="80"/>
  <c r="U168" i="80" s="1"/>
  <c r="X142" i="80"/>
  <c r="X168" i="80" s="1"/>
  <c r="V144" i="80"/>
  <c r="V170" i="80" s="1"/>
  <c r="Y148" i="80"/>
  <c r="Y174" i="80" s="1"/>
  <c r="X143" i="80"/>
  <c r="X169" i="80" s="1"/>
  <c r="T150" i="80"/>
  <c r="T176" i="80" s="1"/>
  <c r="U145" i="80"/>
  <c r="U171" i="80" s="1"/>
  <c r="N145" i="41"/>
  <c r="P145" i="41"/>
  <c r="P147" i="41" s="1" a="1"/>
  <c r="AG145" i="41"/>
  <c r="AG147" i="41" s="1" a="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75" i="80"/>
  <c r="R87" i="80" s="1"/>
  <c r="R95" i="83"/>
  <c r="R94" i="80"/>
  <c r="R106" i="80" s="1"/>
  <c r="R83" i="83"/>
  <c r="R71" i="80"/>
  <c r="R83" i="80" s="1"/>
  <c r="R84" i="83"/>
  <c r="R72" i="80"/>
  <c r="R84" i="80" s="1"/>
  <c r="R112" i="83"/>
  <c r="R122" i="80"/>
  <c r="R134" i="80" s="1"/>
  <c r="R106" i="83"/>
  <c r="R211" i="83" s="1"/>
  <c r="R83" i="71" s="1"/>
  <c r="R105" i="83"/>
  <c r="R210" i="83" s="1"/>
  <c r="R82" i="71" s="1"/>
  <c r="R116" i="80"/>
  <c r="R128" i="80" s="1"/>
  <c r="R101" i="83"/>
  <c r="R100" i="80"/>
  <c r="R112" i="80" s="1"/>
  <c r="S87" i="83"/>
  <c r="S75" i="80"/>
  <c r="S87" i="80" s="1"/>
  <c r="S86" i="83"/>
  <c r="S74" i="80"/>
  <c r="S86" i="80" s="1"/>
  <c r="S100" i="83"/>
  <c r="S99" i="80"/>
  <c r="S111" i="80" s="1"/>
  <c r="S102" i="83"/>
  <c r="S101" i="80"/>
  <c r="S113" i="80" s="1"/>
  <c r="S96" i="83"/>
  <c r="S95" i="80"/>
  <c r="S107" i="80" s="1"/>
  <c r="S93" i="83"/>
  <c r="S181" i="83" s="1"/>
  <c r="S52" i="71" s="1"/>
  <c r="S94" i="83"/>
  <c r="S182" i="83" s="1"/>
  <c r="S53" i="71" s="1"/>
  <c r="S93" i="80"/>
  <c r="S105" i="80" s="1"/>
  <c r="S111" i="83"/>
  <c r="S121" i="80"/>
  <c r="S133" i="80" s="1"/>
  <c r="R100" i="83"/>
  <c r="R99" i="80"/>
  <c r="R111" i="80" s="1"/>
  <c r="R98" i="83"/>
  <c r="R97" i="80"/>
  <c r="R109" i="80" s="1"/>
  <c r="R110" i="83"/>
  <c r="R120" i="80"/>
  <c r="R132" i="80" s="1"/>
  <c r="R86" i="83"/>
  <c r="R74" i="80"/>
  <c r="R86" i="80" s="1"/>
  <c r="R109" i="83"/>
  <c r="R119" i="80"/>
  <c r="R131" i="80" s="1"/>
  <c r="R94" i="83"/>
  <c r="R182" i="83" s="1"/>
  <c r="R53" i="71" s="1"/>
  <c r="R93" i="83"/>
  <c r="R181" i="83" s="1"/>
  <c r="R52" i="71" s="1"/>
  <c r="R93" i="80"/>
  <c r="R105" i="80" s="1"/>
  <c r="S109" i="83"/>
  <c r="S119" i="80"/>
  <c r="S131" i="80" s="1"/>
  <c r="S85" i="83"/>
  <c r="S73" i="80"/>
  <c r="S85" i="80" s="1"/>
  <c r="S108" i="83"/>
  <c r="S118" i="80"/>
  <c r="S130" i="80" s="1"/>
  <c r="S95" i="83"/>
  <c r="S94" i="80"/>
  <c r="S106" i="80" s="1"/>
  <c r="S88" i="83"/>
  <c r="S76" i="80"/>
  <c r="S88" i="80" s="1"/>
  <c r="S114" i="83"/>
  <c r="S124" i="80"/>
  <c r="S136" i="80" s="1"/>
  <c r="R89" i="83"/>
  <c r="R77" i="80"/>
  <c r="R89" i="80" s="1"/>
  <c r="R111" i="83"/>
  <c r="R121" i="80"/>
  <c r="R133" i="80" s="1"/>
  <c r="R107" i="83"/>
  <c r="R117" i="80"/>
  <c r="R129" i="80" s="1"/>
  <c r="R108" i="83"/>
  <c r="R118" i="80"/>
  <c r="R130" i="80" s="1"/>
  <c r="R90" i="83"/>
  <c r="R78" i="80"/>
  <c r="R90" i="80" s="1"/>
  <c r="R114" i="83"/>
  <c r="R124" i="80"/>
  <c r="R136" i="80" s="1"/>
  <c r="R82" i="83"/>
  <c r="R153" i="83" s="1"/>
  <c r="R23" i="71" s="1"/>
  <c r="R81" i="83"/>
  <c r="R152" i="83" s="1"/>
  <c r="R22" i="71" s="1"/>
  <c r="R127" i="71" s="1"/>
  <c r="R70" i="80"/>
  <c r="R82" i="80" s="1"/>
  <c r="S89" i="83"/>
  <c r="S77" i="80"/>
  <c r="S89" i="80" s="1"/>
  <c r="S99" i="83"/>
  <c r="S98" i="80"/>
  <c r="S110" i="80" s="1"/>
  <c r="S107" i="83"/>
  <c r="S117" i="80"/>
  <c r="S129" i="80" s="1"/>
  <c r="S84" i="83"/>
  <c r="S72" i="80"/>
  <c r="S84" i="80" s="1"/>
  <c r="S106" i="83"/>
  <c r="S211" i="83" s="1"/>
  <c r="S83" i="71" s="1"/>
  <c r="S105" i="83"/>
  <c r="S210" i="83" s="1"/>
  <c r="S82" i="71" s="1"/>
  <c r="S116" i="80"/>
  <c r="S128" i="80" s="1"/>
  <c r="S97" i="83"/>
  <c r="S96" i="80"/>
  <c r="S108" i="80" s="1"/>
  <c r="S82" i="83"/>
  <c r="S153" i="83" s="1"/>
  <c r="S23" i="71" s="1"/>
  <c r="S81" i="83"/>
  <c r="S152" i="83" s="1"/>
  <c r="S70" i="80"/>
  <c r="S82" i="80" s="1"/>
  <c r="R88" i="83"/>
  <c r="R76" i="80"/>
  <c r="R88" i="80" s="1"/>
  <c r="R113" i="83"/>
  <c r="R123" i="80"/>
  <c r="R135" i="80" s="1"/>
  <c r="R85" i="83"/>
  <c r="R73" i="80"/>
  <c r="R85" i="80" s="1"/>
  <c r="R102" i="83"/>
  <c r="R101" i="80"/>
  <c r="R113" i="80" s="1"/>
  <c r="R99" i="83"/>
  <c r="R98" i="80"/>
  <c r="R110" i="80" s="1"/>
  <c r="R96" i="83"/>
  <c r="R95" i="80"/>
  <c r="R107" i="80" s="1"/>
  <c r="R97" i="83"/>
  <c r="R96" i="80"/>
  <c r="R108" i="80" s="1"/>
  <c r="S98" i="83"/>
  <c r="S97" i="80"/>
  <c r="S109" i="80" s="1"/>
  <c r="S113" i="83"/>
  <c r="S123" i="80"/>
  <c r="S135" i="80" s="1"/>
  <c r="S110" i="83"/>
  <c r="S120" i="80"/>
  <c r="S132" i="80" s="1"/>
  <c r="S83" i="83"/>
  <c r="S71" i="80"/>
  <c r="S83" i="80" s="1"/>
  <c r="S112" i="83"/>
  <c r="S122" i="80"/>
  <c r="S134" i="80" s="1"/>
  <c r="S90" i="83"/>
  <c r="S78" i="80"/>
  <c r="S90" i="80" s="1"/>
  <c r="S101" i="83"/>
  <c r="S100" i="80"/>
  <c r="S112" i="80" s="1"/>
  <c r="H219" i="80" l="1"/>
  <c r="H218" i="80"/>
  <c r="H222" i="80"/>
  <c r="H220" i="80"/>
  <c r="H215" i="80"/>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L274" i="53"/>
  <c r="L84" i="83" s="1"/>
  <c r="L300" i="53"/>
  <c r="L112" i="83" s="1"/>
  <c r="M274" i="53"/>
  <c r="L290" i="53"/>
  <c r="L101" i="83" s="1"/>
  <c r="M277" i="53"/>
  <c r="M75" i="80" s="1"/>
  <c r="M87" i="80" s="1"/>
  <c r="L273" i="53"/>
  <c r="M288" i="53"/>
  <c r="M99" i="83" s="1"/>
  <c r="M302" i="53"/>
  <c r="L275" i="53"/>
  <c r="L291" i="53"/>
  <c r="L102" i="83"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289" i="53"/>
  <c r="L100" i="83" s="1"/>
  <c r="M301" i="53"/>
  <c r="M285" i="53"/>
  <c r="M284" i="53"/>
  <c r="M280" i="53"/>
  <c r="M296" i="53"/>
  <c r="M272" i="53"/>
  <c r="L301" i="53"/>
  <c r="L113" i="83" s="1"/>
  <c r="L298" i="53"/>
  <c r="L110" i="83" s="1"/>
  <c r="L288" i="53"/>
  <c r="L98" i="80" s="1"/>
  <c r="L110" i="80" s="1"/>
  <c r="L277" i="53"/>
  <c r="L87" i="83" s="1"/>
  <c r="L302" i="53"/>
  <c r="L114" i="83" s="1"/>
  <c r="L294" i="53"/>
  <c r="L116" i="80" s="1"/>
  <c r="L128" i="80" s="1"/>
  <c r="L295" i="53"/>
  <c r="L107" i="83" s="1"/>
  <c r="M275" i="53"/>
  <c r="M278" i="53"/>
  <c r="M273" i="53"/>
  <c r="M295" i="53"/>
  <c r="M290" i="53"/>
  <c r="M289" i="53"/>
  <c r="M287" i="53"/>
  <c r="L286" i="53"/>
  <c r="L280" i="53"/>
  <c r="L90" i="83" s="1"/>
  <c r="L287" i="53"/>
  <c r="L98" i="83" s="1"/>
  <c r="L299" i="53"/>
  <c r="L279" i="53"/>
  <c r="L89" i="83" s="1"/>
  <c r="M286" i="53"/>
  <c r="P295" i="53"/>
  <c r="P107" i="83" s="1"/>
  <c r="P285" i="53"/>
  <c r="P96" i="83" s="1"/>
  <c r="P300" i="53"/>
  <c r="P112" i="83"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75" i="53"/>
  <c r="P85" i="83" s="1"/>
  <c r="P297" i="53"/>
  <c r="P109" i="83" s="1"/>
  <c r="P284" i="53"/>
  <c r="P94" i="80" s="1"/>
  <c r="P106" i="80" s="1"/>
  <c r="P286" i="53"/>
  <c r="P96" i="80" s="1"/>
  <c r="P108" i="80" s="1"/>
  <c r="P280" i="53"/>
  <c r="P90" i="83" s="1"/>
  <c r="P294" i="53"/>
  <c r="P105" i="83" s="1"/>
  <c r="P210" i="83" s="1"/>
  <c r="P82" i="71" s="1"/>
  <c r="P289" i="53"/>
  <c r="P100" i="83" s="1"/>
  <c r="P277" i="53"/>
  <c r="P87" i="83" s="1"/>
  <c r="P279" i="53"/>
  <c r="P89" i="83" s="1"/>
  <c r="P298" i="53"/>
  <c r="P110" i="83" s="1"/>
  <c r="P287" i="53"/>
  <c r="P98" i="83" s="1"/>
  <c r="P273" i="53"/>
  <c r="P83" i="83" s="1"/>
  <c r="P288" i="53"/>
  <c r="P99" i="83" s="1"/>
  <c r="O277" i="53"/>
  <c r="O75" i="80" s="1"/>
  <c r="O87" i="80" s="1"/>
  <c r="P302" i="53"/>
  <c r="P114" i="83" s="1"/>
  <c r="O289" i="53"/>
  <c r="O99" i="80" s="1"/>
  <c r="O111" i="80" s="1"/>
  <c r="O280" i="53"/>
  <c r="O90" i="83" s="1"/>
  <c r="O285" i="53"/>
  <c r="O95" i="80" s="1"/>
  <c r="O107" i="80" s="1"/>
  <c r="P276" i="53"/>
  <c r="P86" i="83" s="1"/>
  <c r="P278" i="53"/>
  <c r="P88" i="83" s="1"/>
  <c r="O299" i="53"/>
  <c r="O111" i="83" s="1"/>
  <c r="O284" i="53"/>
  <c r="O95" i="83" s="1"/>
  <c r="O290" i="53"/>
  <c r="O101" i="83" s="1"/>
  <c r="O288" i="53"/>
  <c r="O99" i="83" s="1"/>
  <c r="O287" i="53"/>
  <c r="O98" i="83" s="1"/>
  <c r="O286" i="53"/>
  <c r="O96" i="80" s="1"/>
  <c r="O108" i="80" s="1"/>
  <c r="O294" i="53"/>
  <c r="O116" i="80" s="1"/>
  <c r="O128" i="80" s="1"/>
  <c r="O275" i="53"/>
  <c r="O85" i="83" s="1"/>
  <c r="O291" i="53"/>
  <c r="O102" i="83" s="1"/>
  <c r="O272" i="53"/>
  <c r="O82" i="83" s="1"/>
  <c r="O153" i="83" s="1"/>
  <c r="O23" i="71" s="1"/>
  <c r="L123" i="83"/>
  <c r="L124" i="83"/>
  <c r="M123" i="83"/>
  <c r="M124" i="83"/>
  <c r="O279" i="53"/>
  <c r="O89" i="83" s="1"/>
  <c r="O274" i="53"/>
  <c r="O84" i="83" s="1"/>
  <c r="O283" i="53"/>
  <c r="O93" i="83" s="1"/>
  <c r="O181" i="83" s="1"/>
  <c r="O52" i="71" s="1"/>
  <c r="O157" i="71" s="1"/>
  <c r="O123" i="80"/>
  <c r="O135" i="80" s="1"/>
  <c r="O298" i="53"/>
  <c r="O120" i="80" s="1"/>
  <c r="O132" i="80" s="1"/>
  <c r="O273" i="53"/>
  <c r="O83" i="83" s="1"/>
  <c r="O302" i="53"/>
  <c r="O114" i="83" s="1"/>
  <c r="O300" i="53"/>
  <c r="O122" i="80" s="1"/>
  <c r="O134" i="80" s="1"/>
  <c r="O295" i="53"/>
  <c r="O117" i="80" s="1"/>
  <c r="O129" i="80" s="1"/>
  <c r="O297" i="53"/>
  <c r="O119" i="80" s="1"/>
  <c r="O131" i="80" s="1"/>
  <c r="O278" i="53"/>
  <c r="O88" i="83" s="1"/>
  <c r="O296" i="53"/>
  <c r="O108" i="83" s="1"/>
  <c r="O276" i="53"/>
  <c r="O86" i="83" s="1"/>
  <c r="O124" i="83"/>
  <c r="O123" i="83"/>
  <c r="P124" i="83"/>
  <c r="P123" i="83"/>
  <c r="P108" i="83"/>
  <c r="P118" i="80"/>
  <c r="P130" i="80" s="1"/>
  <c r="H233" i="80"/>
  <c r="H231" i="80"/>
  <c r="H232" i="80"/>
  <c r="H230" i="80"/>
  <c r="H227" i="80"/>
  <c r="H226" i="80"/>
  <c r="R148" i="80"/>
  <c r="R174" i="80" s="1"/>
  <c r="S144" i="80"/>
  <c r="S170" i="80" s="1"/>
  <c r="R142" i="80"/>
  <c r="R168" i="80" s="1"/>
  <c r="J47" i="55"/>
  <c r="A4" i="31"/>
  <c r="S143" i="80"/>
  <c r="S169" i="80" s="1"/>
  <c r="S150" i="80"/>
  <c r="S208" i="80" s="1"/>
  <c r="R146" i="80"/>
  <c r="R172" i="80" s="1"/>
  <c r="S142" i="80"/>
  <c r="S168" i="80" s="1"/>
  <c r="S22" i="71"/>
  <c r="S148" i="80"/>
  <c r="S174" i="80" s="1"/>
  <c r="Q96" i="83"/>
  <c r="Q95" i="80"/>
  <c r="Q107" i="80" s="1"/>
  <c r="Q109" i="83"/>
  <c r="Q119" i="80"/>
  <c r="Q131" i="80" s="1"/>
  <c r="Q82" i="83"/>
  <c r="Q153" i="83" s="1"/>
  <c r="Q81" i="83"/>
  <c r="Q152" i="83" s="1"/>
  <c r="Q22" i="71" s="1"/>
  <c r="Q127" i="71" s="1"/>
  <c r="Q70" i="80"/>
  <c r="Q82" i="80" s="1"/>
  <c r="Q99" i="83"/>
  <c r="Q98" i="80"/>
  <c r="Q110" i="80" s="1"/>
  <c r="Q94" i="83"/>
  <c r="Q182" i="83" s="1"/>
  <c r="Q93" i="83"/>
  <c r="Q181" i="83" s="1"/>
  <c r="Q93" i="80"/>
  <c r="Q105" i="80" s="1"/>
  <c r="Q89" i="83"/>
  <c r="Q77" i="80"/>
  <c r="Q89" i="80" s="1"/>
  <c r="Q114" i="83"/>
  <c r="Q124" i="80"/>
  <c r="Q136" i="80" s="1"/>
  <c r="S146" i="80"/>
  <c r="S172" i="80" s="1"/>
  <c r="R145" i="80"/>
  <c r="R171" i="80" s="1"/>
  <c r="R150" i="80"/>
  <c r="R149" i="80"/>
  <c r="R175" i="80" s="1"/>
  <c r="Q102" i="83"/>
  <c r="Q101" i="80"/>
  <c r="Q113" i="80" s="1"/>
  <c r="Q111" i="83"/>
  <c r="Q121" i="80"/>
  <c r="Q133" i="80" s="1"/>
  <c r="Q84" i="83"/>
  <c r="Q72" i="80"/>
  <c r="Q84" i="80" s="1"/>
  <c r="Q98" i="83"/>
  <c r="Q97" i="80"/>
  <c r="Q109" i="80" s="1"/>
  <c r="Q86" i="83"/>
  <c r="Q74" i="80"/>
  <c r="Q86" i="80" s="1"/>
  <c r="Q113" i="83"/>
  <c r="Q123" i="80"/>
  <c r="Q135" i="80" s="1"/>
  <c r="Q90" i="83"/>
  <c r="Q78" i="80"/>
  <c r="Q90" i="80" s="1"/>
  <c r="R143" i="80"/>
  <c r="R169" i="80" s="1"/>
  <c r="R147" i="80"/>
  <c r="R173" i="80" s="1"/>
  <c r="S145" i="80"/>
  <c r="S171" i="80" s="1"/>
  <c r="Q110" i="83"/>
  <c r="Q120" i="80"/>
  <c r="Q132" i="80" s="1"/>
  <c r="Q101" i="83"/>
  <c r="Q100" i="80"/>
  <c r="Q112" i="80" s="1"/>
  <c r="Q87" i="83"/>
  <c r="Q75" i="80"/>
  <c r="Q87" i="80" s="1"/>
  <c r="Q107" i="83"/>
  <c r="Q117" i="80"/>
  <c r="Q129" i="80" s="1"/>
  <c r="Q97" i="83"/>
  <c r="Q96" i="80"/>
  <c r="Q108" i="80" s="1"/>
  <c r="Q112" i="83"/>
  <c r="Q122" i="80"/>
  <c r="Q134" i="80" s="1"/>
  <c r="Q88" i="83"/>
  <c r="Q76" i="80"/>
  <c r="Q88" i="80" s="1"/>
  <c r="S147" i="80"/>
  <c r="S173" i="80" s="1"/>
  <c r="S149" i="80"/>
  <c r="S175" i="80" s="1"/>
  <c r="Q108" i="83"/>
  <c r="Q118" i="80"/>
  <c r="Q130" i="80" s="1"/>
  <c r="Q106" i="83"/>
  <c r="Q211" i="83" s="1"/>
  <c r="Q105" i="83"/>
  <c r="Q210" i="83" s="1"/>
  <c r="Q116" i="80"/>
  <c r="Q128" i="80" s="1"/>
  <c r="Q100" i="83"/>
  <c r="Q99" i="80"/>
  <c r="Q111" i="80" s="1"/>
  <c r="Q83" i="83"/>
  <c r="Q71" i="80"/>
  <c r="Q83" i="80" s="1"/>
  <c r="Q95" i="83"/>
  <c r="Q94" i="80"/>
  <c r="Q106" i="80" s="1"/>
  <c r="Q85" i="83"/>
  <c r="Q73" i="80"/>
  <c r="Q85" i="80" s="1"/>
  <c r="R144" i="80"/>
  <c r="R170" i="80" s="1"/>
  <c r="R188" i="71"/>
  <c r="R187" i="71"/>
  <c r="R128" i="71"/>
  <c r="R158" i="71"/>
  <c r="R157" i="71"/>
  <c r="P102" i="83" l="1"/>
  <c r="M121" i="80"/>
  <c r="M133" i="80" s="1"/>
  <c r="L93" i="80"/>
  <c r="L105" i="80" s="1"/>
  <c r="L75" i="80"/>
  <c r="L87" i="80" s="1"/>
  <c r="L72" i="80"/>
  <c r="L84" i="80" s="1"/>
  <c r="M87" i="83"/>
  <c r="K56" i="82" a="1"/>
  <c r="M98" i="80"/>
  <c r="M110" i="80" s="1"/>
  <c r="L109" i="83"/>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13" i="83"/>
  <c r="P106" i="83"/>
  <c r="P211" i="83" s="1"/>
  <c r="P83" i="71" s="1"/>
  <c r="P188" i="71" s="1"/>
  <c r="P77" i="80"/>
  <c r="P89" i="80" s="1"/>
  <c r="P149" i="80" s="1"/>
  <c r="P175" i="80" s="1"/>
  <c r="P122" i="80"/>
  <c r="P134" i="80" s="1"/>
  <c r="P101" i="83"/>
  <c r="P116" i="80"/>
  <c r="P128" i="80" s="1"/>
  <c r="P70" i="80"/>
  <c r="P82" i="80" s="1"/>
  <c r="P71" i="80"/>
  <c r="P83" i="80" s="1"/>
  <c r="P95" i="83"/>
  <c r="P93" i="83"/>
  <c r="P181" i="83" s="1"/>
  <c r="P52" i="71" s="1"/>
  <c r="P157" i="71" s="1"/>
  <c r="O97" i="80"/>
  <c r="O109" i="80" s="1"/>
  <c r="P75" i="80"/>
  <c r="P87" i="80" s="1"/>
  <c r="P97" i="83"/>
  <c r="O78" i="80"/>
  <c r="O90" i="80" s="1"/>
  <c r="P121" i="80"/>
  <c r="P133" i="80" s="1"/>
  <c r="P99" i="80"/>
  <c r="P111" i="80" s="1"/>
  <c r="P119" i="80"/>
  <c r="P131" i="80" s="1"/>
  <c r="P97" i="80"/>
  <c r="P109" i="80" s="1"/>
  <c r="P124" i="80"/>
  <c r="P136" i="80" s="1"/>
  <c r="O106" i="83"/>
  <c r="O211" i="83" s="1"/>
  <c r="O83" i="71" s="1"/>
  <c r="O188" i="71" s="1"/>
  <c r="O96" i="83"/>
  <c r="O87" i="83"/>
  <c r="O100" i="80"/>
  <c r="O112" i="80" s="1"/>
  <c r="O105" i="83"/>
  <c r="O210" i="83" s="1"/>
  <c r="O82" i="71" s="1"/>
  <c r="O70" i="80"/>
  <c r="O82" i="80" s="1"/>
  <c r="P74" i="80"/>
  <c r="P86" i="80" s="1"/>
  <c r="P76" i="80"/>
  <c r="P88" i="80" s="1"/>
  <c r="O100" i="83"/>
  <c r="O98" i="80"/>
  <c r="O110" i="80" s="1"/>
  <c r="O121" i="80"/>
  <c r="O133" i="80" s="1"/>
  <c r="O72" i="80"/>
  <c r="O84" i="80" s="1"/>
  <c r="O94" i="80"/>
  <c r="O106" i="80" s="1"/>
  <c r="O110" i="83"/>
  <c r="O73" i="80"/>
  <c r="O85" i="80" s="1"/>
  <c r="O145" i="80" s="1"/>
  <c r="O171" i="80" s="1"/>
  <c r="O101" i="80"/>
  <c r="O113" i="80" s="1"/>
  <c r="O97" i="83"/>
  <c r="O93" i="80"/>
  <c r="O105" i="80" s="1"/>
  <c r="O77" i="80"/>
  <c r="O89" i="80" s="1"/>
  <c r="O112" i="83"/>
  <c r="O81" i="83"/>
  <c r="O152" i="83" s="1"/>
  <c r="O22" i="71" s="1"/>
  <c r="O127" i="71" s="1"/>
  <c r="O94" i="83"/>
  <c r="O182" i="83" s="1"/>
  <c r="O53" i="71" s="1"/>
  <c r="O158" i="71" s="1"/>
  <c r="O118" i="80"/>
  <c r="O130" i="80" s="1"/>
  <c r="O71" i="80"/>
  <c r="O83" i="80" s="1"/>
  <c r="O124" i="80"/>
  <c r="O136" i="80" s="1"/>
  <c r="O76" i="80"/>
  <c r="O88" i="80" s="1"/>
  <c r="O148" i="80" s="1"/>
  <c r="O174" i="80" s="1"/>
  <c r="O107" i="83"/>
  <c r="O109" i="83"/>
  <c r="O74" i="80"/>
  <c r="O86" i="80" s="1"/>
  <c r="L22" i="71"/>
  <c r="L127" i="71" s="1"/>
  <c r="L95" i="80"/>
  <c r="L107" i="80" s="1"/>
  <c r="L99" i="83"/>
  <c r="L78" i="80"/>
  <c r="L90" i="80" s="1"/>
  <c r="L86" i="83"/>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88" i="71"/>
  <c r="Q83" i="71"/>
  <c r="Q188" i="71" s="1"/>
  <c r="S128" i="71"/>
  <c r="Q23" i="71"/>
  <c r="Q128" i="71" s="1"/>
  <c r="L52" i="71"/>
  <c r="L157" i="71" s="1"/>
  <c r="Q145" i="80"/>
  <c r="Q171" i="80" s="1"/>
  <c r="L100" i="80"/>
  <c r="L112" i="80" s="1"/>
  <c r="S157" i="71"/>
  <c r="Q52" i="71"/>
  <c r="Q157" i="71" s="1"/>
  <c r="S187" i="71"/>
  <c r="Q82" i="71"/>
  <c r="Q187" i="71" s="1"/>
  <c r="S158" i="71"/>
  <c r="Q53" i="71"/>
  <c r="Q158" i="71" s="1"/>
  <c r="M100" i="83"/>
  <c r="M99" i="80"/>
  <c r="M111" i="80" s="1"/>
  <c r="M95" i="83"/>
  <c r="M94" i="80"/>
  <c r="M106" i="80" s="1"/>
  <c r="M86" i="83"/>
  <c r="M74" i="80"/>
  <c r="M86" i="80" s="1"/>
  <c r="M97" i="83"/>
  <c r="M96" i="80"/>
  <c r="M108" i="80" s="1"/>
  <c r="L83" i="83"/>
  <c r="L71" i="80"/>
  <c r="L83" i="80" s="1"/>
  <c r="M114" i="83"/>
  <c r="M124" i="80"/>
  <c r="M136" i="80" s="1"/>
  <c r="M108" i="83"/>
  <c r="M118" i="80"/>
  <c r="M130" i="80" s="1"/>
  <c r="L111" i="83"/>
  <c r="L121" i="80"/>
  <c r="L133" i="80" s="1"/>
  <c r="Q146" i="80"/>
  <c r="Q172" i="80" s="1"/>
  <c r="Q144" i="80"/>
  <c r="Q170" i="80" s="1"/>
  <c r="M112" i="83"/>
  <c r="M122" i="80"/>
  <c r="M134" i="80" s="1"/>
  <c r="L95" i="83"/>
  <c r="L94" i="80"/>
  <c r="L106" i="80" s="1"/>
  <c r="M113" i="83"/>
  <c r="M123" i="80"/>
  <c r="M135" i="80" s="1"/>
  <c r="M109" i="83"/>
  <c r="M119" i="80"/>
  <c r="M131" i="80" s="1"/>
  <c r="L88" i="83"/>
  <c r="L76" i="80"/>
  <c r="L88" i="80" s="1"/>
  <c r="M90" i="83"/>
  <c r="M78" i="80"/>
  <c r="M90" i="80" s="1"/>
  <c r="M106" i="83"/>
  <c r="M211" i="83" s="1"/>
  <c r="M83" i="71" s="1"/>
  <c r="M188" i="71" s="1"/>
  <c r="M105" i="83"/>
  <c r="M210" i="83" s="1"/>
  <c r="M116" i="80"/>
  <c r="M128" i="80" s="1"/>
  <c r="Q143" i="80"/>
  <c r="Q169" i="80" s="1"/>
  <c r="Q142" i="80"/>
  <c r="Q168" i="80" s="1"/>
  <c r="M107" i="83"/>
  <c r="M117" i="80"/>
  <c r="M129" i="80" s="1"/>
  <c r="M110" i="83"/>
  <c r="M120" i="80"/>
  <c r="M132" i="80" s="1"/>
  <c r="M89" i="83"/>
  <c r="M77" i="80"/>
  <c r="M89" i="80" s="1"/>
  <c r="L97" i="83"/>
  <c r="L96" i="80"/>
  <c r="L108" i="80" s="1"/>
  <c r="L85" i="83"/>
  <c r="L73" i="80"/>
  <c r="L85" i="80" s="1"/>
  <c r="M85" i="83"/>
  <c r="M73" i="80"/>
  <c r="M85" i="80" s="1"/>
  <c r="M84" i="83"/>
  <c r="M72" i="80"/>
  <c r="M84" i="80" s="1"/>
  <c r="M93" i="83"/>
  <c r="M181" i="83" s="1"/>
  <c r="M94" i="83"/>
  <c r="M182" i="83" s="1"/>
  <c r="M53" i="71" s="1"/>
  <c r="M158" i="71" s="1"/>
  <c r="M93" i="80"/>
  <c r="M105" i="80" s="1"/>
  <c r="Q149" i="80"/>
  <c r="Q175" i="80" s="1"/>
  <c r="S127" i="71"/>
  <c r="M88" i="83"/>
  <c r="M76" i="80"/>
  <c r="M88" i="80" s="1"/>
  <c r="M83" i="83"/>
  <c r="M71" i="80"/>
  <c r="M83" i="80" s="1"/>
  <c r="M98" i="83"/>
  <c r="M97" i="80"/>
  <c r="M109" i="80" s="1"/>
  <c r="M101" i="83"/>
  <c r="M100" i="80"/>
  <c r="M112" i="80" s="1"/>
  <c r="L108" i="83"/>
  <c r="L118" i="80"/>
  <c r="L130" i="80" s="1"/>
  <c r="M102" i="83"/>
  <c r="M101" i="80"/>
  <c r="M113" i="80" s="1"/>
  <c r="M96" i="83"/>
  <c r="M95" i="80"/>
  <c r="M107" i="80" s="1"/>
  <c r="M82" i="83"/>
  <c r="M153" i="83" s="1"/>
  <c r="M23" i="71" s="1"/>
  <c r="M128" i="71" s="1"/>
  <c r="M81" i="83"/>
  <c r="M152" i="83" s="1"/>
  <c r="M70" i="80"/>
  <c r="M82" i="80" s="1"/>
  <c r="Q148" i="80"/>
  <c r="Q174" i="80" s="1"/>
  <c r="R176" i="80"/>
  <c r="R177" i="80" s="1"/>
  <c r="R208" i="80"/>
  <c r="O128" i="71"/>
  <c r="L147" i="80" l="1"/>
  <c r="L173" i="80" s="1"/>
  <c r="L274" i="80" s="1"/>
  <c r="L142" i="80"/>
  <c r="L168" i="80" s="1"/>
  <c r="L269"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T271" i="80"/>
  <c r="Q272" i="80"/>
  <c r="V275" i="80"/>
  <c r="X274" i="80"/>
  <c r="Q270" i="80"/>
  <c r="Q176" i="80"/>
  <c r="Q177" i="80" s="1"/>
  <c r="Q274" i="80"/>
  <c r="P276" i="80"/>
  <c r="W276" i="80"/>
  <c r="V276" i="80"/>
  <c r="T276" i="80"/>
  <c r="V273" i="80"/>
  <c r="X273" i="80"/>
  <c r="V269" i="80"/>
  <c r="Y269" i="80"/>
  <c r="O275" i="80"/>
  <c r="Y275" i="80"/>
  <c r="W275" i="80"/>
  <c r="X275" i="80"/>
  <c r="T272" i="80"/>
  <c r="V270" i="80"/>
  <c r="V271" i="80"/>
  <c r="U271" i="80"/>
  <c r="X270" i="80"/>
  <c r="Q276" i="80"/>
  <c r="U273" i="80"/>
  <c r="T269" i="80"/>
  <c r="U275" i="80"/>
  <c r="O272" i="80"/>
  <c r="T270" i="80"/>
  <c r="V274" i="80"/>
  <c r="P271" i="80"/>
  <c r="W271" i="80"/>
  <c r="Y271" i="80"/>
  <c r="X271"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L176" i="80" l="1"/>
  <c r="L177" i="80" s="1"/>
  <c r="P208" i="80"/>
  <c r="P177" i="80"/>
  <c r="O176" i="80"/>
  <c r="O177" i="80" s="1"/>
  <c r="M269" i="80"/>
  <c r="M208" i="80"/>
  <c r="M176" i="80"/>
  <c r="M177" i="80"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236" i="22" l="1"/>
  <c r="N238" i="22" s="1"/>
  <c r="N31" i="53" s="1"/>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N239" i="80"/>
  <c r="N202" i="80"/>
  <c r="N242" i="80"/>
  <c r="N240" i="80"/>
  <c r="N243" i="80"/>
  <c r="N244" i="80"/>
  <c r="N246" i="80"/>
  <c r="N241" i="80"/>
  <c r="N245" i="80"/>
  <c r="N43" i="53" l="1"/>
  <c r="N49" i="53" s="1"/>
  <c r="N44" i="53"/>
  <c r="N50" i="53" s="1"/>
  <c r="N69" i="53"/>
  <c r="N71" i="53"/>
  <c r="N73" i="53" s="1"/>
  <c r="N200" i="80"/>
  <c r="O132" i="74"/>
  <c r="O133" i="74"/>
  <c r="R132" i="74"/>
  <c r="R133" i="74"/>
  <c r="Q132" i="74"/>
  <c r="Q133" i="74"/>
  <c r="K132" i="74"/>
  <c r="K133" i="74"/>
  <c r="T132" i="74"/>
  <c r="T133" i="74"/>
  <c r="V132" i="74"/>
  <c r="V133" i="74"/>
  <c r="P132" i="74"/>
  <c r="P133" i="74"/>
  <c r="W132" i="74"/>
  <c r="W133" i="74"/>
  <c r="M132" i="74"/>
  <c r="M133" i="74"/>
  <c r="S132" i="74"/>
  <c r="S133" i="74"/>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267" i="53" l="1"/>
  <c r="N78" i="83" s="1"/>
  <c r="N124" i="83" s="1"/>
  <c r="N301" i="53"/>
  <c r="N113" i="83" s="1"/>
  <c r="N286" i="53"/>
  <c r="N97" i="83" s="1"/>
  <c r="N272" i="53"/>
  <c r="N81" i="83" s="1"/>
  <c r="N152" i="83" s="1"/>
  <c r="N275" i="53"/>
  <c r="N85" i="83" s="1"/>
  <c r="N277" i="53"/>
  <c r="N87" i="83" s="1"/>
  <c r="N285" i="53"/>
  <c r="N95" i="80" s="1"/>
  <c r="N107" i="80" s="1"/>
  <c r="N291" i="53"/>
  <c r="N102" i="83" s="1"/>
  <c r="N284" i="53"/>
  <c r="N94" i="80" s="1"/>
  <c r="N106" i="80" s="1"/>
  <c r="N280" i="53"/>
  <c r="N78" i="80" s="1"/>
  <c r="N90" i="80" s="1"/>
  <c r="N295" i="53"/>
  <c r="N117" i="80" s="1"/>
  <c r="N129" i="80" s="1"/>
  <c r="N302" i="53"/>
  <c r="N124" i="80" s="1"/>
  <c r="N136" i="80" s="1"/>
  <c r="N297" i="53"/>
  <c r="N109" i="83" s="1"/>
  <c r="N296" i="53"/>
  <c r="N108" i="83" s="1"/>
  <c r="N294" i="53"/>
  <c r="N116" i="80" s="1"/>
  <c r="N128" i="80" s="1"/>
  <c r="N283" i="53"/>
  <c r="N93" i="83" s="1"/>
  <c r="N181" i="83" s="1"/>
  <c r="N52" i="71" s="1"/>
  <c r="N157" i="71" s="1"/>
  <c r="N273" i="53"/>
  <c r="N71" i="80" s="1"/>
  <c r="N83" i="80" s="1"/>
  <c r="N288" i="53"/>
  <c r="N98" i="80" s="1"/>
  <c r="N110" i="80" s="1"/>
  <c r="N289" i="53"/>
  <c r="N100" i="83" s="1"/>
  <c r="N287" i="53"/>
  <c r="N97" i="80" s="1"/>
  <c r="N109" i="80" s="1"/>
  <c r="N279" i="53"/>
  <c r="N77" i="80" s="1"/>
  <c r="N89" i="80" s="1"/>
  <c r="N300" i="53"/>
  <c r="N122" i="80" s="1"/>
  <c r="N134" i="80" s="1"/>
  <c r="N290" i="53"/>
  <c r="N101" i="83" s="1"/>
  <c r="N299" i="53"/>
  <c r="N121" i="80" s="1"/>
  <c r="N133" i="80" s="1"/>
  <c r="N298" i="53"/>
  <c r="N110" i="83" s="1"/>
  <c r="N276" i="53"/>
  <c r="N86" i="83" s="1"/>
  <c r="N274" i="53"/>
  <c r="N72" i="80" s="1"/>
  <c r="N84" i="80" s="1"/>
  <c r="N88" i="83"/>
  <c r="N76" i="80"/>
  <c r="N88" i="80" s="1"/>
  <c r="N123" i="83" l="1"/>
  <c r="N123" i="80"/>
  <c r="N135" i="80" s="1"/>
  <c r="N90" i="83"/>
  <c r="N82" i="83"/>
  <c r="N153" i="83" s="1"/>
  <c r="N23" i="71" s="1"/>
  <c r="N128" i="71" s="1"/>
  <c r="N96" i="83"/>
  <c r="N70" i="80"/>
  <c r="N82" i="80" s="1"/>
  <c r="N96" i="80"/>
  <c r="N108" i="80" s="1"/>
  <c r="N119" i="80"/>
  <c r="N131" i="80" s="1"/>
  <c r="N74" i="80"/>
  <c r="N86" i="80" s="1"/>
  <c r="N95" i="83"/>
  <c r="N73" i="80"/>
  <c r="N85" i="80" s="1"/>
  <c r="N75" i="80"/>
  <c r="N87" i="80" s="1"/>
  <c r="N147" i="80" s="1"/>
  <c r="N114" i="83"/>
  <c r="N101" i="80"/>
  <c r="N113" i="80" s="1"/>
  <c r="N150" i="80" s="1"/>
  <c r="N99" i="83"/>
  <c r="N107" i="83"/>
  <c r="N112" i="83"/>
  <c r="N106" i="83"/>
  <c r="N211" i="83" s="1"/>
  <c r="N83" i="71" s="1"/>
  <c r="N188" i="71" s="1"/>
  <c r="N105" i="83"/>
  <c r="N210" i="83" s="1"/>
  <c r="N82" i="71" s="1"/>
  <c r="N187" i="71" s="1"/>
  <c r="N100" i="80"/>
  <c r="N112" i="80" s="1"/>
  <c r="N118" i="80"/>
  <c r="N130" i="80" s="1"/>
  <c r="N144" i="80" s="1"/>
  <c r="N84" i="83"/>
  <c r="N99" i="80"/>
  <c r="N111" i="80" s="1"/>
  <c r="N148" i="80" s="1"/>
  <c r="N98" i="83"/>
  <c r="N111" i="83"/>
  <c r="N83" i="83"/>
  <c r="N94" i="83"/>
  <c r="N182" i="83" s="1"/>
  <c r="N53" i="71" s="1"/>
  <c r="N158" i="71" s="1"/>
  <c r="N93" i="80"/>
  <c r="N105" i="80" s="1"/>
  <c r="N89" i="83"/>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258" i="80"/>
  <c r="K44" i="53"/>
  <c r="K50" i="53" s="1"/>
  <c r="J17" i="11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K79" i="53"/>
  <c r="K85" i="53" s="1"/>
  <c r="K77" i="53"/>
  <c r="K83" i="53" s="1"/>
  <c r="J49" i="55"/>
  <c r="A4" i="22"/>
  <c r="H186" i="41" l="1"/>
  <c r="K91" i="53"/>
  <c r="K267" i="53" s="1"/>
  <c r="K78" i="83" s="1"/>
  <c r="K124" i="83" s="1"/>
  <c r="J123" i="83"/>
  <c r="J124" i="83"/>
  <c r="J93" i="53"/>
  <c r="J273" i="53"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3" i="83"/>
  <c r="K93" i="53"/>
  <c r="K289" i="53" s="1"/>
  <c r="J278" i="53"/>
  <c r="J76" i="80" s="1"/>
  <c r="J88" i="80" s="1"/>
  <c r="J284" i="53"/>
  <c r="J95" i="83" s="1"/>
  <c r="J290" i="53"/>
  <c r="J101" i="83" s="1"/>
  <c r="J279" i="53"/>
  <c r="J89" i="83" s="1"/>
  <c r="J291" i="53"/>
  <c r="J102" i="83" s="1"/>
  <c r="J301" i="53"/>
  <c r="J123" i="80" s="1"/>
  <c r="J135" i="80" s="1"/>
  <c r="J295" i="53"/>
  <c r="J107" i="83" s="1"/>
  <c r="J299" i="53"/>
  <c r="J111" i="83" s="1"/>
  <c r="J298" i="53"/>
  <c r="J120" i="80" s="1"/>
  <c r="J132" i="80" s="1"/>
  <c r="J288" i="53"/>
  <c r="J98" i="80" s="1"/>
  <c r="J110" i="80" s="1"/>
  <c r="J294" i="53"/>
  <c r="J106" i="83" s="1"/>
  <c r="J211" i="83" s="1"/>
  <c r="J83" i="71" s="1"/>
  <c r="J188" i="71" s="1"/>
  <c r="J274" i="53"/>
  <c r="J84" i="83" s="1"/>
  <c r="J275" i="53"/>
  <c r="J73" i="80" s="1"/>
  <c r="J85" i="80" s="1"/>
  <c r="J296" i="53"/>
  <c r="J118" i="80" s="1"/>
  <c r="J130" i="80" s="1"/>
  <c r="J280" i="53"/>
  <c r="J78" i="80" s="1"/>
  <c r="J90" i="80" s="1"/>
  <c r="J297" i="53"/>
  <c r="J119" i="80" s="1"/>
  <c r="J131" i="80" s="1"/>
  <c r="J287" i="53"/>
  <c r="J98" i="83" s="1"/>
  <c r="J272" i="53"/>
  <c r="J82" i="83" s="1"/>
  <c r="J153" i="83" s="1"/>
  <c r="J23" i="71" s="1"/>
  <c r="J128" i="71" s="1"/>
  <c r="J302" i="53"/>
  <c r="J114" i="83" s="1"/>
  <c r="J285" i="53"/>
  <c r="J96" i="83" s="1"/>
  <c r="J283" i="53"/>
  <c r="J93" i="80" s="1"/>
  <c r="J105" i="80" s="1"/>
  <c r="J289" i="53"/>
  <c r="J99" i="80" s="1"/>
  <c r="J111" i="80" s="1"/>
  <c r="J276" i="53"/>
  <c r="J86" i="83" s="1"/>
  <c r="J277" i="53"/>
  <c r="J75" i="80" s="1"/>
  <c r="J87" i="80" s="1"/>
  <c r="J300" i="53"/>
  <c r="J122" i="80" s="1"/>
  <c r="J134" i="80" s="1"/>
  <c r="J286" i="53"/>
  <c r="J96" i="80" s="1"/>
  <c r="J108" i="80" s="1"/>
  <c r="J71" i="80"/>
  <c r="J83" i="80" s="1"/>
  <c r="J83" i="83"/>
  <c r="J100" i="80" l="1"/>
  <c r="J112" i="80" s="1"/>
  <c r="J88" i="83"/>
  <c r="J113" i="83"/>
  <c r="K278" i="53"/>
  <c r="K76" i="80" s="1"/>
  <c r="K88" i="80" s="1"/>
  <c r="J124" i="80"/>
  <c r="J136" i="80" s="1"/>
  <c r="K294" i="53"/>
  <c r="K105" i="83" s="1"/>
  <c r="K210" i="83" s="1"/>
  <c r="K82" i="71" s="1"/>
  <c r="K187" i="71" s="1"/>
  <c r="K297" i="53"/>
  <c r="K109" i="83" s="1"/>
  <c r="K277" i="53"/>
  <c r="K87" i="83" s="1"/>
  <c r="K287" i="53"/>
  <c r="K98" i="83" s="1"/>
  <c r="J85" i="83"/>
  <c r="K301" i="53"/>
  <c r="K123" i="80" s="1"/>
  <c r="K135" i="80" s="1"/>
  <c r="K298" i="53"/>
  <c r="K110" i="83" s="1"/>
  <c r="J101" i="80"/>
  <c r="J113" i="80" s="1"/>
  <c r="K299" i="53"/>
  <c r="K111" i="83" s="1"/>
  <c r="K279" i="53"/>
  <c r="K89" i="83" s="1"/>
  <c r="K290" i="53"/>
  <c r="K101" i="83" s="1"/>
  <c r="J74" i="80"/>
  <c r="J86" i="80" s="1"/>
  <c r="K272" i="53"/>
  <c r="K81" i="83" s="1"/>
  <c r="K152" i="83" s="1"/>
  <c r="K280" i="53"/>
  <c r="K90" i="83" s="1"/>
  <c r="K275" i="53"/>
  <c r="K85" i="83" s="1"/>
  <c r="K302" i="53"/>
  <c r="K124" i="80" s="1"/>
  <c r="K136" i="80" s="1"/>
  <c r="K273" i="53"/>
  <c r="K71" i="80" s="1"/>
  <c r="K83" i="80" s="1"/>
  <c r="K284" i="53"/>
  <c r="K94" i="80" s="1"/>
  <c r="K106" i="80" s="1"/>
  <c r="K291" i="53"/>
  <c r="K101" i="80" s="1"/>
  <c r="K113" i="80" s="1"/>
  <c r="J117" i="80"/>
  <c r="J129" i="80" s="1"/>
  <c r="K288" i="53"/>
  <c r="K99" i="83" s="1"/>
  <c r="K274" i="53"/>
  <c r="K295" i="53"/>
  <c r="K117" i="80" s="1"/>
  <c r="K129" i="80" s="1"/>
  <c r="K283" i="53"/>
  <c r="K93" i="80" s="1"/>
  <c r="K105" i="80" s="1"/>
  <c r="K296" i="53"/>
  <c r="K118" i="80" s="1"/>
  <c r="K130" i="80" s="1"/>
  <c r="K276" i="53"/>
  <c r="K86" i="83" s="1"/>
  <c r="K300" i="53"/>
  <c r="K122" i="80" s="1"/>
  <c r="K134" i="80" s="1"/>
  <c r="K285" i="53"/>
  <c r="K95" i="80" s="1"/>
  <c r="K107" i="80" s="1"/>
  <c r="K286" i="53"/>
  <c r="K97" i="83" s="1"/>
  <c r="J94" i="80"/>
  <c r="J106" i="80" s="1"/>
  <c r="J72" i="80"/>
  <c r="J84" i="80" s="1"/>
  <c r="J105" i="83"/>
  <c r="J210" i="83" s="1"/>
  <c r="J82" i="71" s="1"/>
  <c r="J187" i="71" s="1"/>
  <c r="J116" i="80"/>
  <c r="J128" i="80" s="1"/>
  <c r="J121" i="80"/>
  <c r="J133" i="80" s="1"/>
  <c r="J147" i="80" s="1"/>
  <c r="J109" i="83"/>
  <c r="J90" i="83"/>
  <c r="J95" i="80"/>
  <c r="J107" i="80" s="1"/>
  <c r="J87" i="83"/>
  <c r="J93" i="83"/>
  <c r="J181" i="83" s="1"/>
  <c r="J52" i="71" s="1"/>
  <c r="J157" i="71" s="1"/>
  <c r="J94" i="83"/>
  <c r="J182" i="83" s="1"/>
  <c r="J53" i="71" s="1"/>
  <c r="J158" i="71" s="1"/>
  <c r="J97" i="80"/>
  <c r="J109" i="80" s="1"/>
  <c r="J77" i="80"/>
  <c r="J89" i="80" s="1"/>
  <c r="J110" i="83"/>
  <c r="J112" i="83"/>
  <c r="J81" i="83"/>
  <c r="J152" i="83" s="1"/>
  <c r="J22" i="71" s="1"/>
  <c r="J108" i="83"/>
  <c r="J145" i="80"/>
  <c r="J171" i="80" s="1"/>
  <c r="J272" i="80" s="1"/>
  <c r="J70" i="80"/>
  <c r="J82" i="80" s="1"/>
  <c r="J97" i="83"/>
  <c r="J100" i="83"/>
  <c r="J99" i="83"/>
  <c r="K100" i="83"/>
  <c r="K99" i="80"/>
  <c r="K111" i="80" s="1"/>
  <c r="J148" i="80"/>
  <c r="J149" i="80" l="1"/>
  <c r="J175" i="80" s="1"/>
  <c r="J276" i="80" s="1"/>
  <c r="K113" i="83"/>
  <c r="K88" i="83"/>
  <c r="K119" i="80"/>
  <c r="K131" i="80" s="1"/>
  <c r="K83" i="83"/>
  <c r="K116" i="80"/>
  <c r="K128" i="80" s="1"/>
  <c r="K106" i="83"/>
  <c r="K211" i="83" s="1"/>
  <c r="K83" i="71" s="1"/>
  <c r="K188" i="71" s="1"/>
  <c r="K96" i="80"/>
  <c r="K108" i="80" s="1"/>
  <c r="K70" i="80"/>
  <c r="K82" i="80" s="1"/>
  <c r="K98" i="80"/>
  <c r="K110" i="80" s="1"/>
  <c r="K121" i="80"/>
  <c r="K133" i="80" s="1"/>
  <c r="K108" i="83"/>
  <c r="K82" i="83"/>
  <c r="K153" i="83" s="1"/>
  <c r="K23" i="71" s="1"/>
  <c r="K128" i="71" s="1"/>
  <c r="K95" i="83"/>
  <c r="J150" i="80"/>
  <c r="J208" i="80" s="1"/>
  <c r="K97" i="80"/>
  <c r="K109" i="80" s="1"/>
  <c r="K94" i="83"/>
  <c r="K182" i="83" s="1"/>
  <c r="K53" i="71" s="1"/>
  <c r="K158" i="71" s="1"/>
  <c r="H306" i="53" a="1"/>
  <c r="H306" i="53" s="1"/>
  <c r="J50" i="55" s="1"/>
  <c r="K112" i="83"/>
  <c r="K107" i="83"/>
  <c r="K73" i="80"/>
  <c r="K85" i="80" s="1"/>
  <c r="J142" i="80"/>
  <c r="J168" i="80" s="1"/>
  <c r="K74" i="80"/>
  <c r="K86" i="80" s="1"/>
  <c r="K120" i="80"/>
  <c r="K132" i="80" s="1"/>
  <c r="K75" i="80"/>
  <c r="K87" i="80" s="1"/>
  <c r="K100" i="80"/>
  <c r="K112" i="80" s="1"/>
  <c r="K72" i="80"/>
  <c r="K84" i="80" s="1"/>
  <c r="K144" i="80" s="1"/>
  <c r="K170" i="80" s="1"/>
  <c r="K271" i="80" s="1"/>
  <c r="K77" i="80"/>
  <c r="K89" i="80" s="1"/>
  <c r="K102" i="83"/>
  <c r="K78" i="80"/>
  <c r="K90" i="80" s="1"/>
  <c r="K150" i="80" s="1"/>
  <c r="K84" i="83"/>
  <c r="J143" i="80"/>
  <c r="J169" i="80" s="1"/>
  <c r="J270" i="80" s="1"/>
  <c r="K96" i="83"/>
  <c r="J146" i="80"/>
  <c r="J172" i="80" s="1"/>
  <c r="J273" i="80" s="1"/>
  <c r="J144" i="80"/>
  <c r="J170" i="80" s="1"/>
  <c r="J271" i="80" s="1"/>
  <c r="K93" i="83"/>
  <c r="K181" i="83" s="1"/>
  <c r="K52" i="71" s="1"/>
  <c r="K157" i="71" s="1"/>
  <c r="K114" i="83"/>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Q277" i="80"/>
  <c r="S277" i="80"/>
  <c r="N57" i="82" l="1"/>
  <c r="K57" i="82"/>
  <c r="M57" i="82"/>
  <c r="L57" i="82"/>
  <c r="J57" i="82"/>
  <c r="H277" i="80"/>
  <c r="K64" i="81" l="1" a="1"/>
  <c r="H281" i="80" a="1"/>
  <c r="H281" i="80" s="1"/>
  <c r="J51"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K67" i="81" l="1"/>
  <c r="J65" i="81"/>
  <c r="J67" i="81" s="1"/>
  <c r="J100" i="81" s="1"/>
  <c r="J115" i="81" s="1"/>
  <c r="P73" i="81"/>
  <c r="P76" i="81" s="1"/>
  <c r="K58" i="82"/>
  <c r="P108" i="81" l="1"/>
  <c r="O58" i="82" l="1"/>
  <c r="H19" i="82" a="1"/>
  <c r="H21" i="82" l="1"/>
  <c r="H23" i="82"/>
  <c r="H20" i="82"/>
  <c r="H22" i="82"/>
  <c r="H19" i="82"/>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L174" i="105" l="1"/>
  <c r="AK71" i="82" s="1"/>
  <c r="AL172" i="105"/>
  <c r="AK70" i="82" s="1"/>
  <c r="AH172" i="105"/>
  <c r="AH70" i="82" s="1"/>
  <c r="AN172" i="105"/>
  <c r="AL70" i="82" s="1"/>
  <c r="AI140" i="105"/>
  <c r="AL140" i="105"/>
  <c r="AL146" i="105"/>
  <c r="AK69" i="82" s="1"/>
  <c r="AH140" i="105"/>
  <c r="AN148" i="105" l="1"/>
  <c r="AN142" i="105"/>
  <c r="L172" i="105"/>
  <c r="L70" i="82" s="1"/>
  <c r="Q172" i="105"/>
  <c r="Q70" i="82" s="1"/>
  <c r="AH142" i="105"/>
  <c r="AH141" i="105"/>
  <c r="AK68" i="82"/>
  <c r="AL207" i="105"/>
  <c r="AK80" i="82" s="1"/>
  <c r="AI68" i="82"/>
  <c r="AI207" i="105"/>
  <c r="AI80" i="82" s="1"/>
  <c r="AH68" i="82"/>
  <c r="AH206" i="105"/>
  <c r="AH79" i="82" s="1"/>
  <c r="AH207" i="105"/>
  <c r="AH80" i="82" s="1"/>
  <c r="Q140" i="105"/>
  <c r="AB148" i="105" l="1"/>
  <c r="AB142" i="105"/>
  <c r="W172" i="105"/>
  <c r="W70" i="82" s="1"/>
  <c r="AB172" i="105"/>
  <c r="AB70" i="82" s="1"/>
  <c r="Q68" i="82"/>
  <c r="Q206" i="105"/>
  <c r="Q79" i="82" s="1"/>
  <c r="Q207" i="105"/>
  <c r="Q80" i="82" s="1"/>
  <c r="AA159" i="65" l="1"/>
  <c r="AA64" i="105" s="1"/>
  <c r="AA182" i="105" l="1"/>
  <c r="AA189" i="105" s="1"/>
  <c r="AA105" i="105"/>
  <c r="AA112" i="105" s="1"/>
  <c r="K194" i="105"/>
  <c r="K172" i="105" l="1"/>
  <c r="K70" i="82" s="1"/>
  <c r="R172" i="105"/>
  <c r="R70" i="82" s="1"/>
  <c r="K140" i="105"/>
  <c r="AJ172" i="105" l="1"/>
  <c r="AJ70" i="82" s="1"/>
  <c r="K68" i="82"/>
  <c r="K206" i="105"/>
  <c r="K79" i="82" s="1"/>
  <c r="K207" i="105"/>
  <c r="K80" i="82" s="1"/>
  <c r="AJ140" i="105"/>
  <c r="AJ68" i="82" l="1"/>
  <c r="AJ207" i="105"/>
  <c r="AJ80" i="82" s="1"/>
  <c r="AJ206" i="105"/>
  <c r="AJ79" i="82" s="1"/>
  <c r="N172" i="105" l="1"/>
  <c r="N70" i="82" s="1"/>
  <c r="Z172" i="105"/>
  <c r="Z70" i="82" s="1"/>
  <c r="X172" i="105"/>
  <c r="X70" i="82" s="1"/>
  <c r="AF172" i="105"/>
  <c r="AF70" i="82" s="1"/>
  <c r="V172" i="105"/>
  <c r="V70" i="82" s="1"/>
  <c r="AA172" i="105"/>
  <c r="AA70" i="82" s="1"/>
  <c r="AC172" i="105" l="1"/>
  <c r="AC70" i="82" s="1"/>
  <c r="J172" i="105"/>
  <c r="J70" i="82" s="1"/>
  <c r="X148" i="105"/>
  <c r="AD172" i="105" l="1"/>
  <c r="AD70" i="82" s="1"/>
  <c r="Y172" i="105"/>
  <c r="Y70" i="82" s="1"/>
  <c r="Q199" i="105" l="1"/>
  <c r="K187" i="105"/>
  <c r="K198" i="105"/>
  <c r="AJ188" i="105"/>
  <c r="Q187" i="105"/>
  <c r="AL199" i="105"/>
  <c r="AI199" i="105"/>
  <c r="K188" i="105"/>
  <c r="AJ199" i="105"/>
  <c r="Q198" i="105"/>
  <c r="K199" i="105"/>
  <c r="AH188" i="105"/>
  <c r="Q188" i="105"/>
  <c r="AH199" i="105"/>
  <c r="K197" i="105" l="1"/>
  <c r="Q186" i="105"/>
  <c r="K186" i="105"/>
  <c r="Q197" i="105"/>
  <c r="AJ185" i="105" l="1"/>
  <c r="AI196" i="105"/>
  <c r="K185" i="105"/>
  <c r="AL196" i="105"/>
  <c r="AH196" i="105"/>
  <c r="Q196" i="105"/>
  <c r="Q185" i="105"/>
  <c r="K196" i="105"/>
  <c r="AH185" i="105"/>
  <c r="AJ196" i="105"/>
  <c r="AL194" i="105" l="1"/>
  <c r="AH182" i="105"/>
  <c r="AH193" i="105"/>
  <c r="AJ184" i="105"/>
  <c r="AI193" i="105"/>
  <c r="AI195" i="105"/>
  <c r="Q183" i="105"/>
  <c r="AJ195" i="105"/>
  <c r="AJ193" i="105"/>
  <c r="AL193" i="105"/>
  <c r="AH194" i="105"/>
  <c r="AH183" i="105"/>
  <c r="AH195" i="105"/>
  <c r="AJ194" i="105"/>
  <c r="AH184" i="105"/>
  <c r="Q184" i="105"/>
  <c r="Q182" i="105"/>
  <c r="AI194" i="105"/>
  <c r="AJ183" i="105"/>
  <c r="AL195" i="105"/>
  <c r="Q194" i="105"/>
  <c r="AJ182" i="105"/>
  <c r="Q193" i="105"/>
  <c r="K183" i="105"/>
  <c r="Q195" i="105"/>
  <c r="AJ189" i="105" l="1"/>
  <c r="Q200" i="105"/>
  <c r="AJ200" i="105"/>
  <c r="AH200" i="105"/>
  <c r="AL200" i="105"/>
  <c r="K182" i="105"/>
  <c r="AI200" i="105"/>
  <c r="Q189" i="105"/>
  <c r="K193" i="105"/>
  <c r="AG172" i="105"/>
  <c r="AG70" i="82" s="1"/>
  <c r="K184" i="105"/>
  <c r="AH189" i="105"/>
  <c r="K195" i="105"/>
  <c r="K200" i="105" l="1"/>
  <c r="K189" i="105"/>
  <c r="O172" i="105" l="1"/>
  <c r="O70" i="82" s="1"/>
  <c r="P172" i="105"/>
  <c r="P70" i="82" s="1"/>
  <c r="M172" i="105" l="1"/>
  <c r="M70" i="82" s="1"/>
  <c r="AE172" i="105"/>
  <c r="AE70" i="82" s="1"/>
  <c r="T172" i="105" l="1"/>
  <c r="T70" i="82" s="1"/>
  <c r="S172" i="105"/>
  <c r="S70" i="82" s="1"/>
  <c r="U172" i="105" l="1"/>
  <c r="U70" i="82" s="1"/>
  <c r="O21" i="111" l="1"/>
  <c r="O27" i="111" s="1"/>
  <c r="O33" i="111" s="1"/>
  <c r="O25" i="76"/>
  <c r="P22" i="111"/>
  <c r="P28" i="111" s="1"/>
  <c r="P34" i="111" s="1"/>
  <c r="P26" i="76"/>
  <c r="R25" i="76"/>
  <c r="R21" i="111"/>
  <c r="R27" i="111" s="1"/>
  <c r="R33" i="111" s="1"/>
  <c r="S25" i="76"/>
  <c r="S21" i="111"/>
  <c r="S27" i="111" s="1"/>
  <c r="S33" i="111" s="1"/>
  <c r="T21" i="111"/>
  <c r="T27" i="111" s="1"/>
  <c r="T33" i="111" s="1"/>
  <c r="T25" i="76"/>
  <c r="U25" i="76"/>
  <c r="U21" i="111"/>
  <c r="U27" i="111" s="1"/>
  <c r="U33" i="111" s="1"/>
  <c r="V25" i="76"/>
  <c r="V21" i="111"/>
  <c r="V27" i="111" s="1"/>
  <c r="V33" i="111" s="1"/>
  <c r="W25" i="76"/>
  <c r="W21" i="111"/>
  <c r="W27" i="111" s="1"/>
  <c r="W33" i="111" s="1"/>
  <c r="X26" i="76"/>
  <c r="X22" i="111"/>
  <c r="X28" i="111" s="1"/>
  <c r="X34" i="111" s="1"/>
  <c r="J25" i="76"/>
  <c r="J21" i="111"/>
  <c r="J27" i="111" l="1"/>
  <c r="J33" i="111" s="1"/>
  <c r="Q23" i="111"/>
  <c r="Q29" i="111" s="1"/>
  <c r="Q33" i="111" s="1"/>
  <c r="Q27" i="76"/>
  <c r="L21" i="111"/>
  <c r="L27" i="111" s="1"/>
  <c r="L33" i="111" s="1"/>
  <c r="L25" i="76"/>
  <c r="N21" i="111"/>
  <c r="N27" i="111" s="1"/>
  <c r="N33" i="111" s="1"/>
  <c r="N25" i="76"/>
  <c r="Y22" i="111"/>
  <c r="Y28" i="111" s="1"/>
  <c r="Y34" i="111" s="1"/>
  <c r="H34" i="111" s="1"/>
  <c r="U74" i="81" s="1"/>
  <c r="U76" i="81" s="1"/>
  <c r="Y26" i="76"/>
  <c r="U108" i="81" l="1"/>
  <c r="T58" i="82" s="1"/>
  <c r="H33" i="111"/>
  <c r="T74" i="81" s="1"/>
  <c r="H38" i="111" a="1"/>
  <c r="H38" i="111" s="1"/>
  <c r="T76" i="81" l="1"/>
  <c r="A4" i="111"/>
  <c r="J52" i="55"/>
  <c r="T108" i="81" l="1"/>
  <c r="S58" i="82" s="1"/>
  <c r="R78" i="81"/>
  <c r="R97" i="81" s="1"/>
  <c r="R100" i="81" s="1"/>
  <c r="R115" i="81" s="1"/>
  <c r="N78" i="81"/>
  <c r="N97" i="81" s="1"/>
  <c r="N100" i="81" s="1"/>
  <c r="N115" i="81" s="1"/>
  <c r="T78" i="81"/>
  <c r="T97" i="81" s="1"/>
  <c r="O78" i="81"/>
  <c r="O97" i="81" s="1"/>
  <c r="O100" i="81" s="1"/>
  <c r="O115" i="81" s="1"/>
  <c r="S78" i="81"/>
  <c r="S97" i="81" s="1"/>
  <c r="S100" i="81" s="1"/>
  <c r="S115" i="81" s="1"/>
  <c r="M78" i="81"/>
  <c r="M97" i="81" s="1"/>
  <c r="M100" i="81" s="1"/>
  <c r="M115" i="81" s="1"/>
  <c r="L78" i="81"/>
  <c r="L97" i="81" s="1"/>
  <c r="L100" i="81" s="1"/>
  <c r="L115" i="81" s="1"/>
  <c r="H123" i="81"/>
  <c r="H21" i="76" s="1"/>
  <c r="P78" i="81"/>
  <c r="P97" i="81" s="1"/>
  <c r="P100" i="81" s="1"/>
  <c r="P115" i="81" s="1"/>
  <c r="Q78" i="81"/>
  <c r="Q97" i="81" s="1"/>
  <c r="Q100" i="81" s="1"/>
  <c r="Q115" i="81" s="1"/>
  <c r="K78" i="81"/>
  <c r="U78" i="81"/>
  <c r="U97" i="81" s="1"/>
  <c r="H35" i="76" l="1"/>
  <c r="K97" i="81"/>
  <c r="K100" i="81" s="1"/>
  <c r="K115" i="81" s="1"/>
  <c r="H65" i="73" l="1" a="1"/>
  <c r="H63" i="72" a="1"/>
  <c r="H30" i="83" a="1"/>
  <c r="K43" i="76"/>
  <c r="K56" i="74" s="1"/>
  <c r="K157" i="74" s="1"/>
  <c r="P42" i="76"/>
  <c r="P55" i="74" s="1"/>
  <c r="P156" i="74" s="1"/>
  <c r="V43" i="76"/>
  <c r="V56" i="74" s="1"/>
  <c r="V157" i="74" s="1"/>
  <c r="Q42" i="76"/>
  <c r="K42" i="76"/>
  <c r="K55" i="74" s="1"/>
  <c r="K156" i="74" s="1"/>
  <c r="W43" i="76"/>
  <c r="W56" i="74" s="1"/>
  <c r="W157" i="74" s="1"/>
  <c r="T43" i="76"/>
  <c r="T56" i="74" s="1"/>
  <c r="T157" i="74" s="1"/>
  <c r="Y42" i="76"/>
  <c r="Y55" i="74" s="1"/>
  <c r="Y156" i="74" s="1"/>
  <c r="M42" i="76"/>
  <c r="M55" i="74" s="1"/>
  <c r="M156" i="74" s="1"/>
  <c r="U43" i="76"/>
  <c r="U56" i="74" s="1"/>
  <c r="U157" i="74" s="1"/>
  <c r="S43" i="76"/>
  <c r="S56" i="74" s="1"/>
  <c r="S157" i="74" s="1"/>
  <c r="N43" i="76"/>
  <c r="N56" i="74" s="1"/>
  <c r="N157" i="74" s="1"/>
  <c r="R43" i="76"/>
  <c r="R56" i="74" s="1"/>
  <c r="R157" i="74" s="1"/>
  <c r="M43" i="76"/>
  <c r="M56" i="74" s="1"/>
  <c r="M157" i="74" s="1"/>
  <c r="X42" i="76"/>
  <c r="X55" i="74" s="1"/>
  <c r="X156" i="74" s="1"/>
  <c r="Q43" i="76"/>
  <c r="O43" i="76"/>
  <c r="O56" i="74" s="1"/>
  <c r="O157" i="74" s="1"/>
  <c r="J43" i="76"/>
  <c r="J56" i="74" s="1"/>
  <c r="J157" i="74" s="1"/>
  <c r="L43" i="76"/>
  <c r="L56" i="74" s="1"/>
  <c r="L157" i="74" s="1"/>
  <c r="U42" i="76"/>
  <c r="U55" i="74" s="1"/>
  <c r="U156" i="74" s="1"/>
  <c r="S42" i="76"/>
  <c r="S55" i="74" s="1"/>
  <c r="S156" i="74" s="1"/>
  <c r="P43" i="76"/>
  <c r="P56" i="74" s="1"/>
  <c r="P157" i="74" s="1"/>
  <c r="O42" i="76"/>
  <c r="O55" i="74" s="1"/>
  <c r="O156" i="74" s="1"/>
  <c r="X43" i="76"/>
  <c r="X56" i="74" s="1"/>
  <c r="X157" i="74" s="1"/>
  <c r="J42" i="76"/>
  <c r="T42" i="76"/>
  <c r="T55" i="74" s="1"/>
  <c r="T156" i="74" s="1"/>
  <c r="R42" i="76"/>
  <c r="R55" i="74" s="1"/>
  <c r="R156" i="74" s="1"/>
  <c r="V42" i="76"/>
  <c r="V55" i="74" s="1"/>
  <c r="V156" i="74" s="1"/>
  <c r="W42" i="76"/>
  <c r="W55" i="74" s="1"/>
  <c r="W156" i="74" s="1"/>
  <c r="N42" i="76"/>
  <c r="N55" i="74" s="1"/>
  <c r="N156" i="74" s="1"/>
  <c r="L42" i="76"/>
  <c r="L55" i="74" s="1"/>
  <c r="L156" i="74" s="1"/>
  <c r="Y43" i="76"/>
  <c r="Y56" i="74" s="1"/>
  <c r="Y157" i="74" s="1"/>
  <c r="Q44" i="76"/>
  <c r="J55" i="74" l="1"/>
  <c r="J156" i="74" s="1"/>
  <c r="Q106" i="71"/>
  <c r="Q211" i="71" s="1"/>
  <c r="Q46" i="71"/>
  <c r="Q151" i="71" s="1"/>
  <c r="Q76" i="71"/>
  <c r="Q181" i="71" s="1"/>
  <c r="H33" i="83"/>
  <c r="H37" i="83"/>
  <c r="H35" i="83"/>
  <c r="H36" i="83"/>
  <c r="H39" i="83"/>
  <c r="H34" i="83"/>
  <c r="H31" i="83"/>
  <c r="H32" i="83"/>
  <c r="H30" i="83"/>
  <c r="H38" i="83"/>
  <c r="H64" i="72"/>
  <c r="H68" i="72"/>
  <c r="H70" i="72"/>
  <c r="H69" i="72"/>
  <c r="H63" i="72"/>
  <c r="H67" i="72"/>
  <c r="H72" i="72"/>
  <c r="H71" i="72"/>
  <c r="H66" i="72"/>
  <c r="H65" i="72"/>
  <c r="H74" i="73"/>
  <c r="H65" i="73"/>
  <c r="H70" i="73"/>
  <c r="H72" i="73"/>
  <c r="H73" i="73"/>
  <c r="H69" i="73"/>
  <c r="H68" i="73"/>
  <c r="H67" i="73"/>
  <c r="H71" i="73"/>
  <c r="H66" i="73"/>
  <c r="Q197" i="83" l="1"/>
  <c r="Q70" i="71" s="1"/>
  <c r="Q175" i="71" s="1"/>
  <c r="P139" i="83"/>
  <c r="P141" i="72" s="1"/>
  <c r="P211" i="72" s="1"/>
  <c r="P241" i="72" s="1"/>
  <c r="K197" i="83"/>
  <c r="K70" i="71" s="1"/>
  <c r="K175" i="71" s="1"/>
  <c r="Y197" i="83"/>
  <c r="Y70" i="71" s="1"/>
  <c r="Y175" i="71" s="1"/>
  <c r="L139" i="83"/>
  <c r="L141" i="72" s="1"/>
  <c r="L211" i="72" s="1"/>
  <c r="L241" i="72" s="1"/>
  <c r="M197" i="83"/>
  <c r="M70" i="71" s="1"/>
  <c r="M175" i="71" s="1"/>
  <c r="Q168" i="83"/>
  <c r="Q40" i="71" s="1"/>
  <c r="Q145" i="71" s="1"/>
  <c r="V226" i="83"/>
  <c r="V100" i="71" s="1"/>
  <c r="V205" i="71" s="1"/>
  <c r="N197" i="83"/>
  <c r="N70" i="71" s="1"/>
  <c r="N175" i="71" s="1"/>
  <c r="K168" i="83"/>
  <c r="K40" i="71" s="1"/>
  <c r="K145" i="71" s="1"/>
  <c r="W226" i="83"/>
  <c r="W100" i="71" s="1"/>
  <c r="W205" i="71" s="1"/>
  <c r="S226" i="83"/>
  <c r="S100" i="71" s="1"/>
  <c r="S205" i="71" s="1"/>
  <c r="X168" i="83"/>
  <c r="X40" i="71" s="1"/>
  <c r="X145" i="71" s="1"/>
  <c r="M139" i="83"/>
  <c r="M141" i="72" s="1"/>
  <c r="M211" i="72" s="1"/>
  <c r="M241" i="72" s="1"/>
  <c r="S197" i="83"/>
  <c r="S70" i="71" s="1"/>
  <c r="S175" i="71" s="1"/>
  <c r="L226" i="83"/>
  <c r="L100" i="71" s="1"/>
  <c r="L205" i="71" s="1"/>
  <c r="Y226" i="83"/>
  <c r="Y100" i="71" s="1"/>
  <c r="Y205" i="71" s="1"/>
  <c r="L197" i="83"/>
  <c r="L70" i="71" s="1"/>
  <c r="L175" i="71" s="1"/>
  <c r="U197" i="83"/>
  <c r="U70" i="71" s="1"/>
  <c r="U175" i="71" s="1"/>
  <c r="W168" i="83"/>
  <c r="W40" i="71" s="1"/>
  <c r="W145" i="71" s="1"/>
  <c r="V168" i="83"/>
  <c r="V40" i="71" s="1"/>
  <c r="V145" i="71" s="1"/>
  <c r="S168" i="83"/>
  <c r="S40" i="71" s="1"/>
  <c r="S145" i="71" s="1"/>
  <c r="M168" i="83"/>
  <c r="M40" i="71" s="1"/>
  <c r="M145" i="71" s="1"/>
  <c r="P197" i="83"/>
  <c r="P70" i="71" s="1"/>
  <c r="P175" i="71" s="1"/>
  <c r="O139" i="83"/>
  <c r="O141" i="72" s="1"/>
  <c r="O211" i="72" s="1"/>
  <c r="O241" i="72" s="1"/>
  <c r="X197" i="83"/>
  <c r="X70" i="71" s="1"/>
  <c r="X175" i="71" s="1"/>
  <c r="W139" i="83"/>
  <c r="U139" i="83"/>
  <c r="W197" i="83"/>
  <c r="W70" i="71" s="1"/>
  <c r="W175" i="71" s="1"/>
  <c r="T226" i="83"/>
  <c r="T100" i="71" s="1"/>
  <c r="T205" i="71" s="1"/>
  <c r="N226" i="83"/>
  <c r="N100" i="71" s="1"/>
  <c r="N205" i="71" s="1"/>
  <c r="L168" i="83"/>
  <c r="L40" i="71" s="1"/>
  <c r="L145" i="71" s="1"/>
  <c r="P168" i="83"/>
  <c r="P40" i="71" s="1"/>
  <c r="P145" i="71" s="1"/>
  <c r="T168" i="83"/>
  <c r="T40" i="71" s="1"/>
  <c r="T145" i="71" s="1"/>
  <c r="M226" i="83"/>
  <c r="M100" i="71" s="1"/>
  <c r="M205" i="71" s="1"/>
  <c r="O226" i="83"/>
  <c r="O100" i="71" s="1"/>
  <c r="O205" i="71" s="1"/>
  <c r="S139" i="83"/>
  <c r="X139" i="83"/>
  <c r="R168" i="83"/>
  <c r="R40" i="71" s="1"/>
  <c r="R145" i="71" s="1"/>
  <c r="J139" i="83"/>
  <c r="J141" i="72" s="1"/>
  <c r="J211" i="72" s="1"/>
  <c r="J241" i="72" s="1"/>
  <c r="K139" i="83"/>
  <c r="K141" i="72" s="1"/>
  <c r="K211" i="72" s="1"/>
  <c r="K241" i="72" s="1"/>
  <c r="X226" i="83"/>
  <c r="X100" i="71" s="1"/>
  <c r="X205" i="71" s="1"/>
  <c r="J168" i="83"/>
  <c r="J40" i="71" s="1"/>
  <c r="J145" i="71" s="1"/>
  <c r="U226" i="83"/>
  <c r="U100" i="71" s="1"/>
  <c r="U205" i="71" s="1"/>
  <c r="P226" i="83"/>
  <c r="P100" i="71" s="1"/>
  <c r="P205" i="71" s="1"/>
  <c r="Y139" i="83"/>
  <c r="Q226" i="83"/>
  <c r="Q100" i="71" s="1"/>
  <c r="Q205" i="71" s="1"/>
  <c r="R197" i="83"/>
  <c r="R70" i="71" s="1"/>
  <c r="R175" i="71" s="1"/>
  <c r="Y168" i="83"/>
  <c r="Y40" i="71" s="1"/>
  <c r="Y145" i="71" s="1"/>
  <c r="V139" i="83"/>
  <c r="R139" i="83"/>
  <c r="O168" i="83"/>
  <c r="O40" i="71" s="1"/>
  <c r="O145" i="71" s="1"/>
  <c r="J197" i="83"/>
  <c r="J70" i="71" s="1"/>
  <c r="J175" i="71" s="1"/>
  <c r="T197" i="83"/>
  <c r="T70" i="71" s="1"/>
  <c r="T175" i="71" s="1"/>
  <c r="T139" i="83"/>
  <c r="J226" i="83"/>
  <c r="J100" i="71" s="1"/>
  <c r="J205" i="71" s="1"/>
  <c r="R226" i="83"/>
  <c r="R100" i="71" s="1"/>
  <c r="R205" i="71" s="1"/>
  <c r="Q139" i="83"/>
  <c r="Q141" i="72" s="1"/>
  <c r="Q211" i="72" s="1"/>
  <c r="Q241" i="72" s="1"/>
  <c r="O197" i="83"/>
  <c r="O70" i="71" s="1"/>
  <c r="O175" i="71" s="1"/>
  <c r="V197" i="83"/>
  <c r="V70" i="71" s="1"/>
  <c r="V175" i="71" s="1"/>
  <c r="U168" i="83"/>
  <c r="U40" i="71" s="1"/>
  <c r="U145" i="71" s="1"/>
  <c r="N139" i="83"/>
  <c r="N141" i="72" s="1"/>
  <c r="N211" i="72" s="1"/>
  <c r="N241" i="72" s="1"/>
  <c r="K226" i="83"/>
  <c r="K100" i="71" s="1"/>
  <c r="K205" i="71" s="1"/>
  <c r="N168" i="83"/>
  <c r="N40" i="71" s="1"/>
  <c r="N145" i="71" s="1"/>
  <c r="R180" i="72"/>
  <c r="R215" i="72" s="1"/>
  <c r="R245" i="72" s="1"/>
  <c r="W180" i="72"/>
  <c r="W215" i="72" s="1"/>
  <c r="W245" i="72" s="1"/>
  <c r="U180" i="72"/>
  <c r="U215" i="72" s="1"/>
  <c r="U245" i="72" s="1"/>
  <c r="V180" i="72"/>
  <c r="V215" i="72" s="1"/>
  <c r="V245" i="72" s="1"/>
  <c r="T180" i="72"/>
  <c r="T215" i="72" s="1"/>
  <c r="T245" i="72" s="1"/>
  <c r="Y180" i="72"/>
  <c r="Y215" i="72" s="1"/>
  <c r="Y245" i="72" s="1"/>
  <c r="X180" i="72"/>
  <c r="X215" i="72" s="1"/>
  <c r="X245" i="72" s="1"/>
  <c r="S180" i="72"/>
  <c r="S215" i="72" s="1"/>
  <c r="S245" i="72" s="1"/>
  <c r="T173" i="83"/>
  <c r="T45" i="71" s="1"/>
  <c r="T150" i="71" s="1"/>
  <c r="Y231" i="83"/>
  <c r="Y105" i="71" s="1"/>
  <c r="Y210" i="71" s="1"/>
  <c r="R231" i="83"/>
  <c r="R105" i="71" s="1"/>
  <c r="R210" i="71" s="1"/>
  <c r="Y144" i="83"/>
  <c r="X231" i="83"/>
  <c r="X105" i="71" s="1"/>
  <c r="X210" i="71" s="1"/>
  <c r="Q144" i="83"/>
  <c r="Q146" i="72" s="1"/>
  <c r="Q216" i="72" s="1"/>
  <c r="Q246" i="72" s="1"/>
  <c r="J173" i="83"/>
  <c r="J45" i="71" s="1"/>
  <c r="J150" i="71" s="1"/>
  <c r="N202" i="83"/>
  <c r="N75" i="71" s="1"/>
  <c r="N180" i="71" s="1"/>
  <c r="U144" i="83"/>
  <c r="X202" i="83"/>
  <c r="X75" i="71" s="1"/>
  <c r="X180" i="71" s="1"/>
  <c r="K144" i="83"/>
  <c r="K146" i="72" s="1"/>
  <c r="K216" i="72" s="1"/>
  <c r="K246" i="72" s="1"/>
  <c r="P173" i="83"/>
  <c r="P45" i="71" s="1"/>
  <c r="P150" i="71" s="1"/>
  <c r="S144" i="83"/>
  <c r="U202" i="83"/>
  <c r="U75" i="71" s="1"/>
  <c r="U180" i="71" s="1"/>
  <c r="L231" i="83"/>
  <c r="L105" i="71" s="1"/>
  <c r="L210" i="71" s="1"/>
  <c r="W173" i="83"/>
  <c r="W45" i="71" s="1"/>
  <c r="W150" i="71" s="1"/>
  <c r="O231" i="83"/>
  <c r="O105" i="71" s="1"/>
  <c r="O210" i="71" s="1"/>
  <c r="V144" i="83"/>
  <c r="M144" i="83"/>
  <c r="M146" i="72" s="1"/>
  <c r="M216" i="72" s="1"/>
  <c r="M246" i="72" s="1"/>
  <c r="K231" i="83"/>
  <c r="K105" i="71" s="1"/>
  <c r="K210" i="71" s="1"/>
  <c r="R144" i="83"/>
  <c r="W144" i="83"/>
  <c r="V202" i="83"/>
  <c r="V75" i="71" s="1"/>
  <c r="V180" i="71" s="1"/>
  <c r="P231" i="83"/>
  <c r="P105" i="71" s="1"/>
  <c r="P210" i="71" s="1"/>
  <c r="M173" i="83"/>
  <c r="M45" i="71" s="1"/>
  <c r="M150" i="71" s="1"/>
  <c r="T231" i="83"/>
  <c r="T105" i="71" s="1"/>
  <c r="T210" i="71" s="1"/>
  <c r="T144" i="83"/>
  <c r="P202" i="83"/>
  <c r="P75" i="71" s="1"/>
  <c r="P180" i="71" s="1"/>
  <c r="J231" i="83"/>
  <c r="J105" i="71" s="1"/>
  <c r="J210" i="71" s="1"/>
  <c r="L144" i="83"/>
  <c r="L146" i="72" s="1"/>
  <c r="L216" i="72" s="1"/>
  <c r="L246" i="72" s="1"/>
  <c r="O173" i="83"/>
  <c r="O45" i="71" s="1"/>
  <c r="O150" i="71" s="1"/>
  <c r="V231" i="83"/>
  <c r="V105" i="71" s="1"/>
  <c r="V210" i="71" s="1"/>
  <c r="Q202" i="83"/>
  <c r="Q75" i="71" s="1"/>
  <c r="Q180" i="71" s="1"/>
  <c r="O202" i="83"/>
  <c r="O75" i="71" s="1"/>
  <c r="O180" i="71" s="1"/>
  <c r="Y173" i="83"/>
  <c r="Y45" i="71" s="1"/>
  <c r="Y150" i="71" s="1"/>
  <c r="Y202" i="83"/>
  <c r="Y75" i="71" s="1"/>
  <c r="Y180" i="71" s="1"/>
  <c r="R173" i="83"/>
  <c r="R45" i="71" s="1"/>
  <c r="R150" i="71" s="1"/>
  <c r="X144" i="83"/>
  <c r="O144" i="83"/>
  <c r="O146" i="72" s="1"/>
  <c r="O216" i="72" s="1"/>
  <c r="O246" i="72" s="1"/>
  <c r="N144" i="83"/>
  <c r="N146" i="72" s="1"/>
  <c r="N216" i="72" s="1"/>
  <c r="N246" i="72" s="1"/>
  <c r="Q231" i="83"/>
  <c r="Q105" i="71" s="1"/>
  <c r="Q210" i="71" s="1"/>
  <c r="S173" i="83"/>
  <c r="S45" i="71" s="1"/>
  <c r="S150" i="71" s="1"/>
  <c r="R202" i="83"/>
  <c r="R75" i="71" s="1"/>
  <c r="R180" i="71" s="1"/>
  <c r="N231" i="83"/>
  <c r="N105" i="71" s="1"/>
  <c r="N210" i="71" s="1"/>
  <c r="U231" i="83"/>
  <c r="U105" i="71" s="1"/>
  <c r="U210" i="71" s="1"/>
  <c r="S231" i="83"/>
  <c r="S105" i="71" s="1"/>
  <c r="S210" i="71" s="1"/>
  <c r="T202" i="83"/>
  <c r="T75" i="71" s="1"/>
  <c r="T180" i="71" s="1"/>
  <c r="K202" i="83"/>
  <c r="K75" i="71" s="1"/>
  <c r="K180" i="71" s="1"/>
  <c r="V173" i="83"/>
  <c r="V45" i="71" s="1"/>
  <c r="V150" i="71" s="1"/>
  <c r="K173" i="83"/>
  <c r="K45" i="71" s="1"/>
  <c r="K150" i="71" s="1"/>
  <c r="U173" i="83"/>
  <c r="U45" i="71" s="1"/>
  <c r="U150" i="71" s="1"/>
  <c r="M231" i="83"/>
  <c r="M105" i="71" s="1"/>
  <c r="M210" i="71" s="1"/>
  <c r="L173" i="83"/>
  <c r="L45" i="71" s="1"/>
  <c r="L150" i="71" s="1"/>
  <c r="S202" i="83"/>
  <c r="S75" i="71" s="1"/>
  <c r="S180" i="71" s="1"/>
  <c r="J202" i="83"/>
  <c r="J75" i="71" s="1"/>
  <c r="J180" i="71" s="1"/>
  <c r="Q173" i="83"/>
  <c r="Q45" i="71" s="1"/>
  <c r="Q150" i="71" s="1"/>
  <c r="J144" i="83"/>
  <c r="J146" i="72" s="1"/>
  <c r="J216" i="72" s="1"/>
  <c r="J246" i="72" s="1"/>
  <c r="M202" i="83"/>
  <c r="M75" i="71" s="1"/>
  <c r="M180" i="71" s="1"/>
  <c r="W202" i="83"/>
  <c r="W75" i="71" s="1"/>
  <c r="W180" i="71" s="1"/>
  <c r="N173" i="83"/>
  <c r="N45" i="71" s="1"/>
  <c r="N150" i="71" s="1"/>
  <c r="P144" i="83"/>
  <c r="P146" i="72" s="1"/>
  <c r="P216" i="72" s="1"/>
  <c r="P246" i="72" s="1"/>
  <c r="X173" i="83"/>
  <c r="X45" i="71" s="1"/>
  <c r="X150" i="71" s="1"/>
  <c r="W231" i="83"/>
  <c r="W105" i="71" s="1"/>
  <c r="W210" i="71" s="1"/>
  <c r="L202" i="83"/>
  <c r="L75" i="71" s="1"/>
  <c r="L180" i="71" s="1"/>
  <c r="T174" i="72"/>
  <c r="T209" i="72" s="1"/>
  <c r="T239" i="72" s="1"/>
  <c r="S174" i="72"/>
  <c r="S209" i="72" s="1"/>
  <c r="S239" i="72" s="1"/>
  <c r="R174" i="72"/>
  <c r="R209" i="72" s="1"/>
  <c r="R239" i="72" s="1"/>
  <c r="Y174" i="72"/>
  <c r="Y209" i="72" s="1"/>
  <c r="Y239" i="72" s="1"/>
  <c r="W174" i="72"/>
  <c r="W209" i="72" s="1"/>
  <c r="W239" i="72" s="1"/>
  <c r="X174" i="72"/>
  <c r="X209" i="72" s="1"/>
  <c r="X239" i="72" s="1"/>
  <c r="U174" i="72"/>
  <c r="U209" i="72" s="1"/>
  <c r="U239" i="72" s="1"/>
  <c r="V174" i="72"/>
  <c r="V209" i="72" s="1"/>
  <c r="V239" i="72"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O141" i="83"/>
  <c r="O143" i="72" s="1"/>
  <c r="O213" i="72" s="1"/>
  <c r="O243" i="72" s="1"/>
  <c r="M170" i="83"/>
  <c r="M42" i="71" s="1"/>
  <c r="M147" i="71" s="1"/>
  <c r="L170" i="83"/>
  <c r="L42" i="71" s="1"/>
  <c r="L147" i="71" s="1"/>
  <c r="L199" i="83"/>
  <c r="L72" i="71" s="1"/>
  <c r="L177" i="71" s="1"/>
  <c r="P141" i="83"/>
  <c r="P143" i="72" s="1"/>
  <c r="P213" i="72" s="1"/>
  <c r="P243" i="72" s="1"/>
  <c r="S228" i="83"/>
  <c r="S102" i="71" s="1"/>
  <c r="S207" i="71" s="1"/>
  <c r="Q141" i="83"/>
  <c r="Q143" i="72" s="1"/>
  <c r="Q213" i="72" s="1"/>
  <c r="Q243" i="72" s="1"/>
  <c r="L141" i="83"/>
  <c r="L143" i="72" s="1"/>
  <c r="L213" i="72" s="1"/>
  <c r="L243" i="72" s="1"/>
  <c r="U141" i="83"/>
  <c r="J141" i="83"/>
  <c r="J143" i="72" s="1"/>
  <c r="J213" i="72" s="1"/>
  <c r="J243" i="72" s="1"/>
  <c r="V141" i="83"/>
  <c r="Y141" i="83"/>
  <c r="K170" i="83"/>
  <c r="K42" i="71" s="1"/>
  <c r="K147" i="71" s="1"/>
  <c r="R141" i="83"/>
  <c r="M141" i="83"/>
  <c r="M143" i="72" s="1"/>
  <c r="M213" i="72" s="1"/>
  <c r="M243" i="72" s="1"/>
  <c r="R228" i="83"/>
  <c r="R102" i="71" s="1"/>
  <c r="R207" i="71" s="1"/>
  <c r="J170" i="83"/>
  <c r="J42" i="71" s="1"/>
  <c r="J147" i="71" s="1"/>
  <c r="O170" i="83"/>
  <c r="O42" i="71" s="1"/>
  <c r="O147" i="71" s="1"/>
  <c r="S170" i="83"/>
  <c r="S42" i="71" s="1"/>
  <c r="S147" i="71" s="1"/>
  <c r="X199" i="83"/>
  <c r="X72" i="71" s="1"/>
  <c r="X177" i="71" s="1"/>
  <c r="O228" i="83"/>
  <c r="O102" i="71" s="1"/>
  <c r="O207" i="71" s="1"/>
  <c r="W199" i="83"/>
  <c r="W72" i="71" s="1"/>
  <c r="W177" i="71" s="1"/>
  <c r="K141" i="83"/>
  <c r="K143" i="72" s="1"/>
  <c r="K213" i="72" s="1"/>
  <c r="K243" i="72" s="1"/>
  <c r="M199" i="83"/>
  <c r="M72" i="71" s="1"/>
  <c r="M177" i="71" s="1"/>
  <c r="V199" i="83"/>
  <c r="V72" i="71" s="1"/>
  <c r="V177" i="71" s="1"/>
  <c r="N170" i="83"/>
  <c r="N42" i="71" s="1"/>
  <c r="N147" i="71" s="1"/>
  <c r="X228" i="83"/>
  <c r="X102" i="71" s="1"/>
  <c r="X207" i="71" s="1"/>
  <c r="R199" i="83"/>
  <c r="R72" i="71" s="1"/>
  <c r="R177" i="71" s="1"/>
  <c r="T141" i="83"/>
  <c r="J228" i="83"/>
  <c r="J102" i="71" s="1"/>
  <c r="J207" i="71" s="1"/>
  <c r="J199" i="83"/>
  <c r="J72" i="71" s="1"/>
  <c r="J177" i="71" s="1"/>
  <c r="W141" i="83"/>
  <c r="P170" i="83"/>
  <c r="P42" i="71" s="1"/>
  <c r="P147" i="71" s="1"/>
  <c r="K228" i="83"/>
  <c r="K102" i="71" s="1"/>
  <c r="K207" i="71" s="1"/>
  <c r="Q228" i="83"/>
  <c r="Q102" i="71" s="1"/>
  <c r="Q207" i="71" s="1"/>
  <c r="X170" i="83"/>
  <c r="X42" i="71" s="1"/>
  <c r="X147" i="71" s="1"/>
  <c r="U170" i="83"/>
  <c r="U42" i="71" s="1"/>
  <c r="U147" i="71" s="1"/>
  <c r="Y199" i="83"/>
  <c r="Y72" i="71" s="1"/>
  <c r="Y177" i="71" s="1"/>
  <c r="S141" i="83"/>
  <c r="L228" i="83"/>
  <c r="L102" i="71" s="1"/>
  <c r="L207" i="71" s="1"/>
  <c r="O199" i="83"/>
  <c r="O72" i="71" s="1"/>
  <c r="O177" i="71" s="1"/>
  <c r="N199" i="83"/>
  <c r="N72" i="71" s="1"/>
  <c r="N177" i="71" s="1"/>
  <c r="Q199" i="83"/>
  <c r="Q72" i="71" s="1"/>
  <c r="Q177" i="71" s="1"/>
  <c r="W170" i="83"/>
  <c r="W42" i="71" s="1"/>
  <c r="W147" i="71" s="1"/>
  <c r="U199" i="83"/>
  <c r="U72" i="71" s="1"/>
  <c r="U177" i="71" s="1"/>
  <c r="N141" i="83"/>
  <c r="N143" i="72" s="1"/>
  <c r="N213" i="72" s="1"/>
  <c r="N243" i="72" s="1"/>
  <c r="W228" i="83"/>
  <c r="W102" i="71" s="1"/>
  <c r="W207" i="71" s="1"/>
  <c r="R170" i="83"/>
  <c r="R42" i="71" s="1"/>
  <c r="R147" i="71" s="1"/>
  <c r="T199" i="83"/>
  <c r="T72" i="71" s="1"/>
  <c r="T177" i="71" s="1"/>
  <c r="N228" i="83"/>
  <c r="N102" i="71" s="1"/>
  <c r="N207" i="71" s="1"/>
  <c r="Q170" i="83"/>
  <c r="Q42" i="71" s="1"/>
  <c r="Q147" i="71" s="1"/>
  <c r="X141" i="83"/>
  <c r="V170" i="83"/>
  <c r="V42" i="71" s="1"/>
  <c r="V147" i="71" s="1"/>
  <c r="V228" i="83"/>
  <c r="V102" i="71" s="1"/>
  <c r="V207" i="71" s="1"/>
  <c r="P228" i="83"/>
  <c r="P102" i="71" s="1"/>
  <c r="P207" i="71" s="1"/>
  <c r="U228" i="83"/>
  <c r="U102" i="71" s="1"/>
  <c r="U207" i="71" s="1"/>
  <c r="T228" i="83"/>
  <c r="T102" i="71" s="1"/>
  <c r="T207" i="71" s="1"/>
  <c r="S199" i="83"/>
  <c r="S72" i="71" s="1"/>
  <c r="S177" i="71" s="1"/>
  <c r="M228" i="83"/>
  <c r="M102" i="71" s="1"/>
  <c r="M207" i="71" s="1"/>
  <c r="T170" i="83"/>
  <c r="T42" i="71" s="1"/>
  <c r="T147" i="71" s="1"/>
  <c r="Y228" i="83"/>
  <c r="Y102" i="71" s="1"/>
  <c r="Y207" i="71" s="1"/>
  <c r="Y170" i="83"/>
  <c r="Y42" i="71" s="1"/>
  <c r="Y147" i="71" s="1"/>
  <c r="P199" i="83"/>
  <c r="P72" i="71" s="1"/>
  <c r="P177" i="71" s="1"/>
  <c r="K199" i="83"/>
  <c r="K72" i="71" s="1"/>
  <c r="K177" i="71" s="1"/>
  <c r="K177" i="73"/>
  <c r="K237" i="73" s="1"/>
  <c r="Q177" i="73"/>
  <c r="Q237" i="73" s="1"/>
  <c r="O147" i="73"/>
  <c r="J147" i="73"/>
  <c r="K147" i="73"/>
  <c r="O177" i="73"/>
  <c r="O237" i="73" s="1"/>
  <c r="Q147" i="73"/>
  <c r="N147" i="73"/>
  <c r="J177" i="73"/>
  <c r="J237" i="73" s="1"/>
  <c r="M147" i="73"/>
  <c r="P147" i="73"/>
  <c r="P177" i="73"/>
  <c r="P237" i="73" s="1"/>
  <c r="L177" i="73"/>
  <c r="L237" i="73" s="1"/>
  <c r="M177" i="73"/>
  <c r="M237" i="73" s="1"/>
  <c r="N177" i="73"/>
  <c r="N237" i="73" s="1"/>
  <c r="L147" i="73"/>
  <c r="T176" i="72"/>
  <c r="T211" i="72" s="1"/>
  <c r="T241" i="72" s="1"/>
  <c r="S176" i="72"/>
  <c r="S211" i="72" s="1"/>
  <c r="S241" i="72" s="1"/>
  <c r="V176" i="72"/>
  <c r="V211" i="72" s="1"/>
  <c r="V241" i="72" s="1"/>
  <c r="R176" i="72"/>
  <c r="R211" i="72" s="1"/>
  <c r="R241" i="72" s="1"/>
  <c r="U176" i="72"/>
  <c r="U211" i="72" s="1"/>
  <c r="U241" i="72" s="1"/>
  <c r="X176" i="72"/>
  <c r="X211" i="72" s="1"/>
  <c r="X241" i="72" s="1"/>
  <c r="Y176" i="72"/>
  <c r="Y211" i="72" s="1"/>
  <c r="Y241" i="72" s="1"/>
  <c r="W176" i="72"/>
  <c r="W211" i="72" s="1"/>
  <c r="W241" i="72" s="1"/>
  <c r="W227" i="83"/>
  <c r="W101" i="71" s="1"/>
  <c r="W206" i="71" s="1"/>
  <c r="P227" i="83"/>
  <c r="P101" i="71" s="1"/>
  <c r="P206" i="71" s="1"/>
  <c r="P169" i="83"/>
  <c r="P41" i="71" s="1"/>
  <c r="P146" i="71" s="1"/>
  <c r="Y227" i="83"/>
  <c r="Y101" i="71" s="1"/>
  <c r="Y206" i="71" s="1"/>
  <c r="K169" i="83"/>
  <c r="K41" i="71" s="1"/>
  <c r="K146" i="71" s="1"/>
  <c r="X227" i="83"/>
  <c r="X101" i="71" s="1"/>
  <c r="X206" i="71" s="1"/>
  <c r="L227" i="83"/>
  <c r="L101" i="71" s="1"/>
  <c r="L206" i="71" s="1"/>
  <c r="Q140" i="83"/>
  <c r="Q142" i="72" s="1"/>
  <c r="Q212" i="72" s="1"/>
  <c r="Q242" i="72" s="1"/>
  <c r="K140" i="83"/>
  <c r="K142" i="72" s="1"/>
  <c r="K212" i="72" s="1"/>
  <c r="K242" i="72" s="1"/>
  <c r="K198" i="83"/>
  <c r="K71" i="71" s="1"/>
  <c r="K176" i="71" s="1"/>
  <c r="V169" i="83"/>
  <c r="V41" i="71" s="1"/>
  <c r="V146" i="71" s="1"/>
  <c r="X169" i="83"/>
  <c r="X41" i="71" s="1"/>
  <c r="X146" i="71" s="1"/>
  <c r="X140" i="83"/>
  <c r="W169" i="83"/>
  <c r="W41" i="71" s="1"/>
  <c r="W146" i="71" s="1"/>
  <c r="J140" i="83"/>
  <c r="J142" i="72" s="1"/>
  <c r="J212" i="72" s="1"/>
  <c r="J242" i="72" s="1"/>
  <c r="L198" i="83"/>
  <c r="L71" i="71" s="1"/>
  <c r="L176" i="71" s="1"/>
  <c r="M169" i="83"/>
  <c r="M41" i="71" s="1"/>
  <c r="M146" i="71" s="1"/>
  <c r="O169" i="83"/>
  <c r="O41" i="71" s="1"/>
  <c r="O146" i="71" s="1"/>
  <c r="P140" i="83"/>
  <c r="P142" i="72" s="1"/>
  <c r="P212" i="72" s="1"/>
  <c r="P242" i="72" s="1"/>
  <c r="S140" i="83"/>
  <c r="O227" i="83"/>
  <c r="O101" i="71" s="1"/>
  <c r="O206" i="71" s="1"/>
  <c r="O140" i="83"/>
  <c r="O142" i="72" s="1"/>
  <c r="O212" i="72" s="1"/>
  <c r="O242" i="72" s="1"/>
  <c r="S227" i="83"/>
  <c r="S101" i="71" s="1"/>
  <c r="S206" i="71" s="1"/>
  <c r="U198" i="83"/>
  <c r="U71" i="71" s="1"/>
  <c r="U176" i="71" s="1"/>
  <c r="N198" i="83"/>
  <c r="N71" i="71" s="1"/>
  <c r="N176" i="71" s="1"/>
  <c r="T227" i="83"/>
  <c r="T101" i="71" s="1"/>
  <c r="T206" i="71" s="1"/>
  <c r="R227" i="83"/>
  <c r="R101" i="71" s="1"/>
  <c r="R206" i="71" s="1"/>
  <c r="V198" i="83"/>
  <c r="V71" i="71" s="1"/>
  <c r="V176" i="71" s="1"/>
  <c r="L169" i="83"/>
  <c r="L41" i="71" s="1"/>
  <c r="L146" i="71" s="1"/>
  <c r="Q169" i="83"/>
  <c r="Q41" i="71" s="1"/>
  <c r="Q146" i="71" s="1"/>
  <c r="Y169" i="83"/>
  <c r="Y41" i="71" s="1"/>
  <c r="Y146" i="71" s="1"/>
  <c r="Y140" i="83"/>
  <c r="W140" i="83"/>
  <c r="U169" i="83"/>
  <c r="U41" i="71" s="1"/>
  <c r="U146" i="71" s="1"/>
  <c r="X198" i="83"/>
  <c r="X71" i="71" s="1"/>
  <c r="X176" i="71" s="1"/>
  <c r="J227" i="83"/>
  <c r="J101" i="71" s="1"/>
  <c r="J206" i="71" s="1"/>
  <c r="U140" i="83"/>
  <c r="Q227" i="83"/>
  <c r="Q101" i="71" s="1"/>
  <c r="Q206" i="71" s="1"/>
  <c r="Q198" i="83"/>
  <c r="Q71" i="71" s="1"/>
  <c r="Q176" i="71" s="1"/>
  <c r="N227" i="83"/>
  <c r="N101" i="71" s="1"/>
  <c r="N206" i="71" s="1"/>
  <c r="W198" i="83"/>
  <c r="W71" i="71" s="1"/>
  <c r="W176" i="71" s="1"/>
  <c r="N169" i="83"/>
  <c r="N41" i="71" s="1"/>
  <c r="N146" i="71" s="1"/>
  <c r="L140" i="83"/>
  <c r="L142" i="72" s="1"/>
  <c r="L212" i="72" s="1"/>
  <c r="L242" i="72" s="1"/>
  <c r="U227" i="83"/>
  <c r="U101" i="71" s="1"/>
  <c r="U206" i="71" s="1"/>
  <c r="P198" i="83"/>
  <c r="P71" i="71" s="1"/>
  <c r="P176" i="71" s="1"/>
  <c r="J198" i="83"/>
  <c r="J71" i="71" s="1"/>
  <c r="J176" i="71" s="1"/>
  <c r="T169" i="83"/>
  <c r="T41" i="71" s="1"/>
  <c r="T146" i="71" s="1"/>
  <c r="T140" i="83"/>
  <c r="V227" i="83"/>
  <c r="V101" i="71" s="1"/>
  <c r="V206" i="71" s="1"/>
  <c r="M227" i="83"/>
  <c r="M101" i="71" s="1"/>
  <c r="M206" i="71" s="1"/>
  <c r="V140" i="83"/>
  <c r="K227" i="83"/>
  <c r="K101" i="71" s="1"/>
  <c r="K206" i="71" s="1"/>
  <c r="S198" i="83"/>
  <c r="S71" i="71" s="1"/>
  <c r="S176" i="71" s="1"/>
  <c r="J169" i="83"/>
  <c r="J41" i="71" s="1"/>
  <c r="J146" i="71" s="1"/>
  <c r="T198" i="83"/>
  <c r="T71" i="71" s="1"/>
  <c r="T176" i="71" s="1"/>
  <c r="R198" i="83"/>
  <c r="R71" i="71" s="1"/>
  <c r="R176" i="71" s="1"/>
  <c r="R140" i="83"/>
  <c r="S169" i="83"/>
  <c r="S41" i="71" s="1"/>
  <c r="S146" i="71" s="1"/>
  <c r="R169" i="83"/>
  <c r="R41" i="71" s="1"/>
  <c r="R146" i="71" s="1"/>
  <c r="N140" i="83"/>
  <c r="N142" i="72" s="1"/>
  <c r="N212" i="72" s="1"/>
  <c r="N242" i="72" s="1"/>
  <c r="M140" i="83"/>
  <c r="M142" i="72" s="1"/>
  <c r="M212" i="72" s="1"/>
  <c r="M242" i="72" s="1"/>
  <c r="Y198" i="83"/>
  <c r="Y71" i="71" s="1"/>
  <c r="Y176" i="71" s="1"/>
  <c r="M198" i="83"/>
  <c r="M71" i="71" s="1"/>
  <c r="M176" i="71" s="1"/>
  <c r="O198" i="83"/>
  <c r="O71" i="71" s="1"/>
  <c r="O176" i="71" s="1"/>
  <c r="N182" i="73"/>
  <c r="N242" i="73" s="1"/>
  <c r="K182" i="73"/>
  <c r="K242" i="73" s="1"/>
  <c r="O152" i="73"/>
  <c r="K152" i="73"/>
  <c r="J152" i="73"/>
  <c r="O182" i="73"/>
  <c r="O242" i="73" s="1"/>
  <c r="P182" i="73"/>
  <c r="P242" i="73" s="1"/>
  <c r="P152" i="73"/>
  <c r="Q182" i="73"/>
  <c r="Q242" i="73" s="1"/>
  <c r="M152" i="73"/>
  <c r="N152" i="73"/>
  <c r="J182" i="73"/>
  <c r="J242" i="73" s="1"/>
  <c r="L182" i="73"/>
  <c r="L242" i="73" s="1"/>
  <c r="M182" i="73"/>
  <c r="M242" i="73" s="1"/>
  <c r="Q152" i="73"/>
  <c r="L152" i="73"/>
  <c r="U172" i="72"/>
  <c r="U207" i="72" s="1"/>
  <c r="U237" i="72" s="1"/>
  <c r="W172" i="72"/>
  <c r="W207" i="72" s="1"/>
  <c r="W237" i="72" s="1"/>
  <c r="X172" i="72"/>
  <c r="X207" i="72" s="1"/>
  <c r="X237" i="72" s="1"/>
  <c r="V172" i="72"/>
  <c r="V207" i="72" s="1"/>
  <c r="V237" i="72" s="1"/>
  <c r="T172" i="72"/>
  <c r="T207" i="72" s="1"/>
  <c r="T237" i="72" s="1"/>
  <c r="S172" i="72"/>
  <c r="S207" i="72" s="1"/>
  <c r="S237" i="72" s="1"/>
  <c r="R172" i="72"/>
  <c r="R207" i="72" s="1"/>
  <c r="R237" i="72" s="1"/>
  <c r="Y172" i="72"/>
  <c r="Y207" i="72" s="1"/>
  <c r="Y237" i="72" s="1"/>
  <c r="U171" i="83"/>
  <c r="U43" i="71" s="1"/>
  <c r="U148" i="71" s="1"/>
  <c r="Q200" i="83"/>
  <c r="Q73" i="71" s="1"/>
  <c r="Q178" i="71" s="1"/>
  <c r="P200" i="83"/>
  <c r="P73" i="71" s="1"/>
  <c r="P178" i="71" s="1"/>
  <c r="X142" i="83"/>
  <c r="W200" i="83"/>
  <c r="W73" i="71" s="1"/>
  <c r="W178" i="71" s="1"/>
  <c r="V171" i="83"/>
  <c r="V43" i="71" s="1"/>
  <c r="V148" i="71" s="1"/>
  <c r="U200" i="83"/>
  <c r="U73" i="71" s="1"/>
  <c r="U178" i="71" s="1"/>
  <c r="R229" i="83"/>
  <c r="R103" i="71" s="1"/>
  <c r="R208" i="71" s="1"/>
  <c r="S142" i="83"/>
  <c r="J200" i="83"/>
  <c r="J73" i="71" s="1"/>
  <c r="J178" i="71" s="1"/>
  <c r="Q229" i="83"/>
  <c r="Q103" i="71" s="1"/>
  <c r="Q208" i="71" s="1"/>
  <c r="M171" i="83"/>
  <c r="M43" i="71" s="1"/>
  <c r="M148" i="71" s="1"/>
  <c r="M229" i="83"/>
  <c r="M103" i="71" s="1"/>
  <c r="M208" i="71" s="1"/>
  <c r="X171" i="83"/>
  <c r="X43" i="71" s="1"/>
  <c r="X148" i="71" s="1"/>
  <c r="W171" i="83"/>
  <c r="W43" i="71" s="1"/>
  <c r="W148" i="71" s="1"/>
  <c r="P142" i="83"/>
  <c r="P144" i="72" s="1"/>
  <c r="P214" i="72" s="1"/>
  <c r="P244" i="72" s="1"/>
  <c r="T142" i="83"/>
  <c r="N200" i="83"/>
  <c r="N73" i="71" s="1"/>
  <c r="N178" i="71" s="1"/>
  <c r="M200" i="83"/>
  <c r="M73" i="71" s="1"/>
  <c r="M178" i="71" s="1"/>
  <c r="Y171" i="83"/>
  <c r="Y43" i="71" s="1"/>
  <c r="Y148" i="71" s="1"/>
  <c r="V200" i="83"/>
  <c r="V73" i="71" s="1"/>
  <c r="V178" i="71" s="1"/>
  <c r="K171" i="83"/>
  <c r="K43" i="71" s="1"/>
  <c r="K148" i="71" s="1"/>
  <c r="X200" i="83"/>
  <c r="X73" i="71" s="1"/>
  <c r="X178" i="71" s="1"/>
  <c r="L142" i="83"/>
  <c r="L144" i="72" s="1"/>
  <c r="L214" i="72" s="1"/>
  <c r="L244" i="72" s="1"/>
  <c r="U142" i="83"/>
  <c r="L200" i="83"/>
  <c r="L73" i="71" s="1"/>
  <c r="L178" i="71" s="1"/>
  <c r="L171" i="83"/>
  <c r="L43" i="71" s="1"/>
  <c r="L148" i="71" s="1"/>
  <c r="J229" i="83"/>
  <c r="J103" i="71" s="1"/>
  <c r="J208" i="71" s="1"/>
  <c r="V229" i="83"/>
  <c r="V103" i="71" s="1"/>
  <c r="V208" i="71" s="1"/>
  <c r="N229" i="83"/>
  <c r="N103" i="71" s="1"/>
  <c r="N208" i="71" s="1"/>
  <c r="S229" i="83"/>
  <c r="S103" i="71" s="1"/>
  <c r="S208" i="71" s="1"/>
  <c r="X229" i="83"/>
  <c r="X103" i="71" s="1"/>
  <c r="X208" i="71" s="1"/>
  <c r="U229" i="83"/>
  <c r="U103" i="71" s="1"/>
  <c r="U208" i="71" s="1"/>
  <c r="M142" i="83"/>
  <c r="M144" i="72" s="1"/>
  <c r="M214" i="72" s="1"/>
  <c r="M244" i="72" s="1"/>
  <c r="S200" i="83"/>
  <c r="S73" i="71" s="1"/>
  <c r="S178" i="71" s="1"/>
  <c r="T171" i="83"/>
  <c r="T43" i="71" s="1"/>
  <c r="T148" i="71" s="1"/>
  <c r="O200" i="83"/>
  <c r="O73" i="71" s="1"/>
  <c r="O178" i="71" s="1"/>
  <c r="W229" i="83"/>
  <c r="W103" i="71" s="1"/>
  <c r="W208" i="71" s="1"/>
  <c r="T229" i="83"/>
  <c r="T103" i="71" s="1"/>
  <c r="T208" i="71" s="1"/>
  <c r="Q171" i="83"/>
  <c r="Q43" i="71" s="1"/>
  <c r="Q148" i="71" s="1"/>
  <c r="Y200" i="83"/>
  <c r="Y73" i="71" s="1"/>
  <c r="Y178" i="71" s="1"/>
  <c r="Y142" i="83"/>
  <c r="N142" i="83"/>
  <c r="N144" i="72" s="1"/>
  <c r="N214" i="72" s="1"/>
  <c r="N244" i="72" s="1"/>
  <c r="J171" i="83"/>
  <c r="J43" i="71" s="1"/>
  <c r="J148" i="71" s="1"/>
  <c r="O171" i="83"/>
  <c r="O43" i="71" s="1"/>
  <c r="O148" i="71" s="1"/>
  <c r="W142" i="83"/>
  <c r="S171" i="83"/>
  <c r="S43" i="71" s="1"/>
  <c r="S148" i="71" s="1"/>
  <c r="R200" i="83"/>
  <c r="R73" i="71" s="1"/>
  <c r="R178" i="71" s="1"/>
  <c r="R142" i="83"/>
  <c r="P171" i="83"/>
  <c r="P43" i="71" s="1"/>
  <c r="P148" i="71" s="1"/>
  <c r="O142" i="83"/>
  <c r="O144" i="72" s="1"/>
  <c r="O214" i="72" s="1"/>
  <c r="O244" i="72" s="1"/>
  <c r="L229" i="83"/>
  <c r="L103" i="71" s="1"/>
  <c r="L208" i="71" s="1"/>
  <c r="R171" i="83"/>
  <c r="R43" i="71" s="1"/>
  <c r="R148" i="71" s="1"/>
  <c r="V142" i="83"/>
  <c r="J142" i="83"/>
  <c r="J144" i="72" s="1"/>
  <c r="J214" i="72" s="1"/>
  <c r="J244" i="72" s="1"/>
  <c r="K142" i="83"/>
  <c r="K144" i="72" s="1"/>
  <c r="K214" i="72" s="1"/>
  <c r="K244" i="72" s="1"/>
  <c r="O229" i="83"/>
  <c r="O103" i="71" s="1"/>
  <c r="O208" i="71" s="1"/>
  <c r="Q142" i="83"/>
  <c r="Q144" i="72" s="1"/>
  <c r="Q214" i="72" s="1"/>
  <c r="Q244" i="72" s="1"/>
  <c r="K229" i="83"/>
  <c r="K103" i="71" s="1"/>
  <c r="K208" i="71" s="1"/>
  <c r="K200" i="83"/>
  <c r="K73" i="71" s="1"/>
  <c r="K178" i="71" s="1"/>
  <c r="N171" i="83"/>
  <c r="N43" i="71" s="1"/>
  <c r="N148" i="71" s="1"/>
  <c r="P229" i="83"/>
  <c r="P103" i="71" s="1"/>
  <c r="P208" i="71" s="1"/>
  <c r="T200" i="83"/>
  <c r="T73" i="71" s="1"/>
  <c r="T178" i="71" s="1"/>
  <c r="Y229" i="83"/>
  <c r="Y103" i="71" s="1"/>
  <c r="Y208" i="71" s="1"/>
  <c r="U137" i="83"/>
  <c r="J224" i="83"/>
  <c r="J98" i="71" s="1"/>
  <c r="J203" i="71" s="1"/>
  <c r="L137" i="83"/>
  <c r="L139" i="72" s="1"/>
  <c r="L209" i="72" s="1"/>
  <c r="L239" i="72" s="1"/>
  <c r="O224" i="83"/>
  <c r="O98" i="71" s="1"/>
  <c r="O203" i="71" s="1"/>
  <c r="V224" i="83"/>
  <c r="V98" i="71" s="1"/>
  <c r="V203" i="71" s="1"/>
  <c r="T224" i="83"/>
  <c r="T98" i="71" s="1"/>
  <c r="T203" i="71" s="1"/>
  <c r="K195" i="83"/>
  <c r="K68" i="71" s="1"/>
  <c r="K173" i="71" s="1"/>
  <c r="L224" i="83"/>
  <c r="L98" i="71" s="1"/>
  <c r="L203" i="71" s="1"/>
  <c r="M137" i="83"/>
  <c r="M139" i="72" s="1"/>
  <c r="M209" i="72" s="1"/>
  <c r="M239" i="72" s="1"/>
  <c r="Q166" i="83"/>
  <c r="Q38" i="71" s="1"/>
  <c r="Q143" i="71" s="1"/>
  <c r="T195" i="83"/>
  <c r="T68" i="71" s="1"/>
  <c r="T173" i="71" s="1"/>
  <c r="S166" i="83"/>
  <c r="S38" i="71" s="1"/>
  <c r="S143" i="71" s="1"/>
  <c r="J137" i="83"/>
  <c r="J139" i="72" s="1"/>
  <c r="J209" i="72" s="1"/>
  <c r="J239" i="72" s="1"/>
  <c r="P166" i="83"/>
  <c r="P38" i="71" s="1"/>
  <c r="P143" i="71" s="1"/>
  <c r="O195" i="83"/>
  <c r="O68" i="71" s="1"/>
  <c r="O173" i="71" s="1"/>
  <c r="R137" i="83"/>
  <c r="T166" i="83"/>
  <c r="T38" i="71" s="1"/>
  <c r="T143" i="71" s="1"/>
  <c r="K137" i="83"/>
  <c r="K139" i="72" s="1"/>
  <c r="K209" i="72" s="1"/>
  <c r="K239" i="72" s="1"/>
  <c r="U195" i="83"/>
  <c r="U68" i="71" s="1"/>
  <c r="U173" i="71" s="1"/>
  <c r="R195" i="83"/>
  <c r="R68" i="71" s="1"/>
  <c r="R173" i="71" s="1"/>
  <c r="R166" i="83"/>
  <c r="R38" i="71" s="1"/>
  <c r="R143" i="71" s="1"/>
  <c r="V166" i="83"/>
  <c r="V38" i="71" s="1"/>
  <c r="V143" i="71" s="1"/>
  <c r="N195" i="83"/>
  <c r="N68" i="71" s="1"/>
  <c r="N173" i="71" s="1"/>
  <c r="Q224" i="83"/>
  <c r="Q98" i="71" s="1"/>
  <c r="Q203" i="71" s="1"/>
  <c r="O137" i="83"/>
  <c r="O139" i="72" s="1"/>
  <c r="O209" i="72" s="1"/>
  <c r="O239" i="72" s="1"/>
  <c r="N137" i="83"/>
  <c r="N139" i="72" s="1"/>
  <c r="N209" i="72" s="1"/>
  <c r="N239" i="72" s="1"/>
  <c r="J195" i="83"/>
  <c r="J68" i="71" s="1"/>
  <c r="J173" i="71" s="1"/>
  <c r="L195" i="83"/>
  <c r="L68" i="71" s="1"/>
  <c r="L173" i="71" s="1"/>
  <c r="O166" i="83"/>
  <c r="O38" i="71" s="1"/>
  <c r="O143" i="71" s="1"/>
  <c r="Y195" i="83"/>
  <c r="Y68" i="71" s="1"/>
  <c r="Y173" i="71" s="1"/>
  <c r="Q137" i="83"/>
  <c r="Q139" i="72" s="1"/>
  <c r="Q209" i="72" s="1"/>
  <c r="Q239" i="72" s="1"/>
  <c r="T137" i="83"/>
  <c r="L166" i="83"/>
  <c r="L38" i="71" s="1"/>
  <c r="L143" i="71" s="1"/>
  <c r="V195" i="83"/>
  <c r="V68" i="71" s="1"/>
  <c r="V173" i="71" s="1"/>
  <c r="X137" i="83"/>
  <c r="P224" i="83"/>
  <c r="P98" i="71" s="1"/>
  <c r="P203" i="71" s="1"/>
  <c r="Y166" i="83"/>
  <c r="Y38" i="71" s="1"/>
  <c r="Y143" i="71" s="1"/>
  <c r="S195" i="83"/>
  <c r="S68" i="71" s="1"/>
  <c r="S173" i="71" s="1"/>
  <c r="W166" i="83"/>
  <c r="W38" i="71" s="1"/>
  <c r="W143" i="71" s="1"/>
  <c r="R224" i="83"/>
  <c r="R98" i="71" s="1"/>
  <c r="R203" i="71" s="1"/>
  <c r="W137" i="83"/>
  <c r="V137" i="83"/>
  <c r="P137" i="83"/>
  <c r="P139" i="72" s="1"/>
  <c r="P209" i="72" s="1"/>
  <c r="P239" i="72" s="1"/>
  <c r="K166" i="83"/>
  <c r="K38" i="71" s="1"/>
  <c r="K143" i="71" s="1"/>
  <c r="Y137" i="83"/>
  <c r="N224" i="83"/>
  <c r="N98" i="71" s="1"/>
  <c r="N203" i="71" s="1"/>
  <c r="M195" i="83"/>
  <c r="M68" i="71" s="1"/>
  <c r="M173" i="71" s="1"/>
  <c r="M224" i="83"/>
  <c r="M98" i="71" s="1"/>
  <c r="M203" i="71" s="1"/>
  <c r="U224" i="83"/>
  <c r="U98" i="71" s="1"/>
  <c r="U203" i="71" s="1"/>
  <c r="P195" i="83"/>
  <c r="P68" i="71" s="1"/>
  <c r="P173" i="71" s="1"/>
  <c r="Q195" i="83"/>
  <c r="Q68" i="71" s="1"/>
  <c r="Q173" i="71" s="1"/>
  <c r="W195" i="83"/>
  <c r="W68" i="71" s="1"/>
  <c r="W173" i="71" s="1"/>
  <c r="X224" i="83"/>
  <c r="X98" i="71" s="1"/>
  <c r="X203" i="71" s="1"/>
  <c r="Y224" i="83"/>
  <c r="Y98" i="71" s="1"/>
  <c r="Y203" i="71" s="1"/>
  <c r="X195" i="83"/>
  <c r="X68" i="71" s="1"/>
  <c r="X173" i="71" s="1"/>
  <c r="W224" i="83"/>
  <c r="W98" i="71" s="1"/>
  <c r="W203" i="71" s="1"/>
  <c r="M166" i="83"/>
  <c r="M38" i="71" s="1"/>
  <c r="M143" i="71" s="1"/>
  <c r="S137" i="83"/>
  <c r="J166" i="83"/>
  <c r="J38" i="71" s="1"/>
  <c r="J143" i="71" s="1"/>
  <c r="K224" i="83"/>
  <c r="K98" i="71" s="1"/>
  <c r="K203" i="71" s="1"/>
  <c r="X166" i="83"/>
  <c r="X38" i="71" s="1"/>
  <c r="X143" i="71" s="1"/>
  <c r="U166" i="83"/>
  <c r="U38" i="71" s="1"/>
  <c r="U143" i="71" s="1"/>
  <c r="N166" i="83"/>
  <c r="N38" i="71" s="1"/>
  <c r="N143" i="71" s="1"/>
  <c r="S224" i="83"/>
  <c r="S98" i="71" s="1"/>
  <c r="S203" i="71" s="1"/>
  <c r="P178" i="73"/>
  <c r="P238" i="73" s="1"/>
  <c r="J178" i="73"/>
  <c r="J238" i="73" s="1"/>
  <c r="Q148" i="73"/>
  <c r="P148" i="73"/>
  <c r="M148" i="73"/>
  <c r="L178" i="73"/>
  <c r="L238" i="73" s="1"/>
  <c r="M178" i="73"/>
  <c r="M238" i="73" s="1"/>
  <c r="O148" i="73"/>
  <c r="K178" i="73"/>
  <c r="K238" i="73" s="1"/>
  <c r="J148" i="73"/>
  <c r="K148" i="73"/>
  <c r="L148" i="73"/>
  <c r="Q178" i="73"/>
  <c r="Q238" i="73" s="1"/>
  <c r="N178" i="73"/>
  <c r="N238" i="73" s="1"/>
  <c r="O178" i="73"/>
  <c r="O238" i="73" s="1"/>
  <c r="N148" i="73"/>
  <c r="V178" i="72"/>
  <c r="V213" i="72" s="1"/>
  <c r="V243" i="72" s="1"/>
  <c r="R178" i="72"/>
  <c r="R213" i="72" s="1"/>
  <c r="R243" i="72" s="1"/>
  <c r="T178" i="72"/>
  <c r="T213" i="72" s="1"/>
  <c r="T243" i="72" s="1"/>
  <c r="U178" i="72"/>
  <c r="U213" i="72" s="1"/>
  <c r="U243" i="72" s="1"/>
  <c r="S178" i="72"/>
  <c r="S213" i="72" s="1"/>
  <c r="S243" i="72" s="1"/>
  <c r="W178" i="72"/>
  <c r="W213" i="72" s="1"/>
  <c r="W243" i="72" s="1"/>
  <c r="Y178" i="72"/>
  <c r="Y213" i="72" s="1"/>
  <c r="Y243" i="72" s="1"/>
  <c r="X178" i="72"/>
  <c r="X213" i="72" s="1"/>
  <c r="X243" i="72" s="1"/>
  <c r="Y196" i="83"/>
  <c r="Y69" i="71" s="1"/>
  <c r="Y174" i="71" s="1"/>
  <c r="U138" i="83"/>
  <c r="L196" i="83"/>
  <c r="L69" i="71" s="1"/>
  <c r="L174" i="71" s="1"/>
  <c r="S196" i="83"/>
  <c r="S69" i="71" s="1"/>
  <c r="S174" i="71" s="1"/>
  <c r="P225" i="83"/>
  <c r="P99" i="71" s="1"/>
  <c r="P204" i="71" s="1"/>
  <c r="U196" i="83"/>
  <c r="U69" i="71" s="1"/>
  <c r="U174" i="71" s="1"/>
  <c r="N225" i="83"/>
  <c r="N99" i="71" s="1"/>
  <c r="N204" i="71" s="1"/>
  <c r="S138" i="83"/>
  <c r="Q167" i="83"/>
  <c r="Q39" i="71" s="1"/>
  <c r="Q144" i="71" s="1"/>
  <c r="O196" i="83"/>
  <c r="O69" i="71" s="1"/>
  <c r="O174" i="71" s="1"/>
  <c r="O167" i="83"/>
  <c r="O39" i="71" s="1"/>
  <c r="O144" i="71" s="1"/>
  <c r="J167" i="83"/>
  <c r="J39" i="71" s="1"/>
  <c r="J144" i="71" s="1"/>
  <c r="R225" i="83"/>
  <c r="R99" i="71" s="1"/>
  <c r="R204" i="71" s="1"/>
  <c r="Y225" i="83"/>
  <c r="Y99" i="71" s="1"/>
  <c r="Y204" i="71" s="1"/>
  <c r="M225" i="83"/>
  <c r="M99" i="71" s="1"/>
  <c r="M204" i="71" s="1"/>
  <c r="T225" i="83"/>
  <c r="T99" i="71" s="1"/>
  <c r="T204" i="71" s="1"/>
  <c r="K225" i="83"/>
  <c r="K99" i="71" s="1"/>
  <c r="K204" i="71" s="1"/>
  <c r="N138" i="83"/>
  <c r="N140" i="72" s="1"/>
  <c r="N210" i="72" s="1"/>
  <c r="N240" i="72" s="1"/>
  <c r="U167" i="83"/>
  <c r="U39" i="71" s="1"/>
  <c r="U144" i="71" s="1"/>
  <c r="M196" i="83"/>
  <c r="M69" i="71" s="1"/>
  <c r="M174" i="71" s="1"/>
  <c r="W225" i="83"/>
  <c r="W99" i="71" s="1"/>
  <c r="W204" i="71" s="1"/>
  <c r="Y138" i="83"/>
  <c r="J196" i="83"/>
  <c r="J69" i="71" s="1"/>
  <c r="J174" i="71" s="1"/>
  <c r="S225" i="83"/>
  <c r="S99" i="71" s="1"/>
  <c r="S204" i="71" s="1"/>
  <c r="T167" i="83"/>
  <c r="T39" i="71" s="1"/>
  <c r="T144" i="71" s="1"/>
  <c r="J225" i="83"/>
  <c r="J99" i="71" s="1"/>
  <c r="J204" i="71" s="1"/>
  <c r="M167" i="83"/>
  <c r="M39" i="71" s="1"/>
  <c r="M144" i="71" s="1"/>
  <c r="U225" i="83"/>
  <c r="U99" i="71" s="1"/>
  <c r="U204" i="71" s="1"/>
  <c r="T138" i="83"/>
  <c r="Q225" i="83"/>
  <c r="Q99" i="71" s="1"/>
  <c r="Q204" i="71" s="1"/>
  <c r="R138" i="83"/>
  <c r="L138" i="83"/>
  <c r="L140" i="72" s="1"/>
  <c r="L210" i="72" s="1"/>
  <c r="L240" i="72" s="1"/>
  <c r="Q196" i="83"/>
  <c r="Q69" i="71" s="1"/>
  <c r="Q174" i="71" s="1"/>
  <c r="V138" i="83"/>
  <c r="O138" i="83"/>
  <c r="O140" i="72" s="1"/>
  <c r="O210" i="72" s="1"/>
  <c r="O240" i="72" s="1"/>
  <c r="V225" i="83"/>
  <c r="V99" i="71" s="1"/>
  <c r="V204" i="71" s="1"/>
  <c r="T196" i="83"/>
  <c r="T69" i="71" s="1"/>
  <c r="T174" i="71" s="1"/>
  <c r="S167" i="83"/>
  <c r="S39" i="71" s="1"/>
  <c r="S144" i="71" s="1"/>
  <c r="P196" i="83"/>
  <c r="P69" i="71" s="1"/>
  <c r="P174" i="71" s="1"/>
  <c r="L167" i="83"/>
  <c r="L39" i="71" s="1"/>
  <c r="L144" i="71" s="1"/>
  <c r="W196" i="83"/>
  <c r="W69" i="71" s="1"/>
  <c r="W174" i="71" s="1"/>
  <c r="K196" i="83"/>
  <c r="K69" i="71" s="1"/>
  <c r="K174" i="71" s="1"/>
  <c r="R167" i="83"/>
  <c r="R39" i="71" s="1"/>
  <c r="R144" i="71" s="1"/>
  <c r="K138" i="83"/>
  <c r="K140" i="72" s="1"/>
  <c r="K210" i="72" s="1"/>
  <c r="K240" i="72" s="1"/>
  <c r="R196" i="83"/>
  <c r="R69" i="71" s="1"/>
  <c r="R174" i="71" s="1"/>
  <c r="P138" i="83"/>
  <c r="P140" i="72" s="1"/>
  <c r="P210" i="72" s="1"/>
  <c r="P240" i="72" s="1"/>
  <c r="X138" i="83"/>
  <c r="P167" i="83"/>
  <c r="P39" i="71" s="1"/>
  <c r="P144" i="71" s="1"/>
  <c r="W167" i="83"/>
  <c r="W39" i="71" s="1"/>
  <c r="W144" i="71" s="1"/>
  <c r="N167" i="83"/>
  <c r="N39" i="71" s="1"/>
  <c r="N144" i="71" s="1"/>
  <c r="Q138" i="83"/>
  <c r="Q140" i="72" s="1"/>
  <c r="Q210" i="72" s="1"/>
  <c r="Q240" i="72" s="1"/>
  <c r="X196" i="83"/>
  <c r="X69" i="71" s="1"/>
  <c r="X174" i="71" s="1"/>
  <c r="K167" i="83"/>
  <c r="K39" i="71" s="1"/>
  <c r="K144" i="71" s="1"/>
  <c r="M138" i="83"/>
  <c r="M140" i="72" s="1"/>
  <c r="M210" i="72" s="1"/>
  <c r="M240" i="72" s="1"/>
  <c r="O225" i="83"/>
  <c r="O99" i="71" s="1"/>
  <c r="O204" i="71" s="1"/>
  <c r="Y167" i="83"/>
  <c r="Y39" i="71" s="1"/>
  <c r="Y144" i="71" s="1"/>
  <c r="W138" i="83"/>
  <c r="N196" i="83"/>
  <c r="N69" i="71" s="1"/>
  <c r="N174" i="71" s="1"/>
  <c r="X167" i="83"/>
  <c r="X39" i="71" s="1"/>
  <c r="X144" i="71" s="1"/>
  <c r="J138" i="83"/>
  <c r="J140" i="72" s="1"/>
  <c r="J210" i="72" s="1"/>
  <c r="J240" i="72" s="1"/>
  <c r="X225" i="83"/>
  <c r="X99" i="71" s="1"/>
  <c r="X204" i="71" s="1"/>
  <c r="V196" i="83"/>
  <c r="V69" i="71" s="1"/>
  <c r="V174" i="71" s="1"/>
  <c r="V167" i="83"/>
  <c r="V39" i="71" s="1"/>
  <c r="V144" i="71" s="1"/>
  <c r="L225" i="83"/>
  <c r="L99" i="71" s="1"/>
  <c r="L204" i="71" s="1"/>
  <c r="N179" i="73"/>
  <c r="N239" i="73" s="1"/>
  <c r="O149" i="73"/>
  <c r="K149" i="73"/>
  <c r="M179" i="73"/>
  <c r="M239" i="73" s="1"/>
  <c r="L179" i="73"/>
  <c r="L239" i="73" s="1"/>
  <c r="L149" i="73"/>
  <c r="P149" i="73"/>
  <c r="J149" i="73"/>
  <c r="J179" i="73"/>
  <c r="J239" i="73" s="1"/>
  <c r="O179" i="73"/>
  <c r="O239" i="73" s="1"/>
  <c r="P179" i="73"/>
  <c r="P239" i="73" s="1"/>
  <c r="Q149" i="73"/>
  <c r="N149" i="73"/>
  <c r="M149" i="73"/>
  <c r="K179" i="73"/>
  <c r="K239" i="73" s="1"/>
  <c r="Q179" i="73"/>
  <c r="Q239" i="73"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Q150" i="73"/>
  <c r="M150" i="73"/>
  <c r="O180" i="73"/>
  <c r="O240" i="73" s="1"/>
  <c r="O150" i="73"/>
  <c r="K150" i="73"/>
  <c r="J150" i="73"/>
  <c r="N180" i="73"/>
  <c r="N240" i="73" s="1"/>
  <c r="P150" i="73"/>
  <c r="L150" i="73"/>
  <c r="J180" i="73"/>
  <c r="J240" i="73" s="1"/>
  <c r="Q180" i="73"/>
  <c r="Q240" i="73" s="1"/>
  <c r="L180" i="73"/>
  <c r="L240" i="73" s="1"/>
  <c r="P180" i="73"/>
  <c r="P240" i="73" s="1"/>
  <c r="K180" i="73"/>
  <c r="K240" i="73" s="1"/>
  <c r="N150" i="73"/>
  <c r="M180" i="73"/>
  <c r="M240" i="73" s="1"/>
  <c r="Y177" i="72"/>
  <c r="Y212" i="72" s="1"/>
  <c r="Y242"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R164" i="83"/>
  <c r="M193" i="83"/>
  <c r="M66" i="71" s="1"/>
  <c r="M171" i="71" s="1"/>
  <c r="Q135" i="83"/>
  <c r="Q137" i="72" s="1"/>
  <c r="Q207" i="72" s="1"/>
  <c r="Q237" i="72" s="1"/>
  <c r="P135" i="83"/>
  <c r="P137" i="72" s="1"/>
  <c r="P207" i="72" s="1"/>
  <c r="P237" i="72" s="1"/>
  <c r="W135" i="83"/>
  <c r="U193" i="83"/>
  <c r="U66" i="71" s="1"/>
  <c r="U171" i="71" s="1"/>
  <c r="U135" i="83"/>
  <c r="V193" i="83"/>
  <c r="V66" i="71" s="1"/>
  <c r="V171" i="71" s="1"/>
  <c r="W193" i="83"/>
  <c r="W66" i="71" s="1"/>
  <c r="W171" i="71" s="1"/>
  <c r="K193" i="83"/>
  <c r="K66" i="71" s="1"/>
  <c r="K171" i="71" s="1"/>
  <c r="X193" i="83"/>
  <c r="X66" i="71" s="1"/>
  <c r="X171" i="71" s="1"/>
  <c r="R135" i="83"/>
  <c r="K222" i="83"/>
  <c r="K96" i="71" s="1"/>
  <c r="K201" i="71" s="1"/>
  <c r="T164" i="83"/>
  <c r="J222" i="83"/>
  <c r="J96" i="71" s="1"/>
  <c r="J201" i="71" s="1"/>
  <c r="T222" i="83"/>
  <c r="T96" i="71" s="1"/>
  <c r="T201" i="71" s="1"/>
  <c r="V222" i="83"/>
  <c r="V96" i="71" s="1"/>
  <c r="V201" i="71" s="1"/>
  <c r="R193" i="83"/>
  <c r="R66" i="71" s="1"/>
  <c r="R171" i="71" s="1"/>
  <c r="U164" i="83"/>
  <c r="O135" i="83"/>
  <c r="O137" i="72" s="1"/>
  <c r="O207" i="72" s="1"/>
  <c r="O237" i="72" s="1"/>
  <c r="S164" i="83"/>
  <c r="R222" i="83"/>
  <c r="R96" i="71" s="1"/>
  <c r="R201" i="71" s="1"/>
  <c r="V164" i="83"/>
  <c r="Y222" i="83"/>
  <c r="Y96" i="71" s="1"/>
  <c r="Y201" i="71" s="1"/>
  <c r="L135" i="83"/>
  <c r="L137" i="72" s="1"/>
  <c r="L207" i="72" s="1"/>
  <c r="L237" i="72" s="1"/>
  <c r="L193" i="83"/>
  <c r="L66" i="71" s="1"/>
  <c r="L171" i="71" s="1"/>
  <c r="P193" i="83"/>
  <c r="P66" i="71" s="1"/>
  <c r="P171" i="71" s="1"/>
  <c r="M222" i="83"/>
  <c r="M96" i="71" s="1"/>
  <c r="M201" i="71" s="1"/>
  <c r="N193" i="83"/>
  <c r="N66" i="71" s="1"/>
  <c r="N171" i="71" s="1"/>
  <c r="K135" i="83"/>
  <c r="K137" i="72" s="1"/>
  <c r="K207" i="72" s="1"/>
  <c r="K237" i="72" s="1"/>
  <c r="K164" i="83"/>
  <c r="M164" i="83"/>
  <c r="Y193" i="83"/>
  <c r="Y66" i="71" s="1"/>
  <c r="Y171" i="71" s="1"/>
  <c r="W222" i="83"/>
  <c r="W96" i="71" s="1"/>
  <c r="W201" i="71" s="1"/>
  <c r="Q193" i="83"/>
  <c r="Q66" i="71" s="1"/>
  <c r="Q171" i="71" s="1"/>
  <c r="V135" i="83"/>
  <c r="T193" i="83"/>
  <c r="T66" i="71" s="1"/>
  <c r="T171" i="71" s="1"/>
  <c r="U222" i="83"/>
  <c r="U96" i="71" s="1"/>
  <c r="U201" i="71" s="1"/>
  <c r="W164" i="83"/>
  <c r="Y164" i="83"/>
  <c r="Y135" i="83"/>
  <c r="X135" i="83"/>
  <c r="N222" i="83"/>
  <c r="N96" i="71" s="1"/>
  <c r="N201" i="71" s="1"/>
  <c r="P164" i="83"/>
  <c r="M135" i="83"/>
  <c r="M137" i="72" s="1"/>
  <c r="M207" i="72" s="1"/>
  <c r="M237" i="72" s="1"/>
  <c r="Q222" i="83"/>
  <c r="Q96" i="71" s="1"/>
  <c r="Q201" i="71" s="1"/>
  <c r="O193" i="83"/>
  <c r="O66" i="71" s="1"/>
  <c r="O171" i="71" s="1"/>
  <c r="X164" i="83"/>
  <c r="O222" i="83"/>
  <c r="O96" i="71" s="1"/>
  <c r="O201" i="71" s="1"/>
  <c r="P222" i="83"/>
  <c r="P96" i="71" s="1"/>
  <c r="P201" i="71" s="1"/>
  <c r="N135" i="83"/>
  <c r="N137" i="72" s="1"/>
  <c r="N207" i="72" s="1"/>
  <c r="N237" i="72" s="1"/>
  <c r="N164" i="83"/>
  <c r="Q164" i="83"/>
  <c r="O164" i="83"/>
  <c r="J164" i="83"/>
  <c r="J193" i="83"/>
  <c r="J66" i="71" s="1"/>
  <c r="J171" i="71" s="1"/>
  <c r="S135" i="83"/>
  <c r="T135" i="83"/>
  <c r="X222" i="83"/>
  <c r="X96" i="71" s="1"/>
  <c r="X201" i="71" s="1"/>
  <c r="L164" i="83"/>
  <c r="L222" i="83"/>
  <c r="L96" i="71" s="1"/>
  <c r="L201" i="71" s="1"/>
  <c r="S222" i="83"/>
  <c r="S96" i="71" s="1"/>
  <c r="S201" i="71" s="1"/>
  <c r="S193" i="83"/>
  <c r="S66" i="71" s="1"/>
  <c r="S171" i="71" s="1"/>
  <c r="J135" i="83"/>
  <c r="J137" i="72" s="1"/>
  <c r="J207" i="72" s="1"/>
  <c r="J237"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M154" i="73"/>
  <c r="J154" i="73"/>
  <c r="P154" i="73"/>
  <c r="N184" i="73"/>
  <c r="N244" i="73" s="1"/>
  <c r="Q154" i="73"/>
  <c r="L154" i="73"/>
  <c r="O184" i="73"/>
  <c r="O244" i="73" s="1"/>
  <c r="N154" i="73"/>
  <c r="M184" i="73"/>
  <c r="M244" i="73" s="1"/>
  <c r="P184" i="73"/>
  <c r="P244" i="73" s="1"/>
  <c r="K184" i="73"/>
  <c r="K244" i="73" s="1"/>
  <c r="K154" i="73"/>
  <c r="L184" i="73"/>
  <c r="L244" i="73" s="1"/>
  <c r="O154" i="73"/>
  <c r="Q184" i="73"/>
  <c r="Q244" i="73" s="1"/>
  <c r="J184" i="73"/>
  <c r="J244" i="73" s="1"/>
  <c r="T173" i="72"/>
  <c r="T208" i="72" s="1"/>
  <c r="T238" i="72" s="1"/>
  <c r="V173" i="72"/>
  <c r="V208" i="72" s="1"/>
  <c r="V238" i="72" s="1"/>
  <c r="U173" i="72"/>
  <c r="U208" i="72" s="1"/>
  <c r="U238" i="72" s="1"/>
  <c r="X173" i="72"/>
  <c r="X208" i="72" s="1"/>
  <c r="X238" i="72" s="1"/>
  <c r="W173" i="72"/>
  <c r="W208" i="72" s="1"/>
  <c r="W238" i="72" s="1"/>
  <c r="S173" i="72"/>
  <c r="S208" i="72" s="1"/>
  <c r="S238" i="72" s="1"/>
  <c r="R173" i="72"/>
  <c r="R208" i="72" s="1"/>
  <c r="R238" i="72" s="1"/>
  <c r="Y173" i="72"/>
  <c r="Y208" i="72" s="1"/>
  <c r="Y238" i="72" s="1"/>
  <c r="X165" i="83"/>
  <c r="X37" i="71" s="1"/>
  <c r="X142" i="71" s="1"/>
  <c r="U165" i="83"/>
  <c r="U37" i="71" s="1"/>
  <c r="U142" i="71" s="1"/>
  <c r="Q223" i="83"/>
  <c r="Q97" i="71" s="1"/>
  <c r="Q202" i="71" s="1"/>
  <c r="P223" i="83"/>
  <c r="P97" i="71" s="1"/>
  <c r="P202" i="71" s="1"/>
  <c r="T165" i="83"/>
  <c r="T37" i="71" s="1"/>
  <c r="T142" i="71" s="1"/>
  <c r="M165" i="83"/>
  <c r="M37" i="71" s="1"/>
  <c r="M142" i="71" s="1"/>
  <c r="J165" i="83"/>
  <c r="J37" i="71" s="1"/>
  <c r="J142" i="71" s="1"/>
  <c r="T136" i="83"/>
  <c r="W165" i="83"/>
  <c r="W37" i="71" s="1"/>
  <c r="W142" i="71" s="1"/>
  <c r="Y136" i="83"/>
  <c r="O223" i="83"/>
  <c r="O97" i="71" s="1"/>
  <c r="O202" i="71" s="1"/>
  <c r="J136" i="83"/>
  <c r="J138" i="72" s="1"/>
  <c r="J208" i="72" s="1"/>
  <c r="J238" i="72" s="1"/>
  <c r="M194" i="83"/>
  <c r="M67" i="71" s="1"/>
  <c r="M172" i="71" s="1"/>
  <c r="R165" i="83"/>
  <c r="R37" i="71" s="1"/>
  <c r="R142" i="71" s="1"/>
  <c r="Q136" i="83"/>
  <c r="Q138" i="72" s="1"/>
  <c r="Q208" i="72" s="1"/>
  <c r="Q238" i="72" s="1"/>
  <c r="J194" i="83"/>
  <c r="J67" i="71" s="1"/>
  <c r="J172" i="71" s="1"/>
  <c r="U136" i="83"/>
  <c r="Q194" i="83"/>
  <c r="Q67" i="71" s="1"/>
  <c r="Q172" i="71" s="1"/>
  <c r="X136" i="83"/>
  <c r="S165" i="83"/>
  <c r="S37" i="71" s="1"/>
  <c r="S142" i="71" s="1"/>
  <c r="N136" i="83"/>
  <c r="N138" i="72" s="1"/>
  <c r="N208" i="72" s="1"/>
  <c r="N238" i="72" s="1"/>
  <c r="N194" i="83"/>
  <c r="N67" i="71" s="1"/>
  <c r="N172" i="71" s="1"/>
  <c r="N223" i="83"/>
  <c r="N97" i="71" s="1"/>
  <c r="N202" i="71" s="1"/>
  <c r="Y194" i="83"/>
  <c r="Y67" i="71" s="1"/>
  <c r="Y172" i="71" s="1"/>
  <c r="J223" i="83"/>
  <c r="J97" i="71" s="1"/>
  <c r="J202" i="71" s="1"/>
  <c r="R194" i="83"/>
  <c r="R67" i="71" s="1"/>
  <c r="R172" i="71" s="1"/>
  <c r="Y223" i="83"/>
  <c r="Y97" i="71" s="1"/>
  <c r="Y202" i="71" s="1"/>
  <c r="K165" i="83"/>
  <c r="K37" i="71" s="1"/>
  <c r="K142" i="71" s="1"/>
  <c r="P165" i="83"/>
  <c r="P37" i="71" s="1"/>
  <c r="P142" i="71" s="1"/>
  <c r="V165" i="83"/>
  <c r="V37" i="71" s="1"/>
  <c r="V142" i="71" s="1"/>
  <c r="X223" i="83"/>
  <c r="X97" i="71" s="1"/>
  <c r="X202" i="71" s="1"/>
  <c r="M136" i="83"/>
  <c r="M138" i="72" s="1"/>
  <c r="M208" i="72" s="1"/>
  <c r="M238" i="72" s="1"/>
  <c r="L136" i="83"/>
  <c r="L138" i="72" s="1"/>
  <c r="L208" i="72" s="1"/>
  <c r="L238" i="72" s="1"/>
  <c r="V194" i="83"/>
  <c r="V67" i="71" s="1"/>
  <c r="V172" i="71" s="1"/>
  <c r="L223" i="83"/>
  <c r="L97" i="71" s="1"/>
  <c r="L202" i="71" s="1"/>
  <c r="S194" i="83"/>
  <c r="S67" i="71" s="1"/>
  <c r="S172" i="71" s="1"/>
  <c r="W223" i="83"/>
  <c r="W97" i="71" s="1"/>
  <c r="W202" i="71" s="1"/>
  <c r="W136" i="83"/>
  <c r="S136" i="83"/>
  <c r="N165" i="83"/>
  <c r="N37" i="71" s="1"/>
  <c r="N142" i="71" s="1"/>
  <c r="W194" i="83"/>
  <c r="W67" i="71" s="1"/>
  <c r="W172" i="71" s="1"/>
  <c r="Q165" i="83"/>
  <c r="Q37" i="71" s="1"/>
  <c r="Q142" i="71" s="1"/>
  <c r="O194" i="83"/>
  <c r="O67" i="71" s="1"/>
  <c r="O172" i="71" s="1"/>
  <c r="X194" i="83"/>
  <c r="X67" i="71" s="1"/>
  <c r="X172" i="71" s="1"/>
  <c r="K136" i="83"/>
  <c r="K138" i="72" s="1"/>
  <c r="K208" i="72" s="1"/>
  <c r="K238" i="72" s="1"/>
  <c r="T223" i="83"/>
  <c r="T97" i="71" s="1"/>
  <c r="T202" i="71" s="1"/>
  <c r="K194" i="83"/>
  <c r="K67" i="71" s="1"/>
  <c r="K172" i="71" s="1"/>
  <c r="U194" i="83"/>
  <c r="U67" i="71" s="1"/>
  <c r="U172" i="71" s="1"/>
  <c r="V223" i="83"/>
  <c r="V97" i="71" s="1"/>
  <c r="V202" i="71" s="1"/>
  <c r="R223" i="83"/>
  <c r="R97" i="71" s="1"/>
  <c r="R202" i="71" s="1"/>
  <c r="V136" i="83"/>
  <c r="P136" i="83"/>
  <c r="P138" i="72" s="1"/>
  <c r="P208" i="72" s="1"/>
  <c r="P238" i="72" s="1"/>
  <c r="P194" i="83"/>
  <c r="P67" i="71" s="1"/>
  <c r="P172" i="71" s="1"/>
  <c r="U223" i="83"/>
  <c r="U97" i="71" s="1"/>
  <c r="U202" i="71" s="1"/>
  <c r="K223" i="83"/>
  <c r="K97" i="71" s="1"/>
  <c r="K202" i="71" s="1"/>
  <c r="L194" i="83"/>
  <c r="L67" i="71" s="1"/>
  <c r="L172" i="71" s="1"/>
  <c r="M223" i="83"/>
  <c r="M97" i="71" s="1"/>
  <c r="M202" i="71" s="1"/>
  <c r="R136" i="83"/>
  <c r="O136" i="83"/>
  <c r="O138" i="72" s="1"/>
  <c r="O208" i="72" s="1"/>
  <c r="O238" i="72" s="1"/>
  <c r="T194" i="83"/>
  <c r="T67" i="71" s="1"/>
  <c r="T172" i="71" s="1"/>
  <c r="Y165" i="83"/>
  <c r="Y37" i="71" s="1"/>
  <c r="Y142" i="71" s="1"/>
  <c r="O165" i="83"/>
  <c r="O37" i="71" s="1"/>
  <c r="O142" i="71" s="1"/>
  <c r="S223" i="83"/>
  <c r="S97" i="71" s="1"/>
  <c r="S202" i="71" s="1"/>
  <c r="L165" i="83"/>
  <c r="L37" i="71" s="1"/>
  <c r="L142" i="71" s="1"/>
  <c r="K183" i="73"/>
  <c r="K243" i="73" s="1"/>
  <c r="O153" i="73"/>
  <c r="K153" i="73"/>
  <c r="L183" i="73"/>
  <c r="L243" i="73" s="1"/>
  <c r="P153" i="73"/>
  <c r="N183" i="73"/>
  <c r="N243" i="73" s="1"/>
  <c r="L153" i="73"/>
  <c r="Q153" i="73"/>
  <c r="O183" i="73"/>
  <c r="O243" i="73" s="1"/>
  <c r="M153" i="73"/>
  <c r="Q183" i="73"/>
  <c r="Q243" i="73" s="1"/>
  <c r="N153" i="73"/>
  <c r="J183" i="73"/>
  <c r="J243" i="73" s="1"/>
  <c r="M183" i="73"/>
  <c r="M243" i="73" s="1"/>
  <c r="J153" i="73"/>
  <c r="P183" i="73"/>
  <c r="P243" i="73" s="1"/>
  <c r="Q181" i="73"/>
  <c r="Q241" i="73" s="1"/>
  <c r="Q151" i="73"/>
  <c r="J151" i="73"/>
  <c r="L151" i="73"/>
  <c r="P151" i="73"/>
  <c r="J181" i="73"/>
  <c r="J241" i="73" s="1"/>
  <c r="K181" i="73"/>
  <c r="K241" i="73" s="1"/>
  <c r="P181" i="73"/>
  <c r="P241" i="73" s="1"/>
  <c r="K151" i="73"/>
  <c r="O181" i="73"/>
  <c r="O241" i="73" s="1"/>
  <c r="O151" i="73"/>
  <c r="N181" i="73"/>
  <c r="N241" i="73" s="1"/>
  <c r="M151" i="73"/>
  <c r="N151" i="73"/>
  <c r="L181" i="73"/>
  <c r="L241" i="73" s="1"/>
  <c r="M181" i="73"/>
  <c r="M241" i="73" s="1"/>
  <c r="K176" i="73"/>
  <c r="K236" i="73" s="1"/>
  <c r="M146" i="73"/>
  <c r="P146" i="73"/>
  <c r="L176" i="73"/>
  <c r="L236" i="73" s="1"/>
  <c r="P176" i="73"/>
  <c r="P236" i="73" s="1"/>
  <c r="J176" i="73"/>
  <c r="J236" i="73" s="1"/>
  <c r="Q146" i="73"/>
  <c r="J146" i="73"/>
  <c r="M176" i="73"/>
  <c r="M236" i="73" s="1"/>
  <c r="N146" i="73"/>
  <c r="L146" i="73"/>
  <c r="K146" i="73"/>
  <c r="Q176" i="73"/>
  <c r="Q236" i="73" s="1"/>
  <c r="O176" i="73"/>
  <c r="O236" i="73" s="1"/>
  <c r="O146" i="73"/>
  <c r="N176" i="73"/>
  <c r="N236" i="73" s="1"/>
  <c r="P155" i="73"/>
  <c r="L185" i="73"/>
  <c r="L245" i="73" s="1"/>
  <c r="M155" i="73"/>
  <c r="O155" i="73"/>
  <c r="Q185" i="73"/>
  <c r="Q245" i="73" s="1"/>
  <c r="M185" i="73"/>
  <c r="M245" i="73" s="1"/>
  <c r="J155" i="73"/>
  <c r="L155" i="73"/>
  <c r="K185" i="73"/>
  <c r="K245" i="73" s="1"/>
  <c r="J185" i="73"/>
  <c r="J245" i="73" s="1"/>
  <c r="K155" i="73"/>
  <c r="O185" i="73"/>
  <c r="O245" i="73" s="1"/>
  <c r="N155" i="73"/>
  <c r="P185" i="73"/>
  <c r="P245" i="73" s="1"/>
  <c r="Q155" i="73"/>
  <c r="N185" i="73"/>
  <c r="N245" i="73" s="1"/>
  <c r="Q201" i="83"/>
  <c r="Q74" i="71" s="1"/>
  <c r="Q179" i="71" s="1"/>
  <c r="K143" i="83"/>
  <c r="K145" i="72" s="1"/>
  <c r="K215" i="72" s="1"/>
  <c r="K245" i="72" s="1"/>
  <c r="S230" i="83"/>
  <c r="S104" i="71" s="1"/>
  <c r="S209" i="71" s="1"/>
  <c r="O201" i="83"/>
  <c r="O74" i="71" s="1"/>
  <c r="O179" i="71" s="1"/>
  <c r="N143" i="83"/>
  <c r="N145" i="72" s="1"/>
  <c r="N215" i="72" s="1"/>
  <c r="N245" i="72" s="1"/>
  <c r="O172" i="83"/>
  <c r="O44" i="71" s="1"/>
  <c r="O149" i="71" s="1"/>
  <c r="L143" i="83"/>
  <c r="L145" i="72" s="1"/>
  <c r="L215" i="72" s="1"/>
  <c r="L245" i="72" s="1"/>
  <c r="J230" i="83"/>
  <c r="J104" i="71" s="1"/>
  <c r="J209" i="71" s="1"/>
  <c r="P143" i="83"/>
  <c r="P145" i="72" s="1"/>
  <c r="P215" i="72" s="1"/>
  <c r="P245" i="72" s="1"/>
  <c r="X143" i="83"/>
  <c r="P201" i="83"/>
  <c r="P74" i="71" s="1"/>
  <c r="P179" i="71" s="1"/>
  <c r="R230" i="83"/>
  <c r="R104" i="71" s="1"/>
  <c r="R209" i="71" s="1"/>
  <c r="M172" i="83"/>
  <c r="M44" i="71" s="1"/>
  <c r="M149" i="71" s="1"/>
  <c r="J143" i="83"/>
  <c r="J145" i="72" s="1"/>
  <c r="J215" i="72" s="1"/>
  <c r="J245" i="72" s="1"/>
  <c r="K230" i="83"/>
  <c r="K104" i="71" s="1"/>
  <c r="K209" i="71" s="1"/>
  <c r="Q230" i="83"/>
  <c r="Q104" i="71" s="1"/>
  <c r="Q209" i="71" s="1"/>
  <c r="V143" i="83"/>
  <c r="M201" i="83"/>
  <c r="M74" i="71" s="1"/>
  <c r="M179" i="71" s="1"/>
  <c r="X201" i="83"/>
  <c r="X74" i="71" s="1"/>
  <c r="X179" i="71" s="1"/>
  <c r="V172" i="83"/>
  <c r="V44" i="71" s="1"/>
  <c r="V149" i="71" s="1"/>
  <c r="S172" i="83"/>
  <c r="S44" i="71" s="1"/>
  <c r="S149" i="71" s="1"/>
  <c r="X172" i="83"/>
  <c r="X44" i="71" s="1"/>
  <c r="X149" i="71" s="1"/>
  <c r="U143" i="83"/>
  <c r="Q143" i="83"/>
  <c r="Q145" i="72" s="1"/>
  <c r="Q215" i="72" s="1"/>
  <c r="Q245" i="72" s="1"/>
  <c r="T201" i="83"/>
  <c r="T74" i="71" s="1"/>
  <c r="T179" i="71" s="1"/>
  <c r="Q172" i="83"/>
  <c r="Q44" i="71" s="1"/>
  <c r="Q149" i="71" s="1"/>
  <c r="K172" i="83"/>
  <c r="K44" i="71" s="1"/>
  <c r="K149" i="71" s="1"/>
  <c r="W172" i="83"/>
  <c r="W44" i="71" s="1"/>
  <c r="W149" i="71" s="1"/>
  <c r="L230" i="83"/>
  <c r="L104" i="71" s="1"/>
  <c r="L209" i="71" s="1"/>
  <c r="R143" i="83"/>
  <c r="K201" i="83"/>
  <c r="K74" i="71" s="1"/>
  <c r="K179" i="71" s="1"/>
  <c r="N172" i="83"/>
  <c r="N44" i="71" s="1"/>
  <c r="N149" i="71" s="1"/>
  <c r="W201" i="83"/>
  <c r="W74" i="71" s="1"/>
  <c r="W179" i="71" s="1"/>
  <c r="N201" i="83"/>
  <c r="N74" i="71" s="1"/>
  <c r="N179" i="71" s="1"/>
  <c r="U201" i="83"/>
  <c r="U74" i="71" s="1"/>
  <c r="U179" i="71" s="1"/>
  <c r="R201" i="83"/>
  <c r="R74" i="71" s="1"/>
  <c r="R179" i="71" s="1"/>
  <c r="T172" i="83"/>
  <c r="T44" i="71" s="1"/>
  <c r="T149" i="71" s="1"/>
  <c r="X230" i="83"/>
  <c r="X104" i="71" s="1"/>
  <c r="X209" i="71" s="1"/>
  <c r="J201" i="83"/>
  <c r="J74" i="71" s="1"/>
  <c r="J179" i="71" s="1"/>
  <c r="Y201" i="83"/>
  <c r="Y74" i="71" s="1"/>
  <c r="Y179" i="71" s="1"/>
  <c r="Y172" i="83"/>
  <c r="Y44" i="71" s="1"/>
  <c r="Y149" i="71" s="1"/>
  <c r="P230" i="83"/>
  <c r="P104" i="71" s="1"/>
  <c r="P209" i="71" s="1"/>
  <c r="L201" i="83"/>
  <c r="L74" i="71" s="1"/>
  <c r="L179" i="71" s="1"/>
  <c r="P172" i="83"/>
  <c r="P44" i="71" s="1"/>
  <c r="P149" i="71" s="1"/>
  <c r="V201" i="83"/>
  <c r="V74" i="71" s="1"/>
  <c r="V179" i="71" s="1"/>
  <c r="O143" i="83"/>
  <c r="O145" i="72" s="1"/>
  <c r="O215" i="72" s="1"/>
  <c r="O245" i="72" s="1"/>
  <c r="N230" i="83"/>
  <c r="N104" i="71" s="1"/>
  <c r="N209" i="71" s="1"/>
  <c r="T230" i="83"/>
  <c r="T104" i="71" s="1"/>
  <c r="T209" i="71" s="1"/>
  <c r="M143" i="83"/>
  <c r="M145" i="72" s="1"/>
  <c r="M215" i="72" s="1"/>
  <c r="M245" i="72" s="1"/>
  <c r="Y230" i="83"/>
  <c r="Y104" i="71" s="1"/>
  <c r="Y209" i="71" s="1"/>
  <c r="J172" i="83"/>
  <c r="J44" i="71" s="1"/>
  <c r="J149" i="71" s="1"/>
  <c r="S201" i="83"/>
  <c r="S74" i="71" s="1"/>
  <c r="S179" i="71" s="1"/>
  <c r="O230" i="83"/>
  <c r="O104" i="71" s="1"/>
  <c r="O209" i="71" s="1"/>
  <c r="W143" i="83"/>
  <c r="M230" i="83"/>
  <c r="M104" i="71" s="1"/>
  <c r="M209" i="71" s="1"/>
  <c r="W230" i="83"/>
  <c r="W104" i="71" s="1"/>
  <c r="W209" i="71" s="1"/>
  <c r="L172" i="83"/>
  <c r="L44" i="71" s="1"/>
  <c r="L149" i="71" s="1"/>
  <c r="Y143" i="83"/>
  <c r="U230" i="83"/>
  <c r="U104" i="71" s="1"/>
  <c r="U209" i="71" s="1"/>
  <c r="T143" i="83"/>
  <c r="V230" i="83"/>
  <c r="V104" i="71" s="1"/>
  <c r="V209" i="71" s="1"/>
  <c r="U172" i="83"/>
  <c r="U44" i="71" s="1"/>
  <c r="U149" i="71" s="1"/>
  <c r="R172" i="83"/>
  <c r="R44" i="71" s="1"/>
  <c r="R149" i="71" s="1"/>
  <c r="S143" i="83"/>
  <c r="N276" i="73" l="1"/>
  <c r="N39" i="74" s="1"/>
  <c r="N84" i="74" s="1"/>
  <c r="N206" i="73"/>
  <c r="O211" i="73"/>
  <c r="O281" i="73"/>
  <c r="O44" i="74" s="1"/>
  <c r="O89" i="74" s="1"/>
  <c r="N213" i="73"/>
  <c r="N283" i="73"/>
  <c r="N46" i="74" s="1"/>
  <c r="N91" i="74" s="1"/>
  <c r="L284" i="73"/>
  <c r="L47" i="74" s="1"/>
  <c r="L92" i="74" s="1"/>
  <c r="L214" i="73"/>
  <c r="T36" i="71"/>
  <c r="T141" i="71" s="1"/>
  <c r="J210" i="73"/>
  <c r="J280" i="73"/>
  <c r="J43" i="74" s="1"/>
  <c r="J88" i="74" s="1"/>
  <c r="M209" i="73"/>
  <c r="M279" i="73"/>
  <c r="M42" i="74" s="1"/>
  <c r="M87" i="74" s="1"/>
  <c r="Q282" i="73"/>
  <c r="Q45" i="74" s="1"/>
  <c r="Q90" i="74" s="1"/>
  <c r="Q212" i="73"/>
  <c r="Q207" i="73"/>
  <c r="Q277" i="73"/>
  <c r="Q40" i="74" s="1"/>
  <c r="Q85" i="74" s="1"/>
  <c r="Y36" i="71"/>
  <c r="Y141" i="71" s="1"/>
  <c r="L215" i="73"/>
  <c r="L285" i="73"/>
  <c r="L48" i="74" s="1"/>
  <c r="L93" i="74" s="1"/>
  <c r="Q214" i="73"/>
  <c r="Q284" i="73"/>
  <c r="Q47" i="74" s="1"/>
  <c r="Q92" i="74" s="1"/>
  <c r="K210" i="73"/>
  <c r="K280" i="73"/>
  <c r="K43" i="74" s="1"/>
  <c r="K88" i="74" s="1"/>
  <c r="N209" i="73"/>
  <c r="N279" i="73"/>
  <c r="N42" i="74" s="1"/>
  <c r="N87" i="74" s="1"/>
  <c r="M208" i="73"/>
  <c r="M278" i="73"/>
  <c r="M41" i="74" s="1"/>
  <c r="M86" i="74" s="1"/>
  <c r="K36" i="71"/>
  <c r="K141" i="71" s="1"/>
  <c r="L282" i="73"/>
  <c r="L45" i="74" s="1"/>
  <c r="L90" i="74" s="1"/>
  <c r="L212" i="73"/>
  <c r="J285" i="73"/>
  <c r="J48" i="74" s="1"/>
  <c r="J93" i="74" s="1"/>
  <c r="J215" i="73"/>
  <c r="J276" i="73"/>
  <c r="J39" i="74" s="1"/>
  <c r="J206" i="73"/>
  <c r="K211" i="73"/>
  <c r="K281" i="73"/>
  <c r="K44" i="74" s="1"/>
  <c r="K89" i="74" s="1"/>
  <c r="M213" i="73"/>
  <c r="M283" i="73"/>
  <c r="M46" i="74" s="1"/>
  <c r="M91" i="74" s="1"/>
  <c r="L36" i="71"/>
  <c r="L141" i="71" s="1"/>
  <c r="P36" i="71"/>
  <c r="P141" i="71" s="1"/>
  <c r="O280" i="73"/>
  <c r="O43" i="74" s="1"/>
  <c r="O88" i="74" s="1"/>
  <c r="O210" i="73"/>
  <c r="Q279" i="73"/>
  <c r="Q42" i="74" s="1"/>
  <c r="Q87" i="74" s="1"/>
  <c r="Q209" i="73"/>
  <c r="P278" i="73"/>
  <c r="P41" i="74" s="1"/>
  <c r="P86" i="74" s="1"/>
  <c r="P208" i="73"/>
  <c r="K277" i="73"/>
  <c r="K40" i="74" s="1"/>
  <c r="K85" i="74" s="1"/>
  <c r="K207" i="73"/>
  <c r="M215" i="73"/>
  <c r="M285" i="73"/>
  <c r="M48" i="74" s="1"/>
  <c r="M93" i="74" s="1"/>
  <c r="J209" i="73"/>
  <c r="J279" i="73"/>
  <c r="J42" i="74" s="1"/>
  <c r="J87" i="74" s="1"/>
  <c r="L206" i="73"/>
  <c r="L276" i="73"/>
  <c r="L39" i="74" s="1"/>
  <c r="L84" i="74" s="1"/>
  <c r="N207" i="73"/>
  <c r="N277" i="73"/>
  <c r="N40" i="74" s="1"/>
  <c r="N85" i="74" s="1"/>
  <c r="Q276" i="73"/>
  <c r="Q39" i="74" s="1"/>
  <c r="Q84" i="74" s="1"/>
  <c r="Q206" i="73"/>
  <c r="P284" i="73"/>
  <c r="P47" i="74" s="1"/>
  <c r="P92" i="74" s="1"/>
  <c r="P214" i="73"/>
  <c r="Q208" i="73"/>
  <c r="Q278" i="73"/>
  <c r="Q41" i="74" s="1"/>
  <c r="Q86" i="74" s="1"/>
  <c r="J277" i="73"/>
  <c r="J40" i="74" s="1"/>
  <c r="J85" i="74" s="1"/>
  <c r="J207" i="73"/>
  <c r="M280" i="73"/>
  <c r="M43" i="74" s="1"/>
  <c r="M88" i="74" s="1"/>
  <c r="M210" i="73"/>
  <c r="N282" i="73"/>
  <c r="N45" i="74" s="1"/>
  <c r="N90" i="74" s="1"/>
  <c r="N212" i="73"/>
  <c r="O277" i="73"/>
  <c r="O40" i="74" s="1"/>
  <c r="O85" i="74" s="1"/>
  <c r="O207" i="73"/>
  <c r="Q283" i="73"/>
  <c r="Q46" i="74" s="1"/>
  <c r="Q91" i="74" s="1"/>
  <c r="Q213" i="73"/>
  <c r="J284" i="73"/>
  <c r="J47" i="74" s="1"/>
  <c r="J92" i="74" s="1"/>
  <c r="J214" i="73"/>
  <c r="O285" i="73"/>
  <c r="O48" i="74" s="1"/>
  <c r="O93" i="74" s="1"/>
  <c r="O215" i="73"/>
  <c r="L213" i="73"/>
  <c r="L283" i="73"/>
  <c r="L46" i="74" s="1"/>
  <c r="L91" i="74" s="1"/>
  <c r="M284" i="73"/>
  <c r="M47" i="74" s="1"/>
  <c r="M92" i="74" s="1"/>
  <c r="M214" i="73"/>
  <c r="Q210" i="73"/>
  <c r="Q280" i="73"/>
  <c r="Q43" i="74" s="1"/>
  <c r="Q88" i="74" s="1"/>
  <c r="M212" i="73"/>
  <c r="M282" i="73"/>
  <c r="M45" i="74" s="1"/>
  <c r="M90" i="74" s="1"/>
  <c r="P206" i="73"/>
  <c r="P276" i="73"/>
  <c r="P39" i="74" s="1"/>
  <c r="P84" i="74" s="1"/>
  <c r="L281" i="73"/>
  <c r="L44" i="74" s="1"/>
  <c r="L89" i="74" s="1"/>
  <c r="L211" i="73"/>
  <c r="P213" i="73"/>
  <c r="P283" i="73"/>
  <c r="P46" i="74" s="1"/>
  <c r="P91" i="74" s="1"/>
  <c r="J36" i="71"/>
  <c r="W36" i="71"/>
  <c r="W141" i="71" s="1"/>
  <c r="V36" i="71"/>
  <c r="V141" i="71" s="1"/>
  <c r="N210" i="73"/>
  <c r="N280" i="73"/>
  <c r="N43" i="74" s="1"/>
  <c r="N88" i="74" s="1"/>
  <c r="P279" i="73"/>
  <c r="P42" i="74" s="1"/>
  <c r="P87" i="74" s="1"/>
  <c r="P209" i="73"/>
  <c r="P212" i="73"/>
  <c r="P282" i="73"/>
  <c r="P45" i="74" s="1"/>
  <c r="P90" i="74" s="1"/>
  <c r="L207" i="73"/>
  <c r="L277" i="73"/>
  <c r="L40" i="74" s="1"/>
  <c r="L85" i="74" s="1"/>
  <c r="P215" i="73"/>
  <c r="P285" i="73"/>
  <c r="P48" i="74" s="1"/>
  <c r="P93" i="74" s="1"/>
  <c r="M206" i="73"/>
  <c r="M276" i="73"/>
  <c r="M39" i="74" s="1"/>
  <c r="M84" i="74" s="1"/>
  <c r="J281" i="73"/>
  <c r="J44" i="74" s="1"/>
  <c r="J89" i="74" s="1"/>
  <c r="J211" i="73"/>
  <c r="O214" i="73"/>
  <c r="O284" i="73"/>
  <c r="O47" i="74" s="1"/>
  <c r="O92" i="74" s="1"/>
  <c r="O36" i="71"/>
  <c r="O141" i="71" s="1"/>
  <c r="L209" i="73"/>
  <c r="L279" i="73"/>
  <c r="L42" i="74" s="1"/>
  <c r="L87" i="74" s="1"/>
  <c r="Q281" i="73"/>
  <c r="Q44" i="74" s="1"/>
  <c r="Q89" i="74" s="1"/>
  <c r="Q211" i="73"/>
  <c r="K213" i="73"/>
  <c r="K283" i="73"/>
  <c r="K46" i="74" s="1"/>
  <c r="K91" i="74" s="1"/>
  <c r="Q36" i="71"/>
  <c r="Q141" i="71" s="1"/>
  <c r="S36" i="71"/>
  <c r="S141" i="71" s="1"/>
  <c r="N208" i="73"/>
  <c r="N278" i="73"/>
  <c r="N41" i="74" s="1"/>
  <c r="N86" i="74" s="1"/>
  <c r="Q285" i="73"/>
  <c r="Q48" i="74" s="1"/>
  <c r="Q93" i="74" s="1"/>
  <c r="Q215" i="73"/>
  <c r="O283" i="73"/>
  <c r="O46" i="74" s="1"/>
  <c r="O91" i="74" s="1"/>
  <c r="O213" i="73"/>
  <c r="K214" i="73"/>
  <c r="K284" i="73"/>
  <c r="K47" i="74" s="1"/>
  <c r="K92" i="74" s="1"/>
  <c r="N36" i="71"/>
  <c r="N141" i="71" s="1"/>
  <c r="L278" i="73"/>
  <c r="L41" i="74" s="1"/>
  <c r="L86" i="74" s="1"/>
  <c r="L208" i="73"/>
  <c r="J212" i="73"/>
  <c r="J282" i="73"/>
  <c r="J45" i="74" s="1"/>
  <c r="J90" i="74" s="1"/>
  <c r="O206" i="73"/>
  <c r="O276" i="73"/>
  <c r="O39" i="74" s="1"/>
  <c r="O84" i="74" s="1"/>
  <c r="U36" i="71"/>
  <c r="U141" i="71" s="1"/>
  <c r="K279" i="73"/>
  <c r="K42" i="74" s="1"/>
  <c r="K87" i="74" s="1"/>
  <c r="K209" i="73"/>
  <c r="K208" i="73"/>
  <c r="K278" i="73"/>
  <c r="K41" i="74" s="1"/>
  <c r="K86" i="74" s="1"/>
  <c r="K212" i="73"/>
  <c r="K282" i="73"/>
  <c r="K45" i="74" s="1"/>
  <c r="K90" i="74" s="1"/>
  <c r="N215" i="73"/>
  <c r="N285" i="73"/>
  <c r="N48" i="74" s="1"/>
  <c r="N93" i="74" s="1"/>
  <c r="O209" i="73"/>
  <c r="O279" i="73"/>
  <c r="O42" i="74" s="1"/>
  <c r="O87" i="74" s="1"/>
  <c r="J208" i="73"/>
  <c r="J278" i="73"/>
  <c r="J41" i="74" s="1"/>
  <c r="J86" i="74" s="1"/>
  <c r="O212" i="73"/>
  <c r="O282" i="73"/>
  <c r="O45" i="74" s="1"/>
  <c r="O90" i="74" s="1"/>
  <c r="P207" i="73"/>
  <c r="P277" i="73"/>
  <c r="P40" i="74" s="1"/>
  <c r="P85" i="74" s="1"/>
  <c r="P281" i="73"/>
  <c r="P44" i="74" s="1"/>
  <c r="P89" i="74" s="1"/>
  <c r="P211" i="73"/>
  <c r="N281" i="73"/>
  <c r="N44" i="74" s="1"/>
  <c r="N89" i="74" s="1"/>
  <c r="N211" i="73"/>
  <c r="J213" i="73"/>
  <c r="J283" i="73"/>
  <c r="J46" i="74" s="1"/>
  <c r="J91" i="74" s="1"/>
  <c r="R36" i="71"/>
  <c r="R141" i="71" s="1"/>
  <c r="L210" i="73"/>
  <c r="L280" i="73"/>
  <c r="L43" i="74" s="1"/>
  <c r="L88" i="74" s="1"/>
  <c r="M207" i="73"/>
  <c r="M277" i="73"/>
  <c r="M40" i="74" s="1"/>
  <c r="M85" i="74" s="1"/>
  <c r="K215" i="73"/>
  <c r="K285" i="73"/>
  <c r="K48" i="74" s="1"/>
  <c r="K93" i="74" s="1"/>
  <c r="K276" i="73"/>
  <c r="K39" i="74" s="1"/>
  <c r="K84" i="74" s="1"/>
  <c r="K206" i="73"/>
  <c r="M281" i="73"/>
  <c r="M44" i="74" s="1"/>
  <c r="M89" i="74" s="1"/>
  <c r="M211" i="73"/>
  <c r="N214" i="73"/>
  <c r="N284" i="73"/>
  <c r="N47" i="74" s="1"/>
  <c r="N92" i="74" s="1"/>
  <c r="X36" i="71"/>
  <c r="X141" i="71" s="1"/>
  <c r="M36" i="71"/>
  <c r="M141" i="71" s="1"/>
  <c r="P280" i="73"/>
  <c r="P43" i="74" s="1"/>
  <c r="P88" i="74" s="1"/>
  <c r="P210" i="73"/>
  <c r="O278" i="73"/>
  <c r="O41" i="74" s="1"/>
  <c r="O86" i="74" s="1"/>
  <c r="O208" i="73"/>
  <c r="O122" i="74" l="1"/>
  <c r="O154" i="74" s="1"/>
  <c r="Y122" i="74"/>
  <c r="Y154" i="74" s="1"/>
  <c r="R122" i="74"/>
  <c r="R154" i="74" s="1"/>
  <c r="M122" i="74"/>
  <c r="M154" i="74" s="1"/>
  <c r="V122" i="74"/>
  <c r="V154" i="74" s="1"/>
  <c r="P122" i="74"/>
  <c r="P154" i="74" s="1"/>
  <c r="S122" i="74"/>
  <c r="S154" i="74" s="1"/>
  <c r="W122" i="74"/>
  <c r="W154" i="74" s="1"/>
  <c r="K122" i="74"/>
  <c r="K154" i="74" s="1"/>
  <c r="X122" i="74"/>
  <c r="X154" i="74" s="1"/>
  <c r="Q122" i="74"/>
  <c r="Q154" i="74" s="1"/>
  <c r="U122" i="74"/>
  <c r="U154" i="74" s="1"/>
  <c r="N122" i="74"/>
  <c r="N154" i="74" s="1"/>
  <c r="T122" i="74"/>
  <c r="T154" i="74" s="1"/>
  <c r="J120" i="74"/>
  <c r="J152" i="74" s="1"/>
  <c r="L120" i="74"/>
  <c r="L152" i="74" s="1"/>
  <c r="K121" i="74"/>
  <c r="K153" i="74" s="1"/>
  <c r="P121" i="74"/>
  <c r="P153" i="74" s="1"/>
  <c r="V121" i="74"/>
  <c r="V153" i="74" s="1"/>
  <c r="Y121" i="74"/>
  <c r="Y153" i="74" s="1"/>
  <c r="X121" i="74"/>
  <c r="X153" i="74" s="1"/>
  <c r="R121" i="74"/>
  <c r="R153" i="74" s="1"/>
  <c r="S121" i="74"/>
  <c r="S153" i="74" s="1"/>
  <c r="U121" i="74"/>
  <c r="U153" i="74" s="1"/>
  <c r="T121" i="74"/>
  <c r="T153" i="74" s="1"/>
  <c r="M121" i="74"/>
  <c r="M153" i="74" s="1"/>
  <c r="W121" i="74"/>
  <c r="W153" i="74" s="1"/>
  <c r="N121" i="74"/>
  <c r="N153" i="74" s="1"/>
  <c r="O121" i="74"/>
  <c r="O153" i="74" s="1"/>
  <c r="Q121" i="74"/>
  <c r="Q153" i="74" s="1"/>
  <c r="J117" i="74"/>
  <c r="J149" i="74" s="1"/>
  <c r="L117" i="74"/>
  <c r="L149" i="74" s="1"/>
  <c r="L119" i="74"/>
  <c r="L151" i="74" s="1"/>
  <c r="J119" i="74"/>
  <c r="J151" i="74" s="1"/>
  <c r="J118" i="74"/>
  <c r="J150" i="74" s="1"/>
  <c r="L118" i="74"/>
  <c r="L150" i="74" s="1"/>
  <c r="J122" i="74"/>
  <c r="J154" i="74" s="1"/>
  <c r="L122" i="74"/>
  <c r="L154" i="74" s="1"/>
  <c r="O119" i="74"/>
  <c r="O151" i="74" s="1"/>
  <c r="K119" i="74"/>
  <c r="K151" i="74" s="1"/>
  <c r="N119" i="74"/>
  <c r="N151" i="74" s="1"/>
  <c r="V119" i="74"/>
  <c r="V151" i="74" s="1"/>
  <c r="X119" i="74"/>
  <c r="X151" i="74" s="1"/>
  <c r="W119" i="74"/>
  <c r="W151" i="74" s="1"/>
  <c r="Y119" i="74"/>
  <c r="Y151" i="74" s="1"/>
  <c r="P119" i="74"/>
  <c r="P151" i="74" s="1"/>
  <c r="Q119" i="74"/>
  <c r="Q151" i="74" s="1"/>
  <c r="M119" i="74"/>
  <c r="M151" i="74" s="1"/>
  <c r="T119" i="74"/>
  <c r="T151" i="74" s="1"/>
  <c r="R119" i="74"/>
  <c r="R151" i="74" s="1"/>
  <c r="S119" i="74"/>
  <c r="S151" i="74" s="1"/>
  <c r="U119" i="74"/>
  <c r="U151" i="74" s="1"/>
  <c r="N120" i="74"/>
  <c r="N152" i="74" s="1"/>
  <c r="K120" i="74"/>
  <c r="K152" i="74" s="1"/>
  <c r="S120" i="74"/>
  <c r="S152" i="74" s="1"/>
  <c r="X120" i="74"/>
  <c r="X152" i="74" s="1"/>
  <c r="Q120" i="74"/>
  <c r="Q152" i="74" s="1"/>
  <c r="R120" i="74"/>
  <c r="R152" i="74" s="1"/>
  <c r="U120" i="74"/>
  <c r="U152" i="74" s="1"/>
  <c r="V120" i="74"/>
  <c r="V152" i="74" s="1"/>
  <c r="Y120" i="74"/>
  <c r="Y152" i="74" s="1"/>
  <c r="W120" i="74"/>
  <c r="W152" i="74" s="1"/>
  <c r="O120" i="74"/>
  <c r="O152" i="74" s="1"/>
  <c r="T120" i="74"/>
  <c r="T152" i="74" s="1"/>
  <c r="M120" i="74"/>
  <c r="M152" i="74" s="1"/>
  <c r="P120" i="74"/>
  <c r="P152" i="74" s="1"/>
  <c r="O115" i="74"/>
  <c r="O147" i="74" s="1"/>
  <c r="S115" i="74"/>
  <c r="S147" i="74" s="1"/>
  <c r="K115" i="74"/>
  <c r="K147" i="74" s="1"/>
  <c r="Y115" i="74"/>
  <c r="Y147" i="74" s="1"/>
  <c r="W115" i="74"/>
  <c r="W147" i="74" s="1"/>
  <c r="X115" i="74"/>
  <c r="X147" i="74" s="1"/>
  <c r="V115" i="74"/>
  <c r="V147" i="74" s="1"/>
  <c r="U115" i="74"/>
  <c r="U147" i="74" s="1"/>
  <c r="M115" i="74"/>
  <c r="M147" i="74" s="1"/>
  <c r="T115" i="74"/>
  <c r="T147" i="74" s="1"/>
  <c r="Q115" i="74"/>
  <c r="Q147" i="74" s="1"/>
  <c r="R115" i="74"/>
  <c r="R147" i="74" s="1"/>
  <c r="P115" i="74"/>
  <c r="P147" i="74" s="1"/>
  <c r="N115" i="74"/>
  <c r="N147" i="74" s="1"/>
  <c r="J84" i="74"/>
  <c r="M123" i="74"/>
  <c r="M155" i="74" s="1"/>
  <c r="O123" i="74"/>
  <c r="O155" i="74" s="1"/>
  <c r="P123" i="74"/>
  <c r="P155" i="74" s="1"/>
  <c r="N123" i="74"/>
  <c r="N155" i="74" s="1"/>
  <c r="R123" i="74"/>
  <c r="R155" i="74" s="1"/>
  <c r="X123" i="74"/>
  <c r="X155" i="74" s="1"/>
  <c r="Q123" i="74"/>
  <c r="Q155" i="74" s="1"/>
  <c r="U123" i="74"/>
  <c r="U155" i="74" s="1"/>
  <c r="S123" i="74"/>
  <c r="S155" i="74" s="1"/>
  <c r="K123" i="74"/>
  <c r="K155" i="74" s="1"/>
  <c r="W123" i="74"/>
  <c r="W155" i="74" s="1"/>
  <c r="Y123" i="74"/>
  <c r="Y155" i="74" s="1"/>
  <c r="T123" i="74"/>
  <c r="T155" i="74" s="1"/>
  <c r="V123" i="74"/>
  <c r="V155" i="74" s="1"/>
  <c r="J116" i="74"/>
  <c r="J148" i="74" s="1"/>
  <c r="L116" i="74"/>
  <c r="L148" i="74" s="1"/>
  <c r="U116" i="74"/>
  <c r="U148" i="74" s="1"/>
  <c r="W116" i="74"/>
  <c r="W148" i="74" s="1"/>
  <c r="X116" i="74"/>
  <c r="X148" i="74" s="1"/>
  <c r="R116" i="74"/>
  <c r="R148" i="74" s="1"/>
  <c r="V116" i="74"/>
  <c r="V148" i="74" s="1"/>
  <c r="Y116" i="74"/>
  <c r="Y148" i="74" s="1"/>
  <c r="Q116" i="74"/>
  <c r="Q148" i="74" s="1"/>
  <c r="N116" i="74"/>
  <c r="N148" i="74" s="1"/>
  <c r="M116" i="74"/>
  <c r="M148" i="74" s="1"/>
  <c r="K116" i="74"/>
  <c r="K148" i="74" s="1"/>
  <c r="S116" i="74"/>
  <c r="S148" i="74" s="1"/>
  <c r="O116" i="74"/>
  <c r="O148" i="74" s="1"/>
  <c r="P116" i="74"/>
  <c r="P148" i="74" s="1"/>
  <c r="T116" i="74"/>
  <c r="T148" i="74" s="1"/>
  <c r="J141" i="71"/>
  <c r="N118" i="74"/>
  <c r="N150" i="74" s="1"/>
  <c r="V118" i="74"/>
  <c r="V150" i="74" s="1"/>
  <c r="K118" i="74"/>
  <c r="K150" i="74" s="1"/>
  <c r="P118" i="74"/>
  <c r="P150" i="74" s="1"/>
  <c r="O118" i="74"/>
  <c r="O150" i="74" s="1"/>
  <c r="Q118" i="74"/>
  <c r="Q150" i="74" s="1"/>
  <c r="Y118" i="74"/>
  <c r="Y150" i="74" s="1"/>
  <c r="S118" i="74"/>
  <c r="S150" i="74" s="1"/>
  <c r="M118" i="74"/>
  <c r="M150" i="74" s="1"/>
  <c r="U118" i="74"/>
  <c r="U150" i="74" s="1"/>
  <c r="X118" i="74"/>
  <c r="X150" i="74" s="1"/>
  <c r="T118" i="74"/>
  <c r="T150" i="74" s="1"/>
  <c r="W118" i="74"/>
  <c r="W150" i="74" s="1"/>
  <c r="R118" i="74"/>
  <c r="R150" i="74" s="1"/>
  <c r="L121" i="74"/>
  <c r="L153" i="74" s="1"/>
  <c r="J121" i="74"/>
  <c r="J153" i="74" s="1"/>
  <c r="L123" i="74"/>
  <c r="L155" i="74" s="1"/>
  <c r="J123" i="74"/>
  <c r="J155" i="74" s="1"/>
  <c r="S114" i="74"/>
  <c r="S146" i="74" s="1"/>
  <c r="U114" i="74"/>
  <c r="U146" i="74" s="1"/>
  <c r="Y114" i="74"/>
  <c r="Y146" i="74" s="1"/>
  <c r="X114" i="74"/>
  <c r="X146" i="74" s="1"/>
  <c r="P114" i="74"/>
  <c r="P146" i="74" s="1"/>
  <c r="V114" i="74"/>
  <c r="V146" i="74" s="1"/>
  <c r="T114" i="74"/>
  <c r="T146" i="74" s="1"/>
  <c r="Q114" i="74"/>
  <c r="Q146" i="74" s="1"/>
  <c r="R114" i="74"/>
  <c r="R146" i="74" s="1"/>
  <c r="M114" i="74"/>
  <c r="M146" i="74" s="1"/>
  <c r="W114" i="74"/>
  <c r="W146" i="74" s="1"/>
  <c r="O114" i="74"/>
  <c r="O146" i="74" s="1"/>
  <c r="N114" i="74"/>
  <c r="N146" i="74" s="1"/>
  <c r="K114" i="74"/>
  <c r="K146" i="74" s="1"/>
  <c r="T117" i="74"/>
  <c r="T149" i="74" s="1"/>
  <c r="X117" i="74"/>
  <c r="X149" i="74" s="1"/>
  <c r="Q117" i="74"/>
  <c r="Q149" i="74" s="1"/>
  <c r="W117" i="74"/>
  <c r="W149" i="74" s="1"/>
  <c r="U117" i="74"/>
  <c r="U149" i="74" s="1"/>
  <c r="V117" i="74"/>
  <c r="V149" i="74" s="1"/>
  <c r="R117" i="74"/>
  <c r="R149" i="74" s="1"/>
  <c r="O117" i="74"/>
  <c r="O149" i="74" s="1"/>
  <c r="P117" i="74"/>
  <c r="P149" i="74" s="1"/>
  <c r="S117" i="74"/>
  <c r="S149" i="74" s="1"/>
  <c r="N117" i="74"/>
  <c r="N149" i="74" s="1"/>
  <c r="K117" i="74"/>
  <c r="K149" i="74" s="1"/>
  <c r="Y117" i="74"/>
  <c r="Y149" i="74" s="1"/>
  <c r="M117" i="74"/>
  <c r="M149" i="74" s="1"/>
  <c r="J115" i="74"/>
  <c r="J147" i="74" s="1"/>
  <c r="L115" i="74"/>
  <c r="L147" i="74" s="1"/>
  <c r="J114" i="74" l="1"/>
  <c r="L114" i="74"/>
  <c r="L146" i="74" s="1"/>
  <c r="J146" i="74" l="1"/>
  <c r="H23" i="81" l="1"/>
  <c r="H25" i="81" l="1"/>
  <c r="H121" i="81" l="1"/>
  <c r="H19" i="76" s="1"/>
  <c r="H48" i="76" s="1" a="1"/>
  <c r="H48" i="76" s="1"/>
  <c r="N56" i="81"/>
  <c r="N114" i="81" s="1"/>
  <c r="L56" i="81"/>
  <c r="M56" i="81"/>
  <c r="M114" i="81" s="1"/>
  <c r="S56" i="81"/>
  <c r="S114" i="81" s="1"/>
  <c r="P56" i="81"/>
  <c r="P114" i="81" s="1"/>
  <c r="Q56" i="81"/>
  <c r="Q114" i="81" s="1"/>
  <c r="O56" i="81"/>
  <c r="O114" i="81" s="1"/>
  <c r="R56" i="81"/>
  <c r="R114" i="81" s="1"/>
  <c r="L114" i="81" l="1"/>
  <c r="H127" i="81" a="1"/>
  <c r="H127" i="81" s="1"/>
  <c r="H131" i="81" s="1"/>
  <c r="A4" i="76"/>
  <c r="J55" i="55"/>
  <c r="J53" i="55" l="1"/>
  <c r="A4" i="81"/>
  <c r="H51" i="72" a="1"/>
  <c r="H53" i="73" a="1"/>
  <c r="H20" i="83" a="1"/>
  <c r="H23" i="83" l="1"/>
  <c r="H20" i="83"/>
  <c r="H27" i="83"/>
  <c r="H26" i="83"/>
  <c r="H24" i="83"/>
  <c r="H22" i="83"/>
  <c r="H25" i="83"/>
  <c r="H21" i="83"/>
  <c r="H53" i="73"/>
  <c r="H58" i="73"/>
  <c r="H55" i="73"/>
  <c r="H57" i="73"/>
  <c r="H60" i="73"/>
  <c r="H54" i="73"/>
  <c r="H59" i="73"/>
  <c r="H56" i="73"/>
  <c r="H51" i="72"/>
  <c r="H54" i="72"/>
  <c r="H58" i="72"/>
  <c r="H52" i="72"/>
  <c r="H57" i="72"/>
  <c r="H55" i="72"/>
  <c r="H53" i="72"/>
  <c r="H56" i="72"/>
  <c r="K165" i="73" l="1"/>
  <c r="K225" i="73" s="1"/>
  <c r="M135" i="73"/>
  <c r="O165" i="73"/>
  <c r="O225" i="73" s="1"/>
  <c r="K135" i="73"/>
  <c r="J165" i="73"/>
  <c r="J225" i="73" s="1"/>
  <c r="O135" i="73"/>
  <c r="P135" i="73"/>
  <c r="P165" i="73"/>
  <c r="P225" i="73" s="1"/>
  <c r="M165" i="73"/>
  <c r="M225" i="73" s="1"/>
  <c r="N135" i="73"/>
  <c r="L165" i="73"/>
  <c r="L225" i="73" s="1"/>
  <c r="Q135" i="73"/>
  <c r="J135" i="73"/>
  <c r="N165" i="73"/>
  <c r="N225" i="73" s="1"/>
  <c r="L135" i="73"/>
  <c r="Q165" i="73"/>
  <c r="Q225" i="73" s="1"/>
  <c r="Q171" i="73"/>
  <c r="Q231" i="73" s="1"/>
  <c r="O171" i="73"/>
  <c r="O231" i="73" s="1"/>
  <c r="N141" i="73"/>
  <c r="K141" i="73"/>
  <c r="M171" i="73"/>
  <c r="M231" i="73" s="1"/>
  <c r="P171" i="73"/>
  <c r="P231" i="73" s="1"/>
  <c r="N171" i="73"/>
  <c r="N231" i="73" s="1"/>
  <c r="M141" i="73"/>
  <c r="P141" i="73"/>
  <c r="L141" i="73"/>
  <c r="J141" i="73"/>
  <c r="K171" i="73"/>
  <c r="K231" i="73" s="1"/>
  <c r="O141" i="73"/>
  <c r="L171" i="73"/>
  <c r="L231" i="73" s="1"/>
  <c r="J171" i="73"/>
  <c r="J231" i="73" s="1"/>
  <c r="Q141" i="73"/>
  <c r="O139" i="73"/>
  <c r="Q169" i="73"/>
  <c r="Q229" i="73" s="1"/>
  <c r="M139" i="73"/>
  <c r="P139" i="73"/>
  <c r="K169" i="73"/>
  <c r="K229" i="73" s="1"/>
  <c r="M169" i="73"/>
  <c r="M229" i="73" s="1"/>
  <c r="O169" i="73"/>
  <c r="O229" i="73" s="1"/>
  <c r="N169" i="73"/>
  <c r="N229" i="73" s="1"/>
  <c r="K139" i="73"/>
  <c r="P169" i="73"/>
  <c r="P229" i="73" s="1"/>
  <c r="J139" i="73"/>
  <c r="L169" i="73"/>
  <c r="L229" i="73" s="1"/>
  <c r="N139" i="73"/>
  <c r="J169" i="73"/>
  <c r="J229" i="73" s="1"/>
  <c r="Q139" i="73"/>
  <c r="L139" i="73"/>
  <c r="O140" i="73"/>
  <c r="L170" i="73"/>
  <c r="L230" i="73" s="1"/>
  <c r="N140" i="73"/>
  <c r="J170" i="73"/>
  <c r="J230" i="73" s="1"/>
  <c r="P140" i="73"/>
  <c r="K170" i="73"/>
  <c r="K230" i="73" s="1"/>
  <c r="O170" i="73"/>
  <c r="O230" i="73" s="1"/>
  <c r="N170" i="73"/>
  <c r="N230" i="73" s="1"/>
  <c r="J140" i="73"/>
  <c r="P170" i="73"/>
  <c r="P230" i="73" s="1"/>
  <c r="L140" i="73"/>
  <c r="M140" i="73"/>
  <c r="K140" i="73"/>
  <c r="Q170" i="73"/>
  <c r="Q230" i="73" s="1"/>
  <c r="M170" i="73"/>
  <c r="M230" i="73" s="1"/>
  <c r="Q140" i="73"/>
  <c r="P136" i="73"/>
  <c r="N166" i="73"/>
  <c r="N226" i="73" s="1"/>
  <c r="J166" i="73"/>
  <c r="J226" i="73" s="1"/>
  <c r="K166" i="73"/>
  <c r="K226" i="73" s="1"/>
  <c r="N136" i="73"/>
  <c r="M166" i="73"/>
  <c r="M226" i="73" s="1"/>
  <c r="O166" i="73"/>
  <c r="O226" i="73" s="1"/>
  <c r="Q136" i="73"/>
  <c r="L166" i="73"/>
  <c r="L226" i="73" s="1"/>
  <c r="J136" i="73"/>
  <c r="M136" i="73"/>
  <c r="K136" i="73"/>
  <c r="Q166" i="73"/>
  <c r="Q226" i="73" s="1"/>
  <c r="L136" i="73"/>
  <c r="P166" i="73"/>
  <c r="P226" i="73" s="1"/>
  <c r="O136" i="73"/>
  <c r="V167" i="72"/>
  <c r="V202" i="72" s="1"/>
  <c r="V232" i="72" s="1"/>
  <c r="W167" i="72"/>
  <c r="W202" i="72" s="1"/>
  <c r="W232" i="72" s="1"/>
  <c r="T167" i="72"/>
  <c r="T202" i="72" s="1"/>
  <c r="T232" i="72" s="1"/>
  <c r="X167" i="72"/>
  <c r="X202" i="72" s="1"/>
  <c r="X232" i="72" s="1"/>
  <c r="Y167" i="72"/>
  <c r="Y202" i="72" s="1"/>
  <c r="Y232" i="72" s="1"/>
  <c r="R167" i="72"/>
  <c r="R202" i="72" s="1"/>
  <c r="R232" i="72" s="1"/>
  <c r="U167" i="72"/>
  <c r="U202" i="72" s="1"/>
  <c r="U232" i="72" s="1"/>
  <c r="S167" i="72"/>
  <c r="S202" i="72" s="1"/>
  <c r="S232" i="72" s="1"/>
  <c r="O137" i="73"/>
  <c r="J167" i="73"/>
  <c r="J227" i="73" s="1"/>
  <c r="P167" i="73"/>
  <c r="P227" i="73" s="1"/>
  <c r="Q167" i="73"/>
  <c r="Q227" i="73" s="1"/>
  <c r="Q137" i="73"/>
  <c r="N167" i="73"/>
  <c r="N227" i="73" s="1"/>
  <c r="J137" i="73"/>
  <c r="P137" i="73"/>
  <c r="O167" i="73"/>
  <c r="O227" i="73" s="1"/>
  <c r="K167" i="73"/>
  <c r="K227" i="73" s="1"/>
  <c r="L137" i="73"/>
  <c r="K137" i="73"/>
  <c r="N137" i="73"/>
  <c r="M167" i="73"/>
  <c r="M227" i="73" s="1"/>
  <c r="M137" i="73"/>
  <c r="L167" i="73"/>
  <c r="L227" i="73" s="1"/>
  <c r="Q168" i="73"/>
  <c r="Q228" i="73" s="1"/>
  <c r="L138" i="73"/>
  <c r="Q138" i="73"/>
  <c r="K138" i="73"/>
  <c r="M138" i="73"/>
  <c r="L168" i="73"/>
  <c r="L228" i="73" s="1"/>
  <c r="M168" i="73"/>
  <c r="M228" i="73" s="1"/>
  <c r="P168" i="73"/>
  <c r="P228" i="73" s="1"/>
  <c r="P138" i="73"/>
  <c r="K168" i="73"/>
  <c r="K228" i="73" s="1"/>
  <c r="O138" i="73"/>
  <c r="O168" i="73"/>
  <c r="O228" i="73" s="1"/>
  <c r="J168" i="73"/>
  <c r="J228" i="73" s="1"/>
  <c r="J138" i="73"/>
  <c r="N168" i="73"/>
  <c r="N228" i="73" s="1"/>
  <c r="N138" i="73"/>
  <c r="P164" i="73"/>
  <c r="P224" i="73" s="1"/>
  <c r="L134" i="73"/>
  <c r="K164" i="73"/>
  <c r="K224" i="73" s="1"/>
  <c r="Q134" i="73"/>
  <c r="L164" i="73"/>
  <c r="L224" i="73" s="1"/>
  <c r="O164" i="73"/>
  <c r="O224" i="73" s="1"/>
  <c r="P134" i="73"/>
  <c r="O134" i="73"/>
  <c r="J134" i="73"/>
  <c r="M164" i="73"/>
  <c r="M224" i="73" s="1"/>
  <c r="Q164" i="73"/>
  <c r="Q224" i="73" s="1"/>
  <c r="J164" i="73"/>
  <c r="J224" i="73" s="1"/>
  <c r="K134" i="73"/>
  <c r="N134" i="73"/>
  <c r="M134" i="73"/>
  <c r="N164" i="73"/>
  <c r="N224" i="73" s="1"/>
  <c r="U184" i="83"/>
  <c r="U55" i="71" s="1"/>
  <c r="U160" i="71" s="1"/>
  <c r="T126" i="83"/>
  <c r="X184" i="83"/>
  <c r="X55" i="71" s="1"/>
  <c r="X160" i="71" s="1"/>
  <c r="U213" i="83"/>
  <c r="U85" i="71" s="1"/>
  <c r="U190" i="71" s="1"/>
  <c r="V126" i="83"/>
  <c r="W213" i="83"/>
  <c r="W85" i="71" s="1"/>
  <c r="W190" i="71" s="1"/>
  <c r="V155" i="83"/>
  <c r="V25" i="71" s="1"/>
  <c r="V130" i="71" s="1"/>
  <c r="Y184" i="83"/>
  <c r="Y55" i="71" s="1"/>
  <c r="Y160" i="71" s="1"/>
  <c r="S126" i="83"/>
  <c r="X126" i="83"/>
  <c r="X155" i="83"/>
  <c r="X25" i="71" s="1"/>
  <c r="X130" i="71" s="1"/>
  <c r="T213" i="83"/>
  <c r="T85" i="71" s="1"/>
  <c r="T190" i="71" s="1"/>
  <c r="Q126" i="83"/>
  <c r="Q126" i="72" s="1"/>
  <c r="Q196" i="72" s="1"/>
  <c r="Q226" i="72" s="1"/>
  <c r="V213" i="83"/>
  <c r="V85" i="71" s="1"/>
  <c r="V190" i="71" s="1"/>
  <c r="R126" i="83"/>
  <c r="Y155" i="83"/>
  <c r="Y25" i="71" s="1"/>
  <c r="Y130" i="71" s="1"/>
  <c r="V184" i="83"/>
  <c r="V55" i="71" s="1"/>
  <c r="V160" i="71" s="1"/>
  <c r="T155" i="83"/>
  <c r="T25" i="71" s="1"/>
  <c r="T130" i="71" s="1"/>
  <c r="W126" i="83"/>
  <c r="U155" i="83"/>
  <c r="U25" i="71" s="1"/>
  <c r="U130" i="71" s="1"/>
  <c r="Y213" i="83"/>
  <c r="Y85" i="71" s="1"/>
  <c r="Y190" i="71" s="1"/>
  <c r="W184" i="83"/>
  <c r="W55" i="71" s="1"/>
  <c r="W160" i="71" s="1"/>
  <c r="Y126" i="83"/>
  <c r="T184" i="83"/>
  <c r="T55" i="71" s="1"/>
  <c r="T160" i="71" s="1"/>
  <c r="X213" i="83"/>
  <c r="X85" i="71" s="1"/>
  <c r="X190" i="71" s="1"/>
  <c r="U126" i="83"/>
  <c r="W155" i="83"/>
  <c r="W25" i="71" s="1"/>
  <c r="W130" i="71" s="1"/>
  <c r="P126" i="83"/>
  <c r="P126" i="72" s="1"/>
  <c r="P196" i="72" s="1"/>
  <c r="P226" i="72" s="1"/>
  <c r="R155" i="83"/>
  <c r="R25" i="71" s="1"/>
  <c r="R130" i="71" s="1"/>
  <c r="O126" i="83"/>
  <c r="O126" i="72" s="1"/>
  <c r="O196" i="72" s="1"/>
  <c r="O226" i="72" s="1"/>
  <c r="S155" i="83"/>
  <c r="S25" i="71" s="1"/>
  <c r="S130" i="71" s="1"/>
  <c r="M126" i="83"/>
  <c r="M126" i="72" s="1"/>
  <c r="M196" i="72" s="1"/>
  <c r="M226" i="72" s="1"/>
  <c r="R213" i="83"/>
  <c r="R85" i="71" s="1"/>
  <c r="R190" i="71" s="1"/>
  <c r="L126" i="83"/>
  <c r="L126" i="72" s="1"/>
  <c r="L196" i="72" s="1"/>
  <c r="L226" i="72" s="1"/>
  <c r="S184" i="83"/>
  <c r="S55" i="71" s="1"/>
  <c r="S160" i="71" s="1"/>
  <c r="S213" i="83"/>
  <c r="S85" i="71" s="1"/>
  <c r="S190" i="71" s="1"/>
  <c r="R184" i="83"/>
  <c r="R55" i="71" s="1"/>
  <c r="R160" i="71" s="1"/>
  <c r="L184" i="83"/>
  <c r="L55" i="71" s="1"/>
  <c r="L160" i="71" s="1"/>
  <c r="Q213" i="83"/>
  <c r="Q85" i="71" s="1"/>
  <c r="Q190" i="71" s="1"/>
  <c r="Q155" i="83"/>
  <c r="Q25" i="71" s="1"/>
  <c r="Q130" i="71" s="1"/>
  <c r="P184" i="83"/>
  <c r="P55" i="71" s="1"/>
  <c r="P160" i="71" s="1"/>
  <c r="L155" i="83"/>
  <c r="L25" i="71" s="1"/>
  <c r="L130" i="71" s="1"/>
  <c r="Q184" i="83"/>
  <c r="Q55" i="71" s="1"/>
  <c r="Q160" i="71" s="1"/>
  <c r="O213" i="83"/>
  <c r="O85" i="71" s="1"/>
  <c r="O190" i="71" s="1"/>
  <c r="P213" i="83"/>
  <c r="P85" i="71" s="1"/>
  <c r="P190" i="71" s="1"/>
  <c r="O155" i="83"/>
  <c r="O25" i="71" s="1"/>
  <c r="O130" i="71" s="1"/>
  <c r="L213" i="83"/>
  <c r="L85" i="71" s="1"/>
  <c r="L190" i="71" s="1"/>
  <c r="M184" i="83"/>
  <c r="M55" i="71" s="1"/>
  <c r="M160" i="71" s="1"/>
  <c r="M213" i="83"/>
  <c r="M85" i="71" s="1"/>
  <c r="M190" i="71" s="1"/>
  <c r="M155" i="83"/>
  <c r="M25" i="71" s="1"/>
  <c r="M130" i="71" s="1"/>
  <c r="P155" i="83"/>
  <c r="P25" i="71" s="1"/>
  <c r="P130" i="71" s="1"/>
  <c r="O184" i="83"/>
  <c r="O55" i="71" s="1"/>
  <c r="O160" i="71" s="1"/>
  <c r="N126" i="83"/>
  <c r="N126" i="72" s="1"/>
  <c r="N196" i="72" s="1"/>
  <c r="N226" i="72" s="1"/>
  <c r="N213" i="83"/>
  <c r="N85" i="71" s="1"/>
  <c r="N190" i="71" s="1"/>
  <c r="N155" i="83"/>
  <c r="N25" i="71" s="1"/>
  <c r="N130" i="71" s="1"/>
  <c r="N184" i="83"/>
  <c r="N55" i="71" s="1"/>
  <c r="N160" i="71" s="1"/>
  <c r="J126" i="83"/>
  <c r="J126" i="72" s="1"/>
  <c r="J196" i="72" s="1"/>
  <c r="J226" i="72" s="1"/>
  <c r="K126" i="83"/>
  <c r="K126" i="72" s="1"/>
  <c r="K196" i="72" s="1"/>
  <c r="K226" i="72" s="1"/>
  <c r="J184" i="83"/>
  <c r="J55" i="71" s="1"/>
  <c r="J160" i="71" s="1"/>
  <c r="J155" i="83"/>
  <c r="J25" i="71" s="1"/>
  <c r="J130" i="71" s="1"/>
  <c r="J213" i="83"/>
  <c r="J85" i="71" s="1"/>
  <c r="J190" i="71" s="1"/>
  <c r="K184" i="83"/>
  <c r="K55" i="71" s="1"/>
  <c r="K160" i="71" s="1"/>
  <c r="K155" i="83"/>
  <c r="K25" i="71" s="1"/>
  <c r="K130" i="71" s="1"/>
  <c r="K213" i="83"/>
  <c r="K85" i="71" s="1"/>
  <c r="K190" i="71" s="1"/>
  <c r="W162" i="72"/>
  <c r="W197" i="72" s="1"/>
  <c r="W227" i="72" s="1"/>
  <c r="R162" i="72"/>
  <c r="R197" i="72" s="1"/>
  <c r="R227" i="72" s="1"/>
  <c r="S162" i="72"/>
  <c r="S197" i="72" s="1"/>
  <c r="S227" i="72" s="1"/>
  <c r="X162" i="72"/>
  <c r="X197" i="72" s="1"/>
  <c r="X227" i="72" s="1"/>
  <c r="U162" i="72"/>
  <c r="U197" i="72" s="1"/>
  <c r="U227" i="72" s="1"/>
  <c r="Y162" i="72"/>
  <c r="Y197" i="72" s="1"/>
  <c r="Y227" i="72" s="1"/>
  <c r="T162" i="72"/>
  <c r="T197" i="72" s="1"/>
  <c r="T227" i="72" s="1"/>
  <c r="V162" i="72"/>
  <c r="V197" i="72" s="1"/>
  <c r="V227" i="72" s="1"/>
  <c r="X185" i="83"/>
  <c r="X56" i="71" s="1"/>
  <c r="X161" i="71" s="1"/>
  <c r="U214" i="83"/>
  <c r="U86" i="71" s="1"/>
  <c r="U191" i="71" s="1"/>
  <c r="V185" i="83"/>
  <c r="V56" i="71" s="1"/>
  <c r="V161" i="71" s="1"/>
  <c r="U185" i="83"/>
  <c r="U56" i="71" s="1"/>
  <c r="U161" i="71" s="1"/>
  <c r="W214" i="83"/>
  <c r="W86" i="71" s="1"/>
  <c r="W191" i="71" s="1"/>
  <c r="V127" i="83"/>
  <c r="X214" i="83"/>
  <c r="X86" i="71" s="1"/>
  <c r="X191" i="71" s="1"/>
  <c r="Y156" i="83"/>
  <c r="Y26" i="71" s="1"/>
  <c r="Y131" i="71" s="1"/>
  <c r="V214" i="83"/>
  <c r="V86" i="71" s="1"/>
  <c r="V191" i="71" s="1"/>
  <c r="U156" i="83"/>
  <c r="U26" i="71" s="1"/>
  <c r="U131" i="71" s="1"/>
  <c r="W156" i="83"/>
  <c r="W26" i="71" s="1"/>
  <c r="W131" i="71" s="1"/>
  <c r="W185" i="83"/>
  <c r="W56" i="71" s="1"/>
  <c r="W161" i="71" s="1"/>
  <c r="X127" i="83"/>
  <c r="Q127" i="83"/>
  <c r="Q127" i="72" s="1"/>
  <c r="Q197" i="72" s="1"/>
  <c r="Q227" i="72" s="1"/>
  <c r="Y185" i="83"/>
  <c r="Y56" i="71" s="1"/>
  <c r="Y161" i="71" s="1"/>
  <c r="Y127" i="83"/>
  <c r="V156" i="83"/>
  <c r="V26" i="71" s="1"/>
  <c r="V131" i="71" s="1"/>
  <c r="R127" i="83"/>
  <c r="T156" i="83"/>
  <c r="T26" i="71" s="1"/>
  <c r="T131" i="71" s="1"/>
  <c r="T127" i="83"/>
  <c r="U127" i="83"/>
  <c r="T185" i="83"/>
  <c r="T56" i="71" s="1"/>
  <c r="T161" i="71" s="1"/>
  <c r="W127" i="83"/>
  <c r="Y214" i="83"/>
  <c r="Y86" i="71" s="1"/>
  <c r="Y191" i="71" s="1"/>
  <c r="T214" i="83"/>
  <c r="T86" i="71" s="1"/>
  <c r="T191" i="71" s="1"/>
  <c r="S127" i="83"/>
  <c r="X156" i="83"/>
  <c r="X26" i="71" s="1"/>
  <c r="X131" i="71" s="1"/>
  <c r="S185" i="83"/>
  <c r="S56" i="71" s="1"/>
  <c r="S161" i="71" s="1"/>
  <c r="R214" i="83"/>
  <c r="R86" i="71" s="1"/>
  <c r="R191" i="71" s="1"/>
  <c r="R156" i="83"/>
  <c r="R26" i="71" s="1"/>
  <c r="R131" i="71" s="1"/>
  <c r="P127" i="83"/>
  <c r="P127" i="72" s="1"/>
  <c r="P197" i="72" s="1"/>
  <c r="P227" i="72" s="1"/>
  <c r="R185" i="83"/>
  <c r="R56" i="71" s="1"/>
  <c r="R161" i="71" s="1"/>
  <c r="S156" i="83"/>
  <c r="S26" i="71" s="1"/>
  <c r="S131" i="71" s="1"/>
  <c r="S214" i="83"/>
  <c r="S86" i="71" s="1"/>
  <c r="S191" i="71" s="1"/>
  <c r="M127" i="83"/>
  <c r="M127" i="72" s="1"/>
  <c r="M197" i="72" s="1"/>
  <c r="M227" i="72" s="1"/>
  <c r="O127" i="83"/>
  <c r="O127" i="72" s="1"/>
  <c r="O197" i="72" s="1"/>
  <c r="O227" i="72" s="1"/>
  <c r="L127" i="83"/>
  <c r="L127" i="72" s="1"/>
  <c r="L197" i="72" s="1"/>
  <c r="L227" i="72" s="1"/>
  <c r="Q214" i="83"/>
  <c r="Q86" i="71" s="1"/>
  <c r="Q191" i="71" s="1"/>
  <c r="O156" i="83"/>
  <c r="O26" i="71" s="1"/>
  <c r="O131" i="71" s="1"/>
  <c r="P156" i="83"/>
  <c r="P26" i="71" s="1"/>
  <c r="P131" i="71" s="1"/>
  <c r="P214" i="83"/>
  <c r="P86" i="71" s="1"/>
  <c r="P191" i="71" s="1"/>
  <c r="Q185" i="83"/>
  <c r="Q56" i="71" s="1"/>
  <c r="Q161" i="71" s="1"/>
  <c r="Q156" i="83"/>
  <c r="Q26" i="71" s="1"/>
  <c r="Q131" i="71" s="1"/>
  <c r="O185" i="83"/>
  <c r="O56" i="71" s="1"/>
  <c r="O161" i="71" s="1"/>
  <c r="M156" i="83"/>
  <c r="M26" i="71" s="1"/>
  <c r="M131" i="71" s="1"/>
  <c r="L214" i="83"/>
  <c r="L86" i="71" s="1"/>
  <c r="L191" i="71" s="1"/>
  <c r="O214" i="83"/>
  <c r="O86" i="71" s="1"/>
  <c r="O191" i="71" s="1"/>
  <c r="L185" i="83"/>
  <c r="L56" i="71" s="1"/>
  <c r="L161" i="71" s="1"/>
  <c r="M214" i="83"/>
  <c r="M86" i="71" s="1"/>
  <c r="M191" i="71" s="1"/>
  <c r="L156" i="83"/>
  <c r="L26" i="71" s="1"/>
  <c r="L131" i="71" s="1"/>
  <c r="P185" i="83"/>
  <c r="P56" i="71" s="1"/>
  <c r="P161" i="71" s="1"/>
  <c r="M185" i="83"/>
  <c r="M56" i="71" s="1"/>
  <c r="M161" i="71" s="1"/>
  <c r="N214" i="83"/>
  <c r="N86" i="71" s="1"/>
  <c r="N191" i="71" s="1"/>
  <c r="N156" i="83"/>
  <c r="N26" i="71" s="1"/>
  <c r="N131" i="71" s="1"/>
  <c r="N127" i="83"/>
  <c r="N127" i="72" s="1"/>
  <c r="N197" i="72" s="1"/>
  <c r="N227" i="72" s="1"/>
  <c r="N185" i="83"/>
  <c r="N56" i="71" s="1"/>
  <c r="N161" i="71" s="1"/>
  <c r="J127" i="83"/>
  <c r="J127" i="72" s="1"/>
  <c r="J197" i="72" s="1"/>
  <c r="J227" i="72" s="1"/>
  <c r="K127" i="83"/>
  <c r="K127" i="72" s="1"/>
  <c r="K197" i="72" s="1"/>
  <c r="K227" i="72" s="1"/>
  <c r="K156" i="83"/>
  <c r="K26" i="71" s="1"/>
  <c r="K131" i="71" s="1"/>
  <c r="K214" i="83"/>
  <c r="K86" i="71" s="1"/>
  <c r="K191" i="71" s="1"/>
  <c r="J156" i="83"/>
  <c r="J26" i="71" s="1"/>
  <c r="J131" i="71" s="1"/>
  <c r="J214" i="83"/>
  <c r="J86" i="71" s="1"/>
  <c r="J191" i="71" s="1"/>
  <c r="K185" i="83"/>
  <c r="K56" i="71" s="1"/>
  <c r="K161" i="71" s="1"/>
  <c r="J185" i="83"/>
  <c r="J56" i="71" s="1"/>
  <c r="J161" i="71" s="1"/>
  <c r="U129" i="83"/>
  <c r="V216" i="83"/>
  <c r="V88" i="71" s="1"/>
  <c r="V193" i="71" s="1"/>
  <c r="V129" i="83"/>
  <c r="R129" i="83"/>
  <c r="W158" i="83"/>
  <c r="W28" i="71" s="1"/>
  <c r="W133" i="71" s="1"/>
  <c r="X158" i="83"/>
  <c r="X28" i="71" s="1"/>
  <c r="X133" i="71" s="1"/>
  <c r="X187" i="83"/>
  <c r="X58" i="71" s="1"/>
  <c r="X163" i="71" s="1"/>
  <c r="W187" i="83"/>
  <c r="W58" i="71" s="1"/>
  <c r="W163" i="71" s="1"/>
  <c r="Q129" i="83"/>
  <c r="Q129" i="72" s="1"/>
  <c r="Q199" i="72" s="1"/>
  <c r="Q229" i="72" s="1"/>
  <c r="T129" i="83"/>
  <c r="W216" i="83"/>
  <c r="W88" i="71" s="1"/>
  <c r="W193" i="71" s="1"/>
  <c r="U158" i="83"/>
  <c r="U28" i="71" s="1"/>
  <c r="U133" i="71" s="1"/>
  <c r="Y158" i="83"/>
  <c r="Y28" i="71" s="1"/>
  <c r="Y133" i="71" s="1"/>
  <c r="S129" i="83"/>
  <c r="T187" i="83"/>
  <c r="T58" i="71" s="1"/>
  <c r="T163" i="71" s="1"/>
  <c r="U216" i="83"/>
  <c r="U88" i="71" s="1"/>
  <c r="U193" i="71" s="1"/>
  <c r="T216" i="83"/>
  <c r="T88" i="71" s="1"/>
  <c r="T193" i="71" s="1"/>
  <c r="Y187" i="83"/>
  <c r="Y58" i="71" s="1"/>
  <c r="Y163" i="71" s="1"/>
  <c r="V187" i="83"/>
  <c r="V58" i="71" s="1"/>
  <c r="V163" i="71" s="1"/>
  <c r="U187" i="83"/>
  <c r="U58" i="71" s="1"/>
  <c r="U163" i="71" s="1"/>
  <c r="W129" i="83"/>
  <c r="Y129" i="83"/>
  <c r="X216" i="83"/>
  <c r="X88" i="71" s="1"/>
  <c r="X193" i="71" s="1"/>
  <c r="Y216" i="83"/>
  <c r="Y88" i="71" s="1"/>
  <c r="Y193" i="71" s="1"/>
  <c r="V158" i="83"/>
  <c r="V28" i="71" s="1"/>
  <c r="V133" i="71" s="1"/>
  <c r="X129" i="83"/>
  <c r="T158" i="83"/>
  <c r="T28" i="71" s="1"/>
  <c r="T133" i="71" s="1"/>
  <c r="R158" i="83"/>
  <c r="R28" i="71" s="1"/>
  <c r="R133" i="71" s="1"/>
  <c r="R187" i="83"/>
  <c r="R58" i="71" s="1"/>
  <c r="R163" i="71" s="1"/>
  <c r="S216" i="83"/>
  <c r="S88" i="71" s="1"/>
  <c r="S193" i="71" s="1"/>
  <c r="S158" i="83"/>
  <c r="S28" i="71" s="1"/>
  <c r="S133" i="71" s="1"/>
  <c r="R216" i="83"/>
  <c r="R88" i="71" s="1"/>
  <c r="R193" i="71" s="1"/>
  <c r="L129" i="83"/>
  <c r="L129" i="72" s="1"/>
  <c r="L199" i="72" s="1"/>
  <c r="L229" i="72" s="1"/>
  <c r="P129" i="83"/>
  <c r="P129" i="72" s="1"/>
  <c r="P199" i="72" s="1"/>
  <c r="P229" i="72" s="1"/>
  <c r="O129" i="83"/>
  <c r="O129" i="72" s="1"/>
  <c r="O199" i="72" s="1"/>
  <c r="O229" i="72" s="1"/>
  <c r="S187" i="83"/>
  <c r="S58" i="71" s="1"/>
  <c r="S163" i="71" s="1"/>
  <c r="M129" i="83"/>
  <c r="M129" i="72" s="1"/>
  <c r="M199" i="72" s="1"/>
  <c r="M229" i="72" s="1"/>
  <c r="O216" i="83"/>
  <c r="O88" i="71" s="1"/>
  <c r="O193" i="71" s="1"/>
  <c r="O187" i="83"/>
  <c r="O58" i="71" s="1"/>
  <c r="O163" i="71" s="1"/>
  <c r="M216" i="83"/>
  <c r="M88" i="71" s="1"/>
  <c r="M193" i="71" s="1"/>
  <c r="L158" i="83"/>
  <c r="L28" i="71" s="1"/>
  <c r="L133" i="71" s="1"/>
  <c r="P216" i="83"/>
  <c r="P88" i="71" s="1"/>
  <c r="P193" i="71" s="1"/>
  <c r="P158" i="83"/>
  <c r="P28" i="71" s="1"/>
  <c r="P133" i="71" s="1"/>
  <c r="P187" i="83"/>
  <c r="P58" i="71" s="1"/>
  <c r="P163" i="71" s="1"/>
  <c r="Q187" i="83"/>
  <c r="Q58" i="71" s="1"/>
  <c r="Q163" i="71" s="1"/>
  <c r="M187" i="83"/>
  <c r="M58" i="71" s="1"/>
  <c r="M163" i="71" s="1"/>
  <c r="Q158" i="83"/>
  <c r="Q28" i="71" s="1"/>
  <c r="Q133" i="71" s="1"/>
  <c r="Q216" i="83"/>
  <c r="Q88" i="71" s="1"/>
  <c r="Q193" i="71" s="1"/>
  <c r="L216" i="83"/>
  <c r="L88" i="71" s="1"/>
  <c r="L193" i="71" s="1"/>
  <c r="L187" i="83"/>
  <c r="L58" i="71" s="1"/>
  <c r="L163" i="71" s="1"/>
  <c r="M158" i="83"/>
  <c r="M28" i="71" s="1"/>
  <c r="M133" i="71" s="1"/>
  <c r="O158" i="83"/>
  <c r="O28" i="71" s="1"/>
  <c r="O133" i="71" s="1"/>
  <c r="N129" i="83"/>
  <c r="N129" i="72" s="1"/>
  <c r="N199" i="72" s="1"/>
  <c r="N229" i="72" s="1"/>
  <c r="N158" i="83"/>
  <c r="N28" i="71" s="1"/>
  <c r="N133" i="71" s="1"/>
  <c r="N216" i="83"/>
  <c r="N88" i="71" s="1"/>
  <c r="N193" i="71" s="1"/>
  <c r="N187" i="83"/>
  <c r="N58" i="71" s="1"/>
  <c r="N163" i="71" s="1"/>
  <c r="J129" i="83"/>
  <c r="J129" i="72" s="1"/>
  <c r="J199" i="72" s="1"/>
  <c r="J229" i="72" s="1"/>
  <c r="K129" i="83"/>
  <c r="K129" i="72" s="1"/>
  <c r="K199" i="72" s="1"/>
  <c r="K229" i="72" s="1"/>
  <c r="J216" i="83"/>
  <c r="J88" i="71" s="1"/>
  <c r="J193" i="71" s="1"/>
  <c r="J187" i="83"/>
  <c r="J58" i="71" s="1"/>
  <c r="J163" i="71" s="1"/>
  <c r="K158" i="83"/>
  <c r="K28" i="71" s="1"/>
  <c r="K133" i="71" s="1"/>
  <c r="K216" i="83"/>
  <c r="K88" i="71" s="1"/>
  <c r="K193" i="71" s="1"/>
  <c r="K187" i="83"/>
  <c r="K58" i="71" s="1"/>
  <c r="K163" i="71" s="1"/>
  <c r="J158" i="83"/>
  <c r="J28" i="71" s="1"/>
  <c r="J133" i="71" s="1"/>
  <c r="Q131" i="83"/>
  <c r="Q131" i="72" s="1"/>
  <c r="Q201" i="72" s="1"/>
  <c r="Q231" i="72" s="1"/>
  <c r="X160" i="83"/>
  <c r="X30" i="71" s="1"/>
  <c r="X135" i="71" s="1"/>
  <c r="V218" i="83"/>
  <c r="V90" i="71" s="1"/>
  <c r="V195" i="71" s="1"/>
  <c r="W131" i="83"/>
  <c r="T218" i="83"/>
  <c r="T90" i="71" s="1"/>
  <c r="T195" i="71" s="1"/>
  <c r="W189" i="83"/>
  <c r="W60" i="71" s="1"/>
  <c r="W165" i="71" s="1"/>
  <c r="T131" i="83"/>
  <c r="Y189" i="83"/>
  <c r="Y60" i="71" s="1"/>
  <c r="Y165" i="71" s="1"/>
  <c r="W218" i="83"/>
  <c r="W90" i="71" s="1"/>
  <c r="W195" i="71" s="1"/>
  <c r="T160" i="83"/>
  <c r="T30" i="71" s="1"/>
  <c r="T135" i="71" s="1"/>
  <c r="W160" i="83"/>
  <c r="W30" i="71" s="1"/>
  <c r="W135" i="71" s="1"/>
  <c r="U160" i="83"/>
  <c r="U30" i="71" s="1"/>
  <c r="U135" i="71" s="1"/>
  <c r="V131" i="83"/>
  <c r="V189" i="83"/>
  <c r="V60" i="71" s="1"/>
  <c r="V165" i="71" s="1"/>
  <c r="U218" i="83"/>
  <c r="U90" i="71" s="1"/>
  <c r="U195" i="71" s="1"/>
  <c r="Y160" i="83"/>
  <c r="Y30" i="71" s="1"/>
  <c r="Y135" i="71" s="1"/>
  <c r="S131" i="83"/>
  <c r="U189" i="83"/>
  <c r="U60" i="71" s="1"/>
  <c r="U165" i="71" s="1"/>
  <c r="V160" i="83"/>
  <c r="V30" i="71" s="1"/>
  <c r="V135" i="71" s="1"/>
  <c r="T189" i="83"/>
  <c r="T60" i="71" s="1"/>
  <c r="T165" i="71" s="1"/>
  <c r="Y218" i="83"/>
  <c r="Y90" i="71" s="1"/>
  <c r="Y195" i="71" s="1"/>
  <c r="R131" i="83"/>
  <c r="Y131" i="83"/>
  <c r="X189" i="83"/>
  <c r="X60" i="71" s="1"/>
  <c r="X165" i="71" s="1"/>
  <c r="X218" i="83"/>
  <c r="X90" i="71" s="1"/>
  <c r="X195" i="71" s="1"/>
  <c r="U131" i="83"/>
  <c r="X131" i="83"/>
  <c r="S160" i="83"/>
  <c r="S30" i="71" s="1"/>
  <c r="S135" i="71" s="1"/>
  <c r="S189" i="83"/>
  <c r="S60" i="71" s="1"/>
  <c r="S165" i="71" s="1"/>
  <c r="M131" i="83"/>
  <c r="M131" i="72" s="1"/>
  <c r="M201" i="72" s="1"/>
  <c r="M231" i="72" s="1"/>
  <c r="O131" i="83"/>
  <c r="O131" i="72" s="1"/>
  <c r="O201" i="72" s="1"/>
  <c r="O231" i="72" s="1"/>
  <c r="O218" i="83"/>
  <c r="O90" i="71" s="1"/>
  <c r="O195" i="71" s="1"/>
  <c r="P131" i="83"/>
  <c r="P131" i="72" s="1"/>
  <c r="P201" i="72" s="1"/>
  <c r="P231" i="72" s="1"/>
  <c r="R189" i="83"/>
  <c r="R60" i="71" s="1"/>
  <c r="R165" i="71" s="1"/>
  <c r="L131" i="83"/>
  <c r="L131" i="72" s="1"/>
  <c r="L201" i="72" s="1"/>
  <c r="L231" i="72" s="1"/>
  <c r="R160" i="83"/>
  <c r="R30" i="71" s="1"/>
  <c r="R135" i="71" s="1"/>
  <c r="R218" i="83"/>
  <c r="R90" i="71" s="1"/>
  <c r="R195" i="71" s="1"/>
  <c r="S218" i="83"/>
  <c r="S90" i="71" s="1"/>
  <c r="S195" i="71" s="1"/>
  <c r="P160" i="83"/>
  <c r="P30" i="71" s="1"/>
  <c r="P135" i="71" s="1"/>
  <c r="Q160" i="83"/>
  <c r="Q30" i="71" s="1"/>
  <c r="Q135" i="71" s="1"/>
  <c r="L189" i="83"/>
  <c r="L60" i="71" s="1"/>
  <c r="L165" i="71" s="1"/>
  <c r="O189" i="83"/>
  <c r="O60" i="71" s="1"/>
  <c r="O165" i="71" s="1"/>
  <c r="Q189" i="83"/>
  <c r="Q60" i="71" s="1"/>
  <c r="Q165" i="71" s="1"/>
  <c r="Q218" i="83"/>
  <c r="Q90" i="71" s="1"/>
  <c r="Q195" i="71" s="1"/>
  <c r="L160" i="83"/>
  <c r="L30" i="71" s="1"/>
  <c r="L135" i="71" s="1"/>
  <c r="O160" i="83"/>
  <c r="O30" i="71" s="1"/>
  <c r="O135" i="71" s="1"/>
  <c r="L218" i="83"/>
  <c r="L90" i="71" s="1"/>
  <c r="L195" i="71" s="1"/>
  <c r="P218" i="83"/>
  <c r="P90" i="71" s="1"/>
  <c r="P195" i="71" s="1"/>
  <c r="M160" i="83"/>
  <c r="M30" i="71" s="1"/>
  <c r="M135" i="71" s="1"/>
  <c r="P189" i="83"/>
  <c r="P60" i="71" s="1"/>
  <c r="P165" i="71" s="1"/>
  <c r="M189" i="83"/>
  <c r="M60" i="71" s="1"/>
  <c r="M165" i="71" s="1"/>
  <c r="M218" i="83"/>
  <c r="M90" i="71" s="1"/>
  <c r="M195" i="71" s="1"/>
  <c r="N189" i="83"/>
  <c r="N60" i="71" s="1"/>
  <c r="N165" i="71" s="1"/>
  <c r="N218" i="83"/>
  <c r="N90" i="71" s="1"/>
  <c r="N195" i="71" s="1"/>
  <c r="N131" i="83"/>
  <c r="N131" i="72" s="1"/>
  <c r="N201" i="72" s="1"/>
  <c r="N231" i="72" s="1"/>
  <c r="N160" i="83"/>
  <c r="N30" i="71" s="1"/>
  <c r="N135" i="71" s="1"/>
  <c r="J131" i="83"/>
  <c r="J131" i="72" s="1"/>
  <c r="J201" i="72" s="1"/>
  <c r="J231" i="72" s="1"/>
  <c r="K131" i="83"/>
  <c r="K131" i="72" s="1"/>
  <c r="K201" i="72" s="1"/>
  <c r="K231" i="72" s="1"/>
  <c r="J160" i="83"/>
  <c r="J30" i="71" s="1"/>
  <c r="J135" i="71" s="1"/>
  <c r="J189" i="83"/>
  <c r="J60" i="71" s="1"/>
  <c r="J165" i="71" s="1"/>
  <c r="K189" i="83"/>
  <c r="K60" i="71" s="1"/>
  <c r="K165" i="71" s="1"/>
  <c r="K160" i="83"/>
  <c r="K30" i="71" s="1"/>
  <c r="K135" i="71" s="1"/>
  <c r="J218" i="83"/>
  <c r="J90" i="71" s="1"/>
  <c r="J195" i="71" s="1"/>
  <c r="K218" i="83"/>
  <c r="K90" i="71" s="1"/>
  <c r="K195" i="71" s="1"/>
  <c r="X212" i="83"/>
  <c r="X84" i="71" s="1"/>
  <c r="X189" i="71" s="1"/>
  <c r="T212" i="83"/>
  <c r="T84" i="71" s="1"/>
  <c r="T189" i="71" s="1"/>
  <c r="Y212" i="83"/>
  <c r="Y84" i="71" s="1"/>
  <c r="Y189" i="71" s="1"/>
  <c r="Y183" i="83"/>
  <c r="Y54" i="71" s="1"/>
  <c r="Y159" i="71" s="1"/>
  <c r="Y154" i="83"/>
  <c r="R125" i="83"/>
  <c r="W125" i="83"/>
  <c r="V183" i="83"/>
  <c r="V54" i="71" s="1"/>
  <c r="V159" i="71" s="1"/>
  <c r="U154" i="83"/>
  <c r="W212" i="83"/>
  <c r="W84" i="71" s="1"/>
  <c r="W189" i="71" s="1"/>
  <c r="W183" i="83"/>
  <c r="W54" i="71" s="1"/>
  <c r="W159" i="71" s="1"/>
  <c r="X183" i="83"/>
  <c r="X54" i="71" s="1"/>
  <c r="X159" i="71" s="1"/>
  <c r="U183" i="83"/>
  <c r="U54" i="71" s="1"/>
  <c r="U159" i="71" s="1"/>
  <c r="V125" i="83"/>
  <c r="T183" i="83"/>
  <c r="T54" i="71" s="1"/>
  <c r="T159" i="71" s="1"/>
  <c r="Q125" i="83"/>
  <c r="Q125" i="72" s="1"/>
  <c r="Q195" i="72" s="1"/>
  <c r="Q225" i="72" s="1"/>
  <c r="W154" i="83"/>
  <c r="U125" i="83"/>
  <c r="V154" i="83"/>
  <c r="U212" i="83"/>
  <c r="U84" i="71" s="1"/>
  <c r="U189" i="71" s="1"/>
  <c r="T125" i="83"/>
  <c r="V212" i="83"/>
  <c r="V84" i="71" s="1"/>
  <c r="V189" i="71" s="1"/>
  <c r="X154" i="83"/>
  <c r="Y125" i="83"/>
  <c r="X125" i="83"/>
  <c r="T154" i="83"/>
  <c r="S125" i="83"/>
  <c r="S183" i="83"/>
  <c r="S54" i="71" s="1"/>
  <c r="S159" i="71" s="1"/>
  <c r="R183" i="83"/>
  <c r="R54" i="71" s="1"/>
  <c r="R159" i="71" s="1"/>
  <c r="R154" i="83"/>
  <c r="M125" i="83"/>
  <c r="M125" i="72" s="1"/>
  <c r="M195" i="72" s="1"/>
  <c r="M225" i="72" s="1"/>
  <c r="S212" i="83"/>
  <c r="S84" i="71" s="1"/>
  <c r="S189" i="71" s="1"/>
  <c r="S154" i="83"/>
  <c r="L125" i="83"/>
  <c r="L125" i="72" s="1"/>
  <c r="L195" i="72" s="1"/>
  <c r="L225" i="72" s="1"/>
  <c r="O125" i="83"/>
  <c r="O125" i="72" s="1"/>
  <c r="O195" i="72" s="1"/>
  <c r="O225" i="72" s="1"/>
  <c r="P125" i="83"/>
  <c r="P125" i="72" s="1"/>
  <c r="P195" i="72" s="1"/>
  <c r="P225" i="72" s="1"/>
  <c r="R212" i="83"/>
  <c r="R84" i="71" s="1"/>
  <c r="R189" i="71" s="1"/>
  <c r="O154" i="83"/>
  <c r="P212" i="83"/>
  <c r="P84" i="71" s="1"/>
  <c r="P189" i="71" s="1"/>
  <c r="Q154" i="83"/>
  <c r="P154" i="83"/>
  <c r="Q212" i="83"/>
  <c r="Q84" i="71" s="1"/>
  <c r="Q189" i="71" s="1"/>
  <c r="Q183" i="83"/>
  <c r="Q54" i="71" s="1"/>
  <c r="Q159" i="71" s="1"/>
  <c r="L212" i="83"/>
  <c r="L84" i="71" s="1"/>
  <c r="L189" i="71" s="1"/>
  <c r="O183" i="83"/>
  <c r="O54" i="71" s="1"/>
  <c r="O159" i="71" s="1"/>
  <c r="O212" i="83"/>
  <c r="O84" i="71" s="1"/>
  <c r="O189" i="71" s="1"/>
  <c r="M154" i="83"/>
  <c r="P183" i="83"/>
  <c r="P54" i="71" s="1"/>
  <c r="P159" i="71" s="1"/>
  <c r="L154" i="83"/>
  <c r="M183" i="83"/>
  <c r="M54" i="71" s="1"/>
  <c r="M159" i="71" s="1"/>
  <c r="L183" i="83"/>
  <c r="L54" i="71" s="1"/>
  <c r="L159" i="71" s="1"/>
  <c r="M212" i="83"/>
  <c r="M84" i="71" s="1"/>
  <c r="M189" i="71" s="1"/>
  <c r="N125" i="83"/>
  <c r="N125" i="72" s="1"/>
  <c r="N195" i="72" s="1"/>
  <c r="N225" i="72" s="1"/>
  <c r="N183" i="83"/>
  <c r="N54" i="71" s="1"/>
  <c r="N159" i="71" s="1"/>
  <c r="N154" i="83"/>
  <c r="N212" i="83"/>
  <c r="N84" i="71" s="1"/>
  <c r="N189" i="71" s="1"/>
  <c r="J125" i="83"/>
  <c r="J125" i="72" s="1"/>
  <c r="J195" i="72" s="1"/>
  <c r="J225" i="72" s="1"/>
  <c r="K125" i="83"/>
  <c r="K125" i="72" s="1"/>
  <c r="K195" i="72" s="1"/>
  <c r="K225" i="72" s="1"/>
  <c r="J183" i="83"/>
  <c r="J54" i="71" s="1"/>
  <c r="J159" i="71" s="1"/>
  <c r="J154" i="83"/>
  <c r="J212" i="83"/>
  <c r="J84" i="71" s="1"/>
  <c r="J189" i="71" s="1"/>
  <c r="K154" i="83"/>
  <c r="K183" i="83"/>
  <c r="K54" i="71" s="1"/>
  <c r="K159" i="71" s="1"/>
  <c r="K212" i="83"/>
  <c r="K84" i="71" s="1"/>
  <c r="K189" i="71" s="1"/>
  <c r="S165" i="72"/>
  <c r="S200" i="72" s="1"/>
  <c r="S230" i="72" s="1"/>
  <c r="X165" i="72"/>
  <c r="X200" i="72" s="1"/>
  <c r="X230" i="72" s="1"/>
  <c r="U165" i="72"/>
  <c r="U200" i="72" s="1"/>
  <c r="U230" i="72" s="1"/>
  <c r="R165" i="72"/>
  <c r="R200" i="72" s="1"/>
  <c r="R230" i="72" s="1"/>
  <c r="W165" i="72"/>
  <c r="W200" i="72" s="1"/>
  <c r="W230" i="72" s="1"/>
  <c r="V165" i="72"/>
  <c r="V200" i="72" s="1"/>
  <c r="V230" i="72" s="1"/>
  <c r="T165" i="72"/>
  <c r="T200" i="72" s="1"/>
  <c r="T230" i="72" s="1"/>
  <c r="Y165" i="72"/>
  <c r="Y200" i="72" s="1"/>
  <c r="Y230" i="72" s="1"/>
  <c r="X188" i="83"/>
  <c r="X59" i="71" s="1"/>
  <c r="X164" i="71" s="1"/>
  <c r="T130" i="83"/>
  <c r="W130" i="83"/>
  <c r="W188" i="83"/>
  <c r="W59" i="71" s="1"/>
  <c r="W164" i="71" s="1"/>
  <c r="Q130" i="83"/>
  <c r="Q130" i="72" s="1"/>
  <c r="Q200" i="72" s="1"/>
  <c r="Q230" i="72" s="1"/>
  <c r="U130" i="83"/>
  <c r="V188" i="83"/>
  <c r="V59" i="71" s="1"/>
  <c r="V164" i="71" s="1"/>
  <c r="X130" i="83"/>
  <c r="R130" i="83"/>
  <c r="S130" i="83"/>
  <c r="X159" i="83"/>
  <c r="X29" i="71" s="1"/>
  <c r="X134" i="71" s="1"/>
  <c r="X217" i="83"/>
  <c r="X89" i="71" s="1"/>
  <c r="X194" i="71" s="1"/>
  <c r="T188" i="83"/>
  <c r="T59" i="71" s="1"/>
  <c r="T164" i="71" s="1"/>
  <c r="W217" i="83"/>
  <c r="W89" i="71" s="1"/>
  <c r="W194" i="71" s="1"/>
  <c r="V130" i="83"/>
  <c r="V159" i="83"/>
  <c r="V29" i="71" s="1"/>
  <c r="V134" i="71" s="1"/>
  <c r="W159" i="83"/>
  <c r="W29" i="71" s="1"/>
  <c r="W134" i="71" s="1"/>
  <c r="Y159" i="83"/>
  <c r="Y29" i="71" s="1"/>
  <c r="Y134" i="71" s="1"/>
  <c r="Y217" i="83"/>
  <c r="Y89" i="71" s="1"/>
  <c r="Y194" i="71" s="1"/>
  <c r="T159" i="83"/>
  <c r="T29" i="71" s="1"/>
  <c r="T134" i="71" s="1"/>
  <c r="Y188" i="83"/>
  <c r="Y59" i="71" s="1"/>
  <c r="Y164" i="71" s="1"/>
  <c r="T217" i="83"/>
  <c r="T89" i="71" s="1"/>
  <c r="T194" i="71" s="1"/>
  <c r="U217" i="83"/>
  <c r="U89" i="71" s="1"/>
  <c r="U194" i="71" s="1"/>
  <c r="Y130" i="83"/>
  <c r="U188" i="83"/>
  <c r="U59" i="71" s="1"/>
  <c r="U164" i="71" s="1"/>
  <c r="U159" i="83"/>
  <c r="U29" i="71" s="1"/>
  <c r="U134" i="71" s="1"/>
  <c r="V217" i="83"/>
  <c r="V89" i="71" s="1"/>
  <c r="V194" i="71" s="1"/>
  <c r="S217" i="83"/>
  <c r="S89" i="71" s="1"/>
  <c r="S194" i="71" s="1"/>
  <c r="R188" i="83"/>
  <c r="R59" i="71" s="1"/>
  <c r="R164" i="71" s="1"/>
  <c r="P130" i="83"/>
  <c r="P130" i="72" s="1"/>
  <c r="P200" i="72" s="1"/>
  <c r="P230" i="72" s="1"/>
  <c r="O130" i="83"/>
  <c r="O130" i="72" s="1"/>
  <c r="O200" i="72" s="1"/>
  <c r="O230" i="72" s="1"/>
  <c r="M130" i="83"/>
  <c r="M130" i="72" s="1"/>
  <c r="M200" i="72" s="1"/>
  <c r="M230" i="72" s="1"/>
  <c r="S159" i="83"/>
  <c r="S29" i="71" s="1"/>
  <c r="S134" i="71" s="1"/>
  <c r="S188" i="83"/>
  <c r="S59" i="71" s="1"/>
  <c r="S164" i="71" s="1"/>
  <c r="R217" i="83"/>
  <c r="R89" i="71" s="1"/>
  <c r="R194" i="71" s="1"/>
  <c r="L130" i="83"/>
  <c r="L130" i="72" s="1"/>
  <c r="L200" i="72" s="1"/>
  <c r="L230" i="72" s="1"/>
  <c r="R159" i="83"/>
  <c r="R29" i="71" s="1"/>
  <c r="R134" i="71" s="1"/>
  <c r="P217" i="83"/>
  <c r="P89" i="71" s="1"/>
  <c r="P194" i="71" s="1"/>
  <c r="P188" i="83"/>
  <c r="P59" i="71" s="1"/>
  <c r="P164" i="71" s="1"/>
  <c r="Q188" i="83"/>
  <c r="Q59" i="71" s="1"/>
  <c r="Q164" i="71" s="1"/>
  <c r="P159" i="83"/>
  <c r="P29" i="71" s="1"/>
  <c r="P134" i="71" s="1"/>
  <c r="L217" i="83"/>
  <c r="L89" i="71" s="1"/>
  <c r="L194" i="71" s="1"/>
  <c r="Q217" i="83"/>
  <c r="Q89" i="71" s="1"/>
  <c r="Q194" i="71" s="1"/>
  <c r="L188" i="83"/>
  <c r="L59" i="71" s="1"/>
  <c r="L164" i="71" s="1"/>
  <c r="O159" i="83"/>
  <c r="O29" i="71" s="1"/>
  <c r="O134" i="71" s="1"/>
  <c r="Q159" i="83"/>
  <c r="Q29" i="71" s="1"/>
  <c r="Q134" i="71" s="1"/>
  <c r="O217" i="83"/>
  <c r="O89" i="71" s="1"/>
  <c r="O194" i="71" s="1"/>
  <c r="M188" i="83"/>
  <c r="M59" i="71" s="1"/>
  <c r="M164" i="71" s="1"/>
  <c r="L159" i="83"/>
  <c r="L29" i="71" s="1"/>
  <c r="L134" i="71" s="1"/>
  <c r="O188" i="83"/>
  <c r="O59" i="71" s="1"/>
  <c r="O164" i="71" s="1"/>
  <c r="M159" i="83"/>
  <c r="M29" i="71" s="1"/>
  <c r="M134" i="71" s="1"/>
  <c r="M217" i="83"/>
  <c r="M89" i="71" s="1"/>
  <c r="M194" i="71" s="1"/>
  <c r="N188" i="83"/>
  <c r="N59" i="71" s="1"/>
  <c r="N164" i="71" s="1"/>
  <c r="N130" i="83"/>
  <c r="N130" i="72" s="1"/>
  <c r="N200" i="72" s="1"/>
  <c r="N230" i="72" s="1"/>
  <c r="N159" i="83"/>
  <c r="N29" i="71" s="1"/>
  <c r="N134" i="71" s="1"/>
  <c r="N217" i="83"/>
  <c r="N89" i="71" s="1"/>
  <c r="N194" i="71" s="1"/>
  <c r="J130" i="83"/>
  <c r="J130" i="72" s="1"/>
  <c r="J200" i="72" s="1"/>
  <c r="J230" i="72" s="1"/>
  <c r="K130" i="83"/>
  <c r="K130" i="72" s="1"/>
  <c r="K200" i="72" s="1"/>
  <c r="K230" i="72" s="1"/>
  <c r="K188" i="83"/>
  <c r="K59" i="71" s="1"/>
  <c r="K164" i="71" s="1"/>
  <c r="J188" i="83"/>
  <c r="J59" i="71" s="1"/>
  <c r="J164" i="71" s="1"/>
  <c r="J217" i="83"/>
  <c r="J89" i="71" s="1"/>
  <c r="J194" i="71" s="1"/>
  <c r="J159" i="83"/>
  <c r="J29" i="71" s="1"/>
  <c r="J134" i="71" s="1"/>
  <c r="K159" i="83"/>
  <c r="K29" i="71" s="1"/>
  <c r="K134" i="71" s="1"/>
  <c r="K217" i="83"/>
  <c r="K89" i="71" s="1"/>
  <c r="K194" i="71" s="1"/>
  <c r="R164" i="72"/>
  <c r="R199" i="72" s="1"/>
  <c r="R229" i="72" s="1"/>
  <c r="S164" i="72"/>
  <c r="S199" i="72" s="1"/>
  <c r="S229" i="72" s="1"/>
  <c r="V164" i="72"/>
  <c r="V199" i="72" s="1"/>
  <c r="V229" i="72" s="1"/>
  <c r="W164" i="72"/>
  <c r="W199" i="72" s="1"/>
  <c r="W229" i="72" s="1"/>
  <c r="U164" i="72"/>
  <c r="U199" i="72" s="1"/>
  <c r="U229" i="72" s="1"/>
  <c r="T164" i="72"/>
  <c r="T199" i="72" s="1"/>
  <c r="T229" i="72" s="1"/>
  <c r="Y164" i="72"/>
  <c r="Y199" i="72" s="1"/>
  <c r="Y229" i="72" s="1"/>
  <c r="X164" i="72"/>
  <c r="X199" i="72" s="1"/>
  <c r="X229" i="72" s="1"/>
  <c r="W166" i="72"/>
  <c r="W201" i="72" s="1"/>
  <c r="W231" i="72" s="1"/>
  <c r="X166" i="72"/>
  <c r="X201" i="72" s="1"/>
  <c r="X231" i="72" s="1"/>
  <c r="T166" i="72"/>
  <c r="T201" i="72" s="1"/>
  <c r="T231" i="72" s="1"/>
  <c r="R166" i="72"/>
  <c r="R201" i="72" s="1"/>
  <c r="R231" i="72" s="1"/>
  <c r="U166" i="72"/>
  <c r="U201" i="72" s="1"/>
  <c r="U231" i="72" s="1"/>
  <c r="V166" i="72"/>
  <c r="V201" i="72" s="1"/>
  <c r="V231" i="72" s="1"/>
  <c r="Y166" i="72"/>
  <c r="Y201" i="72" s="1"/>
  <c r="Y231" i="72" s="1"/>
  <c r="S166" i="72"/>
  <c r="S201" i="72" s="1"/>
  <c r="S231" i="72" s="1"/>
  <c r="S161" i="72"/>
  <c r="S196" i="72" s="1"/>
  <c r="S226" i="72" s="1"/>
  <c r="R161" i="72"/>
  <c r="R196" i="72" s="1"/>
  <c r="R226" i="72" s="1"/>
  <c r="T161" i="72"/>
  <c r="T196" i="72" s="1"/>
  <c r="T226" i="72" s="1"/>
  <c r="Y161" i="72"/>
  <c r="Y196" i="72" s="1"/>
  <c r="Y226" i="72" s="1"/>
  <c r="V161" i="72"/>
  <c r="V196" i="72" s="1"/>
  <c r="V226" i="72" s="1"/>
  <c r="U161" i="72"/>
  <c r="U196" i="72" s="1"/>
  <c r="U226" i="72" s="1"/>
  <c r="W161" i="72"/>
  <c r="W196" i="72" s="1"/>
  <c r="W226" i="72" s="1"/>
  <c r="X161" i="72"/>
  <c r="X196" i="72" s="1"/>
  <c r="X226" i="72" s="1"/>
  <c r="W190" i="83"/>
  <c r="W61" i="71" s="1"/>
  <c r="W166" i="71" s="1"/>
  <c r="T161" i="83"/>
  <c r="T31" i="71" s="1"/>
  <c r="T136" i="71" s="1"/>
  <c r="Y190" i="83"/>
  <c r="Y61" i="71" s="1"/>
  <c r="Y166" i="71" s="1"/>
  <c r="T219" i="83"/>
  <c r="T91" i="71" s="1"/>
  <c r="T196" i="71" s="1"/>
  <c r="Y219" i="83"/>
  <c r="Y91" i="71" s="1"/>
  <c r="Y196" i="71" s="1"/>
  <c r="X161" i="83"/>
  <c r="X31" i="71" s="1"/>
  <c r="X136" i="71" s="1"/>
  <c r="V190" i="83"/>
  <c r="V61" i="71" s="1"/>
  <c r="V166" i="71" s="1"/>
  <c r="X190" i="83"/>
  <c r="X61" i="71" s="1"/>
  <c r="X166" i="71" s="1"/>
  <c r="Q132" i="83"/>
  <c r="Q132" i="72" s="1"/>
  <c r="Q202" i="72" s="1"/>
  <c r="Q232" i="72" s="1"/>
  <c r="U219" i="83"/>
  <c r="U91" i="71" s="1"/>
  <c r="U196" i="71" s="1"/>
  <c r="R132" i="83"/>
  <c r="U161" i="83"/>
  <c r="U31" i="71" s="1"/>
  <c r="U136" i="71" s="1"/>
  <c r="U132" i="83"/>
  <c r="V161" i="83"/>
  <c r="V31" i="71" s="1"/>
  <c r="V136" i="71" s="1"/>
  <c r="X219" i="83"/>
  <c r="X91" i="71" s="1"/>
  <c r="X196" i="71" s="1"/>
  <c r="W161" i="83"/>
  <c r="W31" i="71" s="1"/>
  <c r="W136" i="71" s="1"/>
  <c r="S132" i="83"/>
  <c r="W219" i="83"/>
  <c r="W91" i="71" s="1"/>
  <c r="W196" i="71" s="1"/>
  <c r="T190" i="83"/>
  <c r="T61" i="71" s="1"/>
  <c r="T166" i="71" s="1"/>
  <c r="U190" i="83"/>
  <c r="U61" i="71" s="1"/>
  <c r="U166" i="71" s="1"/>
  <c r="Y161" i="83"/>
  <c r="Y31" i="71" s="1"/>
  <c r="Y136" i="71" s="1"/>
  <c r="T132" i="83"/>
  <c r="V219" i="83"/>
  <c r="V91" i="71" s="1"/>
  <c r="V196" i="71" s="1"/>
  <c r="X132" i="83"/>
  <c r="V132" i="83"/>
  <c r="W132" i="83"/>
  <c r="Y132" i="83"/>
  <c r="M132" i="83"/>
  <c r="M132" i="72" s="1"/>
  <c r="M202" i="72" s="1"/>
  <c r="M232" i="72" s="1"/>
  <c r="R161" i="83"/>
  <c r="R31" i="71" s="1"/>
  <c r="R136" i="71" s="1"/>
  <c r="L132" i="83"/>
  <c r="L132" i="72" s="1"/>
  <c r="L202" i="72" s="1"/>
  <c r="L232" i="72" s="1"/>
  <c r="S161" i="83"/>
  <c r="S31" i="71" s="1"/>
  <c r="S136" i="71" s="1"/>
  <c r="O132" i="83"/>
  <c r="O132" i="72" s="1"/>
  <c r="O202" i="72" s="1"/>
  <c r="O232" i="72" s="1"/>
  <c r="R219" i="83"/>
  <c r="R91" i="71" s="1"/>
  <c r="R196" i="71" s="1"/>
  <c r="S219" i="83"/>
  <c r="S91" i="71" s="1"/>
  <c r="S196" i="71" s="1"/>
  <c r="P132" i="83"/>
  <c r="P132" i="72" s="1"/>
  <c r="P202" i="72" s="1"/>
  <c r="P232" i="72" s="1"/>
  <c r="R190" i="83"/>
  <c r="R61" i="71" s="1"/>
  <c r="R166" i="71" s="1"/>
  <c r="S190" i="83"/>
  <c r="S61" i="71" s="1"/>
  <c r="S166" i="71" s="1"/>
  <c r="L219" i="83"/>
  <c r="L91" i="71" s="1"/>
  <c r="L196" i="71" s="1"/>
  <c r="Q219" i="83"/>
  <c r="Q91" i="71" s="1"/>
  <c r="Q196" i="71" s="1"/>
  <c r="O161" i="83"/>
  <c r="O31" i="71" s="1"/>
  <c r="O136" i="71" s="1"/>
  <c r="P161" i="83"/>
  <c r="P31" i="71" s="1"/>
  <c r="P136" i="71" s="1"/>
  <c r="O219" i="83"/>
  <c r="O91" i="71" s="1"/>
  <c r="O196" i="71" s="1"/>
  <c r="L161" i="83"/>
  <c r="L31" i="71" s="1"/>
  <c r="L136" i="71" s="1"/>
  <c r="Q161" i="83"/>
  <c r="Q31" i="71" s="1"/>
  <c r="Q136" i="71" s="1"/>
  <c r="O190" i="83"/>
  <c r="O61" i="71" s="1"/>
  <c r="O166" i="71" s="1"/>
  <c r="Q190" i="83"/>
  <c r="Q61" i="71" s="1"/>
  <c r="Q166" i="71" s="1"/>
  <c r="P219" i="83"/>
  <c r="P91" i="71" s="1"/>
  <c r="P196" i="71" s="1"/>
  <c r="L190" i="83"/>
  <c r="L61" i="71" s="1"/>
  <c r="L166" i="71" s="1"/>
  <c r="M190" i="83"/>
  <c r="M61" i="71" s="1"/>
  <c r="M166" i="71" s="1"/>
  <c r="M219" i="83"/>
  <c r="M91" i="71" s="1"/>
  <c r="M196" i="71" s="1"/>
  <c r="P190" i="83"/>
  <c r="P61" i="71" s="1"/>
  <c r="P166" i="71" s="1"/>
  <c r="M161" i="83"/>
  <c r="M31" i="71" s="1"/>
  <c r="M136" i="71" s="1"/>
  <c r="N190" i="83"/>
  <c r="N61" i="71" s="1"/>
  <c r="N166" i="71" s="1"/>
  <c r="N132" i="83"/>
  <c r="N132" i="72" s="1"/>
  <c r="N202" i="72" s="1"/>
  <c r="N232" i="72" s="1"/>
  <c r="N219" i="83"/>
  <c r="N91" i="71" s="1"/>
  <c r="N196" i="71" s="1"/>
  <c r="N161" i="83"/>
  <c r="N31" i="71" s="1"/>
  <c r="N136" i="71" s="1"/>
  <c r="J132" i="83"/>
  <c r="J132" i="72" s="1"/>
  <c r="J202" i="72" s="1"/>
  <c r="J232" i="72" s="1"/>
  <c r="K132" i="83"/>
  <c r="K132" i="72" s="1"/>
  <c r="K202" i="72" s="1"/>
  <c r="K232" i="72" s="1"/>
  <c r="J219" i="83"/>
  <c r="J91" i="71" s="1"/>
  <c r="J196" i="71" s="1"/>
  <c r="J190" i="83"/>
  <c r="J61" i="71" s="1"/>
  <c r="J166" i="71" s="1"/>
  <c r="J161" i="83"/>
  <c r="J31" i="71" s="1"/>
  <c r="J136" i="71" s="1"/>
  <c r="K161" i="83"/>
  <c r="K31" i="71" s="1"/>
  <c r="K136" i="71" s="1"/>
  <c r="K219" i="83"/>
  <c r="K91" i="71" s="1"/>
  <c r="K196" i="71" s="1"/>
  <c r="K190" i="83"/>
  <c r="K61" i="71" s="1"/>
  <c r="K166" i="71" s="1"/>
  <c r="Y163" i="72"/>
  <c r="Y198" i="72" s="1"/>
  <c r="Y228" i="72" s="1"/>
  <c r="W163" i="72"/>
  <c r="W198" i="72" s="1"/>
  <c r="W228" i="72" s="1"/>
  <c r="S163" i="72"/>
  <c r="S198" i="72" s="1"/>
  <c r="S228" i="72" s="1"/>
  <c r="R163" i="72"/>
  <c r="R198" i="72" s="1"/>
  <c r="R228" i="72" s="1"/>
  <c r="V163" i="72"/>
  <c r="V198" i="72" s="1"/>
  <c r="V228" i="72" s="1"/>
  <c r="X163" i="72"/>
  <c r="X198" i="72" s="1"/>
  <c r="X228" i="72" s="1"/>
  <c r="T163" i="72"/>
  <c r="T198" i="72" s="1"/>
  <c r="T228" i="72" s="1"/>
  <c r="U163" i="72"/>
  <c r="U198" i="72" s="1"/>
  <c r="U228" i="72" s="1"/>
  <c r="T160" i="72"/>
  <c r="T195" i="72" s="1"/>
  <c r="T225" i="72" s="1"/>
  <c r="R160" i="72"/>
  <c r="R195" i="72" s="1"/>
  <c r="R225" i="72" s="1"/>
  <c r="V160" i="72"/>
  <c r="V195" i="72" s="1"/>
  <c r="V225" i="72" s="1"/>
  <c r="W160" i="72"/>
  <c r="W195" i="72" s="1"/>
  <c r="W225" i="72" s="1"/>
  <c r="U160" i="72"/>
  <c r="U195" i="72" s="1"/>
  <c r="U225" i="72" s="1"/>
  <c r="S160" i="72"/>
  <c r="S195" i="72" s="1"/>
  <c r="S225" i="72" s="1"/>
  <c r="X160" i="72"/>
  <c r="X195" i="72" s="1"/>
  <c r="X225" i="72" s="1"/>
  <c r="Y160" i="72"/>
  <c r="Y195" i="72" s="1"/>
  <c r="Y225" i="72" s="1"/>
  <c r="U128" i="83"/>
  <c r="V128" i="83"/>
  <c r="W215" i="83"/>
  <c r="W87" i="71" s="1"/>
  <c r="W192" i="71" s="1"/>
  <c r="T157" i="83"/>
  <c r="T27" i="71" s="1"/>
  <c r="T132" i="71" s="1"/>
  <c r="V157" i="83"/>
  <c r="V27" i="71" s="1"/>
  <c r="V132" i="71" s="1"/>
  <c r="Y157" i="83"/>
  <c r="Y27" i="71" s="1"/>
  <c r="Y132" i="71" s="1"/>
  <c r="V215" i="83"/>
  <c r="V87" i="71" s="1"/>
  <c r="V192" i="71" s="1"/>
  <c r="Y215" i="83"/>
  <c r="Y87" i="71" s="1"/>
  <c r="Y192" i="71" s="1"/>
  <c r="T215" i="83"/>
  <c r="T87" i="71" s="1"/>
  <c r="T192" i="71" s="1"/>
  <c r="Y128" i="83"/>
  <c r="V186" i="83"/>
  <c r="V57" i="71" s="1"/>
  <c r="V162" i="71" s="1"/>
  <c r="R128" i="83"/>
  <c r="U157" i="83"/>
  <c r="U27" i="71" s="1"/>
  <c r="U132" i="71" s="1"/>
  <c r="Y186" i="83"/>
  <c r="Y57" i="71" s="1"/>
  <c r="Y162" i="71" s="1"/>
  <c r="X128" i="83"/>
  <c r="Q128" i="83"/>
  <c r="Q128" i="72" s="1"/>
  <c r="Q198" i="72" s="1"/>
  <c r="Q228" i="72" s="1"/>
  <c r="T128" i="83"/>
  <c r="T186" i="83"/>
  <c r="T57" i="71" s="1"/>
  <c r="T162" i="71" s="1"/>
  <c r="W186" i="83"/>
  <c r="W57" i="71" s="1"/>
  <c r="W162" i="71" s="1"/>
  <c r="X215" i="83"/>
  <c r="X87" i="71" s="1"/>
  <c r="X192" i="71" s="1"/>
  <c r="U215" i="83"/>
  <c r="U87" i="71" s="1"/>
  <c r="U192" i="71" s="1"/>
  <c r="U186" i="83"/>
  <c r="U57" i="71" s="1"/>
  <c r="U162" i="71" s="1"/>
  <c r="W128" i="83"/>
  <c r="X186" i="83"/>
  <c r="X57" i="71" s="1"/>
  <c r="X162" i="71" s="1"/>
  <c r="X157" i="83"/>
  <c r="X27" i="71" s="1"/>
  <c r="X132" i="71" s="1"/>
  <c r="W157" i="83"/>
  <c r="W27" i="71" s="1"/>
  <c r="W132" i="71" s="1"/>
  <c r="S128" i="83"/>
  <c r="R186" i="83"/>
  <c r="R57" i="71" s="1"/>
  <c r="R162" i="71" s="1"/>
  <c r="P128" i="83"/>
  <c r="P128" i="72" s="1"/>
  <c r="P198" i="72" s="1"/>
  <c r="P228" i="72" s="1"/>
  <c r="S157" i="83"/>
  <c r="S27" i="71" s="1"/>
  <c r="S132" i="71" s="1"/>
  <c r="S186" i="83"/>
  <c r="S57" i="71" s="1"/>
  <c r="S162" i="71" s="1"/>
  <c r="R157" i="83"/>
  <c r="R27" i="71" s="1"/>
  <c r="R132" i="71" s="1"/>
  <c r="S215" i="83"/>
  <c r="S87" i="71" s="1"/>
  <c r="S192" i="71" s="1"/>
  <c r="L128" i="83"/>
  <c r="L128" i="72" s="1"/>
  <c r="L198" i="72" s="1"/>
  <c r="L228" i="72" s="1"/>
  <c r="O128" i="83"/>
  <c r="O128" i="72" s="1"/>
  <c r="O198" i="72" s="1"/>
  <c r="O228" i="72" s="1"/>
  <c r="M128" i="83"/>
  <c r="M128" i="72" s="1"/>
  <c r="M198" i="72" s="1"/>
  <c r="M228" i="72" s="1"/>
  <c r="R215" i="83"/>
  <c r="R87" i="71" s="1"/>
  <c r="R192" i="71" s="1"/>
  <c r="P186" i="83"/>
  <c r="P57" i="71" s="1"/>
  <c r="P162" i="71" s="1"/>
  <c r="O186" i="83"/>
  <c r="O57" i="71" s="1"/>
  <c r="O162" i="71" s="1"/>
  <c r="P157" i="83"/>
  <c r="P27" i="71" s="1"/>
  <c r="P132" i="71" s="1"/>
  <c r="O157" i="83"/>
  <c r="O27" i="71" s="1"/>
  <c r="O132" i="71" s="1"/>
  <c r="Q157" i="83"/>
  <c r="Q27" i="71" s="1"/>
  <c r="Q132" i="71" s="1"/>
  <c r="L186" i="83"/>
  <c r="L57" i="71" s="1"/>
  <c r="L162" i="71" s="1"/>
  <c r="Q186" i="83"/>
  <c r="Q57" i="71" s="1"/>
  <c r="Q162" i="71" s="1"/>
  <c r="Q215" i="83"/>
  <c r="Q87" i="71" s="1"/>
  <c r="Q192" i="71" s="1"/>
  <c r="L215" i="83"/>
  <c r="L87" i="71" s="1"/>
  <c r="L192" i="71" s="1"/>
  <c r="P215" i="83"/>
  <c r="P87" i="71" s="1"/>
  <c r="P192" i="71" s="1"/>
  <c r="M157" i="83"/>
  <c r="M27" i="71" s="1"/>
  <c r="M132" i="71" s="1"/>
  <c r="M215" i="83"/>
  <c r="M87" i="71" s="1"/>
  <c r="M192" i="71" s="1"/>
  <c r="L157" i="83"/>
  <c r="L27" i="71" s="1"/>
  <c r="L132" i="71" s="1"/>
  <c r="M186" i="83"/>
  <c r="M57" i="71" s="1"/>
  <c r="M162" i="71" s="1"/>
  <c r="O215" i="83"/>
  <c r="O87" i="71" s="1"/>
  <c r="O192" i="71" s="1"/>
  <c r="N215" i="83"/>
  <c r="N87" i="71" s="1"/>
  <c r="N192" i="71" s="1"/>
  <c r="N157" i="83"/>
  <c r="N27" i="71" s="1"/>
  <c r="N132" i="71" s="1"/>
  <c r="N128" i="83"/>
  <c r="N128" i="72" s="1"/>
  <c r="N198" i="72" s="1"/>
  <c r="N228" i="72" s="1"/>
  <c r="N186" i="83"/>
  <c r="N57" i="71" s="1"/>
  <c r="N162" i="71" s="1"/>
  <c r="J128" i="83"/>
  <c r="J128" i="72" s="1"/>
  <c r="J198" i="72" s="1"/>
  <c r="J228" i="72" s="1"/>
  <c r="K128" i="83"/>
  <c r="K128" i="72" s="1"/>
  <c r="K198" i="72" s="1"/>
  <c r="K228" i="72" s="1"/>
  <c r="J186" i="83"/>
  <c r="J57" i="71" s="1"/>
  <c r="J162" i="71" s="1"/>
  <c r="J157" i="83"/>
  <c r="J27" i="71" s="1"/>
  <c r="J132" i="71" s="1"/>
  <c r="K157" i="83"/>
  <c r="K27" i="71" s="1"/>
  <c r="K132" i="71" s="1"/>
  <c r="K186" i="83"/>
  <c r="K57" i="71" s="1"/>
  <c r="K162" i="71" s="1"/>
  <c r="J215" i="83"/>
  <c r="J87" i="71" s="1"/>
  <c r="J192" i="71" s="1"/>
  <c r="K215" i="83"/>
  <c r="K87" i="71" s="1"/>
  <c r="K192" i="71" s="1"/>
  <c r="K257" i="73" l="1"/>
  <c r="K25" i="41" s="1"/>
  <c r="K45" i="41" s="1"/>
  <c r="K80" i="41" s="1"/>
  <c r="Y250" i="72"/>
  <c r="Y26" i="41" s="1"/>
  <c r="AO46" i="41" s="1"/>
  <c r="AO26" i="65" s="1"/>
  <c r="AO116" i="65" s="1"/>
  <c r="AO127" i="65" s="1"/>
  <c r="AO156" i="65" s="1"/>
  <c r="AO61" i="105" s="1"/>
  <c r="AO101" i="105" s="1"/>
  <c r="S219" i="71"/>
  <c r="S22" i="41" s="1"/>
  <c r="AI42" i="41" s="1"/>
  <c r="AI77" i="41" s="1"/>
  <c r="S250" i="72"/>
  <c r="S26" i="41" s="1"/>
  <c r="AI46" i="41" s="1"/>
  <c r="AI81" i="41" s="1"/>
  <c r="O257" i="73"/>
  <c r="O25" i="41" s="1"/>
  <c r="X45" i="41" s="1"/>
  <c r="T218" i="71"/>
  <c r="T21" i="41" s="1"/>
  <c r="AJ41" i="41" s="1"/>
  <c r="AJ76" i="41" s="1"/>
  <c r="O266" i="73"/>
  <c r="O29" i="74" s="1"/>
  <c r="O74" i="74" s="1"/>
  <c r="O196" i="73"/>
  <c r="Q200" i="73"/>
  <c r="Q270" i="73"/>
  <c r="Q33" i="74" s="1"/>
  <c r="Q78" i="74" s="1"/>
  <c r="L269" i="73"/>
  <c r="L32" i="74" s="1"/>
  <c r="L77" i="74" s="1"/>
  <c r="L199" i="73"/>
  <c r="Q271" i="73"/>
  <c r="Q34" i="74" s="1"/>
  <c r="Q79" i="74" s="1"/>
  <c r="Q201" i="73"/>
  <c r="U250" i="72"/>
  <c r="U26" i="41" s="1"/>
  <c r="AK46" i="41" s="1"/>
  <c r="K24" i="71"/>
  <c r="K129" i="71" s="1"/>
  <c r="K217" i="71" s="1"/>
  <c r="K20" i="41" s="1"/>
  <c r="K40" i="41" s="1"/>
  <c r="K239" i="83"/>
  <c r="O219" i="71"/>
  <c r="O22" i="41" s="1"/>
  <c r="R24" i="71"/>
  <c r="R129" i="71" s="1"/>
  <c r="R217" i="71" s="1"/>
  <c r="R20" i="41" s="1"/>
  <c r="AH40" i="41" s="1"/>
  <c r="R239" i="83"/>
  <c r="P264" i="73"/>
  <c r="P27" i="74" s="1"/>
  <c r="P72" i="74" s="1"/>
  <c r="P194" i="73"/>
  <c r="J267" i="73"/>
  <c r="J30" i="74" s="1"/>
  <c r="J75" i="74" s="1"/>
  <c r="J197" i="73"/>
  <c r="Q199" i="73"/>
  <c r="Q269" i="73"/>
  <c r="Q32" i="74" s="1"/>
  <c r="Q77" i="74" s="1"/>
  <c r="L265" i="73"/>
  <c r="L28" i="74" s="1"/>
  <c r="L73" i="74" s="1"/>
  <c r="L195" i="73"/>
  <c r="O194" i="73"/>
  <c r="O264" i="73"/>
  <c r="O27" i="74" s="1"/>
  <c r="O72" i="74" s="1"/>
  <c r="W250" i="72"/>
  <c r="W26" i="41" s="1"/>
  <c r="AM46" i="41" s="1"/>
  <c r="J219" i="71"/>
  <c r="J22" i="41" s="1"/>
  <c r="J42" i="41" s="1"/>
  <c r="O218" i="71"/>
  <c r="O21" i="41" s="1"/>
  <c r="R218" i="71"/>
  <c r="R21" i="41" s="1"/>
  <c r="AH41" i="41" s="1"/>
  <c r="U218" i="71"/>
  <c r="U21" i="41" s="1"/>
  <c r="AK41" i="41" s="1"/>
  <c r="L196" i="73"/>
  <c r="L266" i="73"/>
  <c r="L29" i="74" s="1"/>
  <c r="L74" i="74" s="1"/>
  <c r="Q250" i="72"/>
  <c r="Q26" i="41" s="1"/>
  <c r="AG46" i="41" s="1"/>
  <c r="M250" i="72"/>
  <c r="M26" i="41" s="1"/>
  <c r="Q46" i="41" s="1"/>
  <c r="V250" i="72"/>
  <c r="V26" i="41" s="1"/>
  <c r="AL46" i="41" s="1"/>
  <c r="J24" i="71"/>
  <c r="J239" i="83"/>
  <c r="L219" i="71"/>
  <c r="L22" i="41" s="1"/>
  <c r="S218" i="71"/>
  <c r="S21" i="41" s="1"/>
  <c r="AI41" i="41" s="1"/>
  <c r="X218" i="71"/>
  <c r="X21" i="41" s="1"/>
  <c r="AN41" i="41" s="1"/>
  <c r="L257" i="73"/>
  <c r="L25" i="41" s="1"/>
  <c r="M198" i="73"/>
  <c r="M268" i="73"/>
  <c r="M31" i="74" s="1"/>
  <c r="M76" i="74" s="1"/>
  <c r="Q267" i="73"/>
  <c r="Q30" i="74" s="1"/>
  <c r="Q75" i="74" s="1"/>
  <c r="Q197" i="73"/>
  <c r="K200" i="73"/>
  <c r="K270" i="73"/>
  <c r="K33" i="74" s="1"/>
  <c r="K78" i="74" s="1"/>
  <c r="N269" i="73"/>
  <c r="N32" i="74" s="1"/>
  <c r="N77" i="74" s="1"/>
  <c r="N199" i="73"/>
  <c r="O201" i="73"/>
  <c r="O271" i="73"/>
  <c r="O34" i="74" s="1"/>
  <c r="O79" i="74" s="1"/>
  <c r="J265" i="73"/>
  <c r="J28" i="74" s="1"/>
  <c r="J73" i="74" s="1"/>
  <c r="J195" i="73"/>
  <c r="X250" i="72"/>
  <c r="X26" i="41" s="1"/>
  <c r="AN46" i="41" s="1"/>
  <c r="K219" i="71"/>
  <c r="K22" i="41" s="1"/>
  <c r="K42" i="41" s="1"/>
  <c r="M24" i="71"/>
  <c r="M129" i="71" s="1"/>
  <c r="M217" i="71" s="1"/>
  <c r="M20" i="41" s="1"/>
  <c r="Q40" i="41" s="1"/>
  <c r="M239" i="83"/>
  <c r="P267" i="73"/>
  <c r="P30" i="74" s="1"/>
  <c r="P75" i="74" s="1"/>
  <c r="P197" i="73"/>
  <c r="R250" i="72"/>
  <c r="R26" i="41" s="1"/>
  <c r="AH46" i="41" s="1"/>
  <c r="J218" i="71"/>
  <c r="J21" i="41" s="1"/>
  <c r="J41" i="41" s="1"/>
  <c r="Q218" i="71"/>
  <c r="Q21" i="41" s="1"/>
  <c r="AG41" i="41" s="1"/>
  <c r="W218" i="71"/>
  <c r="W21" i="41" s="1"/>
  <c r="AM41" i="41" s="1"/>
  <c r="Q264" i="73"/>
  <c r="Q27" i="74" s="1"/>
  <c r="Q72" i="74" s="1"/>
  <c r="Q194" i="73"/>
  <c r="K198" i="73"/>
  <c r="K268" i="73"/>
  <c r="K31" i="74" s="1"/>
  <c r="K76" i="74" s="1"/>
  <c r="K196" i="73"/>
  <c r="K266" i="73"/>
  <c r="K29" i="74" s="1"/>
  <c r="K74" i="74" s="1"/>
  <c r="M270" i="73"/>
  <c r="M33" i="74" s="1"/>
  <c r="M78" i="74" s="1"/>
  <c r="M200" i="73"/>
  <c r="Q195" i="73"/>
  <c r="Q265" i="73"/>
  <c r="Q28" i="74" s="1"/>
  <c r="Q73" i="74" s="1"/>
  <c r="K218" i="71"/>
  <c r="K21" i="41" s="1"/>
  <c r="K41" i="41" s="1"/>
  <c r="T250" i="72"/>
  <c r="T26" i="41" s="1"/>
  <c r="AJ46" i="41" s="1"/>
  <c r="K250" i="72"/>
  <c r="K26" i="41" s="1"/>
  <c r="K46" i="41" s="1"/>
  <c r="Q219" i="71"/>
  <c r="Q22" i="41" s="1"/>
  <c r="AG42" i="41" s="1"/>
  <c r="T24" i="71"/>
  <c r="T129" i="71" s="1"/>
  <c r="T217" i="71" s="1"/>
  <c r="T20" i="41" s="1"/>
  <c r="AJ40" i="41" s="1"/>
  <c r="T239" i="83"/>
  <c r="W219" i="71"/>
  <c r="W22" i="41" s="1"/>
  <c r="AM42" i="41" s="1"/>
  <c r="Q268" i="73"/>
  <c r="Q31" i="74" s="1"/>
  <c r="Q76" i="74" s="1"/>
  <c r="Q198" i="73"/>
  <c r="M266" i="73"/>
  <c r="M29" i="74" s="1"/>
  <c r="M74" i="74" s="1"/>
  <c r="M196" i="73"/>
  <c r="L270" i="73"/>
  <c r="L33" i="74" s="1"/>
  <c r="L78" i="74" s="1"/>
  <c r="L200" i="73"/>
  <c r="J269" i="73"/>
  <c r="J32" i="74" s="1"/>
  <c r="J77" i="74" s="1"/>
  <c r="J199" i="73"/>
  <c r="J271" i="73"/>
  <c r="J34" i="74" s="1"/>
  <c r="J79" i="74" s="1"/>
  <c r="J201" i="73"/>
  <c r="P218" i="71"/>
  <c r="P21" i="41" s="1"/>
  <c r="J250" i="72"/>
  <c r="J26" i="41" s="1"/>
  <c r="J46" i="41" s="1"/>
  <c r="P24" i="71"/>
  <c r="P129" i="71" s="1"/>
  <c r="P217" i="71" s="1"/>
  <c r="P20" i="41" s="1"/>
  <c r="P239" i="83"/>
  <c r="U24" i="71"/>
  <c r="U129" i="71" s="1"/>
  <c r="U217" i="71" s="1"/>
  <c r="U20" i="41" s="1"/>
  <c r="AK40" i="41" s="1"/>
  <c r="U239" i="83"/>
  <c r="L264" i="73"/>
  <c r="L27" i="74" s="1"/>
  <c r="L72" i="74" s="1"/>
  <c r="L194" i="73"/>
  <c r="L268" i="73"/>
  <c r="L31" i="74" s="1"/>
  <c r="L76" i="74" s="1"/>
  <c r="L198" i="73"/>
  <c r="J196" i="73"/>
  <c r="J266" i="73"/>
  <c r="J29" i="74" s="1"/>
  <c r="J74" i="74" s="1"/>
  <c r="L271" i="73"/>
  <c r="L34" i="74" s="1"/>
  <c r="L79" i="74" s="1"/>
  <c r="L201" i="73"/>
  <c r="N265" i="73"/>
  <c r="N28" i="74" s="1"/>
  <c r="N73" i="74" s="1"/>
  <c r="N195" i="73"/>
  <c r="P257" i="73"/>
  <c r="P25" i="41" s="1"/>
  <c r="O267" i="73"/>
  <c r="O30" i="74" s="1"/>
  <c r="O75" i="74" s="1"/>
  <c r="O197" i="73"/>
  <c r="J200" i="73"/>
  <c r="J270" i="73"/>
  <c r="J33" i="74" s="1"/>
  <c r="J78" i="74" s="1"/>
  <c r="K269" i="73"/>
  <c r="K32" i="74" s="1"/>
  <c r="K77" i="74" s="1"/>
  <c r="K199" i="73"/>
  <c r="P201" i="73"/>
  <c r="P271" i="73"/>
  <c r="P34" i="74" s="1"/>
  <c r="P79" i="74" s="1"/>
  <c r="V218" i="71"/>
  <c r="V21" i="41" s="1"/>
  <c r="AL41" i="41" s="1"/>
  <c r="N24" i="71"/>
  <c r="N129" i="71" s="1"/>
  <c r="N217" i="71" s="1"/>
  <c r="N20" i="41" s="1"/>
  <c r="N239" i="83"/>
  <c r="P219" i="71"/>
  <c r="P22" i="41" s="1"/>
  <c r="X24" i="71"/>
  <c r="X129" i="71" s="1"/>
  <c r="X217" i="71" s="1"/>
  <c r="X20" i="41" s="1"/>
  <c r="AN40" i="41" s="1"/>
  <c r="X239" i="83"/>
  <c r="N257" i="73"/>
  <c r="N25" i="41" s="1"/>
  <c r="N268" i="73"/>
  <c r="N31" i="74" s="1"/>
  <c r="N76" i="74" s="1"/>
  <c r="N198" i="73"/>
  <c r="Q196" i="73"/>
  <c r="Q266" i="73"/>
  <c r="Q29" i="74" s="1"/>
  <c r="Q74" i="74" s="1"/>
  <c r="M271" i="73"/>
  <c r="M34" i="74" s="1"/>
  <c r="M79" i="74" s="1"/>
  <c r="M201" i="73"/>
  <c r="N218" i="71"/>
  <c r="N21" i="41" s="1"/>
  <c r="O24" i="71"/>
  <c r="O129" i="71" s="1"/>
  <c r="O217" i="71" s="1"/>
  <c r="O20" i="41" s="1"/>
  <c r="O239" i="83"/>
  <c r="V219" i="71"/>
  <c r="V22" i="41" s="1"/>
  <c r="AL42" i="41" s="1"/>
  <c r="M264" i="73"/>
  <c r="M27" i="74" s="1"/>
  <c r="M72" i="74" s="1"/>
  <c r="M194" i="73"/>
  <c r="M197" i="73"/>
  <c r="M267" i="73"/>
  <c r="M30" i="74" s="1"/>
  <c r="M75" i="74" s="1"/>
  <c r="P195" i="73"/>
  <c r="P265" i="73"/>
  <c r="P28" i="74" s="1"/>
  <c r="P73" i="74" s="1"/>
  <c r="N250" i="72"/>
  <c r="N26" i="41" s="1"/>
  <c r="R219" i="71"/>
  <c r="R22" i="41" s="1"/>
  <c r="AH42" i="41" s="1"/>
  <c r="Y24" i="71"/>
  <c r="Y129" i="71" s="1"/>
  <c r="Y217" i="71" s="1"/>
  <c r="Y20" i="41" s="1"/>
  <c r="AO40" i="41" s="1"/>
  <c r="Y239" i="83"/>
  <c r="N264" i="73"/>
  <c r="N27" i="74" s="1"/>
  <c r="N72" i="74" s="1"/>
  <c r="N194" i="73"/>
  <c r="J198" i="73"/>
  <c r="J268" i="73"/>
  <c r="J31" i="74" s="1"/>
  <c r="J76" i="74" s="1"/>
  <c r="O265" i="73"/>
  <c r="O28" i="74" s="1"/>
  <c r="O73" i="74" s="1"/>
  <c r="O195" i="73"/>
  <c r="Q24" i="71"/>
  <c r="Q129" i="71" s="1"/>
  <c r="Q217" i="71" s="1"/>
  <c r="Q20" i="41" s="1"/>
  <c r="AG40" i="41" s="1"/>
  <c r="Q239" i="83"/>
  <c r="M219" i="71"/>
  <c r="M22" i="41" s="1"/>
  <c r="Q42" i="41" s="1"/>
  <c r="P250" i="72"/>
  <c r="P26" i="41" s="1"/>
  <c r="U219" i="71"/>
  <c r="U22" i="41" s="1"/>
  <c r="AK42" i="41" s="1"/>
  <c r="Y218" i="71"/>
  <c r="Y21" i="41" s="1"/>
  <c r="AO41" i="41" s="1"/>
  <c r="K194" i="73"/>
  <c r="K264" i="73"/>
  <c r="K27" i="74" s="1"/>
  <c r="K72" i="74" s="1"/>
  <c r="N197" i="73"/>
  <c r="N267" i="73"/>
  <c r="N30" i="74" s="1"/>
  <c r="N75" i="74" s="1"/>
  <c r="N266" i="73"/>
  <c r="N29" i="74" s="1"/>
  <c r="N74" i="74" s="1"/>
  <c r="N196" i="73"/>
  <c r="P270" i="73"/>
  <c r="P33" i="74" s="1"/>
  <c r="P78" i="74" s="1"/>
  <c r="P200" i="73"/>
  <c r="N219" i="71"/>
  <c r="N22" i="41" s="1"/>
  <c r="L218" i="71"/>
  <c r="L21" i="41" s="1"/>
  <c r="O250" i="72"/>
  <c r="O26" i="41" s="1"/>
  <c r="V24" i="71"/>
  <c r="V129" i="71" s="1"/>
  <c r="V217" i="71" s="1"/>
  <c r="V20" i="41" s="1"/>
  <c r="AL40" i="41" s="1"/>
  <c r="V239" i="83"/>
  <c r="Y219" i="71"/>
  <c r="Y22" i="41" s="1"/>
  <c r="AO42" i="41" s="1"/>
  <c r="J257" i="73"/>
  <c r="J25" i="41" s="1"/>
  <c r="J45" i="41" s="1"/>
  <c r="K197" i="73"/>
  <c r="K267" i="73"/>
  <c r="K30" i="74" s="1"/>
  <c r="K75" i="74" s="1"/>
  <c r="P269" i="73"/>
  <c r="P32" i="74" s="1"/>
  <c r="P77" i="74" s="1"/>
  <c r="P199" i="73"/>
  <c r="K201" i="73"/>
  <c r="K271" i="73"/>
  <c r="K34" i="74" s="1"/>
  <c r="K79" i="74" s="1"/>
  <c r="K195" i="73"/>
  <c r="K265" i="73"/>
  <c r="K28" i="74" s="1"/>
  <c r="K73" i="74" s="1"/>
  <c r="M218" i="71"/>
  <c r="M21" i="41" s="1"/>
  <c r="Q41" i="41" s="1"/>
  <c r="L250" i="72"/>
  <c r="L26" i="41" s="1"/>
  <c r="T219" i="71"/>
  <c r="T22" i="41" s="1"/>
  <c r="AJ42" i="41" s="1"/>
  <c r="Q257" i="73"/>
  <c r="Q25" i="41" s="1"/>
  <c r="AG45" i="41" s="1"/>
  <c r="O198" i="73"/>
  <c r="O268" i="73"/>
  <c r="O31" i="74" s="1"/>
  <c r="O76" i="74" s="1"/>
  <c r="L267" i="73"/>
  <c r="L30" i="74" s="1"/>
  <c r="L75" i="74" s="1"/>
  <c r="L197" i="73"/>
  <c r="N270" i="73"/>
  <c r="N33" i="74" s="1"/>
  <c r="N78" i="74" s="1"/>
  <c r="N200" i="73"/>
  <c r="M199" i="73"/>
  <c r="M269" i="73"/>
  <c r="M32" i="74" s="1"/>
  <c r="M77" i="74" s="1"/>
  <c r="N271" i="73"/>
  <c r="N34" i="74" s="1"/>
  <c r="N79" i="74" s="1"/>
  <c r="N201" i="73"/>
  <c r="H237" i="83" a="1"/>
  <c r="H237" i="83" s="1"/>
  <c r="L24" i="71"/>
  <c r="L129" i="71" s="1"/>
  <c r="L217" i="71" s="1"/>
  <c r="L20" i="41" s="1"/>
  <c r="L239" i="83"/>
  <c r="S24" i="71"/>
  <c r="S129" i="71" s="1"/>
  <c r="S217" i="71" s="1"/>
  <c r="S20" i="41" s="1"/>
  <c r="AI40" i="41" s="1"/>
  <c r="S239" i="83"/>
  <c r="W24" i="71"/>
  <c r="W129" i="71" s="1"/>
  <c r="W217" i="71" s="1"/>
  <c r="W20" i="41" s="1"/>
  <c r="AM40" i="41" s="1"/>
  <c r="W239" i="83"/>
  <c r="X219" i="71"/>
  <c r="X22" i="41" s="1"/>
  <c r="AN42" i="41" s="1"/>
  <c r="M257" i="73"/>
  <c r="M25" i="41" s="1"/>
  <c r="Q45" i="41" s="1"/>
  <c r="M195" i="73"/>
  <c r="M265" i="73"/>
  <c r="M28" i="74" s="1"/>
  <c r="M73" i="74" s="1"/>
  <c r="J194" i="73"/>
  <c r="J264" i="73"/>
  <c r="J27" i="74" s="1"/>
  <c r="P268" i="73"/>
  <c r="P31" i="74" s="1"/>
  <c r="P76" i="74" s="1"/>
  <c r="P198" i="73"/>
  <c r="P266" i="73"/>
  <c r="P29" i="74" s="1"/>
  <c r="P74" i="74" s="1"/>
  <c r="P196" i="73"/>
  <c r="O270" i="73"/>
  <c r="O33" i="74" s="1"/>
  <c r="O78" i="74" s="1"/>
  <c r="O200" i="73"/>
  <c r="O199" i="73"/>
  <c r="O269" i="73"/>
  <c r="O32" i="74" s="1"/>
  <c r="O77" i="74" s="1"/>
  <c r="K25" i="65" l="1"/>
  <c r="K115" i="65" s="1"/>
  <c r="AO81" i="41"/>
  <c r="Y45" i="41"/>
  <c r="H254" i="72" a="1"/>
  <c r="H254" i="72" s="1"/>
  <c r="A4" i="72" s="1"/>
  <c r="AI22" i="65"/>
  <c r="AA45" i="41"/>
  <c r="AA80" i="41" s="1"/>
  <c r="Z45" i="41"/>
  <c r="Z80" i="41" s="1"/>
  <c r="W45" i="41"/>
  <c r="W25" i="65" s="1"/>
  <c r="W115" i="65" s="1"/>
  <c r="AI26" i="65"/>
  <c r="AI116" i="65" s="1"/>
  <c r="AI127" i="65" s="1"/>
  <c r="AI156" i="65" s="1"/>
  <c r="AI61" i="105" s="1"/>
  <c r="AI101" i="105" s="1"/>
  <c r="L256" i="73"/>
  <c r="L24" i="41" s="1"/>
  <c r="O44" i="41" s="1"/>
  <c r="AJ21" i="65"/>
  <c r="J108" i="74"/>
  <c r="J140" i="74" s="1"/>
  <c r="L108" i="74"/>
  <c r="L140" i="74" s="1"/>
  <c r="K126" i="65"/>
  <c r="K155" i="65" s="1"/>
  <c r="K60" i="105" s="1"/>
  <c r="K100" i="105" s="1"/>
  <c r="K43" i="82"/>
  <c r="K135" i="65"/>
  <c r="K164" i="65" s="1"/>
  <c r="K69" i="105" s="1"/>
  <c r="K110" i="105" s="1"/>
  <c r="K144" i="65"/>
  <c r="K173" i="65" s="1"/>
  <c r="K78" i="105" s="1"/>
  <c r="K120" i="105" s="1"/>
  <c r="Q26" i="65"/>
  <c r="Q116" i="65" s="1"/>
  <c r="Q81" i="41"/>
  <c r="K20" i="65"/>
  <c r="K75" i="41"/>
  <c r="S41" i="41"/>
  <c r="T41" i="41"/>
  <c r="R41" i="41"/>
  <c r="U41" i="41"/>
  <c r="V41" i="41"/>
  <c r="AM26" i="65"/>
  <c r="AM116" i="65" s="1"/>
  <c r="AM127" i="65" s="1"/>
  <c r="AM156" i="65" s="1"/>
  <c r="AM61" i="105" s="1"/>
  <c r="AM101" i="105" s="1"/>
  <c r="AM81" i="41"/>
  <c r="AK20" i="65"/>
  <c r="AK75" i="41"/>
  <c r="Q256" i="73"/>
  <c r="Q24" i="41" s="1"/>
  <c r="AG44" i="41" s="1"/>
  <c r="AG26" i="65"/>
  <c r="AG116" i="65" s="1"/>
  <c r="AG81" i="41"/>
  <c r="O256" i="73"/>
  <c r="O24" i="41" s="1"/>
  <c r="AK26" i="65"/>
  <c r="AK116" i="65" s="1"/>
  <c r="AK127" i="65" s="1"/>
  <c r="AK156" i="65" s="1"/>
  <c r="AK61" i="105" s="1"/>
  <c r="AK101" i="105" s="1"/>
  <c r="AK81" i="41"/>
  <c r="O40" i="41"/>
  <c r="P40" i="41"/>
  <c r="L40" i="41"/>
  <c r="N40" i="41"/>
  <c r="M40" i="41"/>
  <c r="J129" i="71"/>
  <c r="J217" i="71" s="1"/>
  <c r="J20" i="41" s="1"/>
  <c r="J40" i="41" s="1"/>
  <c r="V107" i="74"/>
  <c r="V139" i="74" s="1"/>
  <c r="S107" i="74"/>
  <c r="S139" i="74" s="1"/>
  <c r="O107" i="74"/>
  <c r="O139" i="74" s="1"/>
  <c r="K107" i="74"/>
  <c r="K139" i="74" s="1"/>
  <c r="R107" i="74"/>
  <c r="R139" i="74" s="1"/>
  <c r="M107" i="74"/>
  <c r="M139" i="74" s="1"/>
  <c r="T107" i="74"/>
  <c r="T139" i="74" s="1"/>
  <c r="W107" i="74"/>
  <c r="W139" i="74" s="1"/>
  <c r="Q107" i="74"/>
  <c r="Q139" i="74" s="1"/>
  <c r="Y107" i="74"/>
  <c r="Y139" i="74" s="1"/>
  <c r="X107" i="74"/>
  <c r="X139" i="74" s="1"/>
  <c r="P107" i="74"/>
  <c r="P139" i="74" s="1"/>
  <c r="N107" i="74"/>
  <c r="N139" i="74" s="1"/>
  <c r="U107" i="74"/>
  <c r="U139" i="74" s="1"/>
  <c r="S109" i="74"/>
  <c r="S141" i="74" s="1"/>
  <c r="K109" i="74"/>
  <c r="K141" i="74" s="1"/>
  <c r="W109" i="74"/>
  <c r="W141" i="74" s="1"/>
  <c r="U109" i="74"/>
  <c r="U141" i="74" s="1"/>
  <c r="X109" i="74"/>
  <c r="X141" i="74" s="1"/>
  <c r="T109" i="74"/>
  <c r="T141" i="74" s="1"/>
  <c r="N109" i="74"/>
  <c r="N141" i="74" s="1"/>
  <c r="O109" i="74"/>
  <c r="O141" i="74" s="1"/>
  <c r="Y109" i="74"/>
  <c r="Y141" i="74" s="1"/>
  <c r="P109" i="74"/>
  <c r="P141" i="74" s="1"/>
  <c r="V109" i="74"/>
  <c r="V141" i="74" s="1"/>
  <c r="M109" i="74"/>
  <c r="M141" i="74" s="1"/>
  <c r="R109" i="74"/>
  <c r="R141" i="74" s="1"/>
  <c r="Q109" i="74"/>
  <c r="Q141" i="74" s="1"/>
  <c r="J72" i="74"/>
  <c r="AO20" i="65"/>
  <c r="AO75" i="41"/>
  <c r="AM77" i="41"/>
  <c r="AM22" i="65"/>
  <c r="AI44" i="82"/>
  <c r="J22" i="65"/>
  <c r="J77" i="41"/>
  <c r="J256" i="73"/>
  <c r="J24" i="41" s="1"/>
  <c r="J44" i="41" s="1"/>
  <c r="V102" i="74"/>
  <c r="V134" i="74" s="1"/>
  <c r="P102" i="74"/>
  <c r="P134" i="74" s="1"/>
  <c r="U102" i="74"/>
  <c r="U134" i="74" s="1"/>
  <c r="W102" i="74"/>
  <c r="W134" i="74" s="1"/>
  <c r="Q102" i="74"/>
  <c r="Q134" i="74" s="1"/>
  <c r="M102" i="74"/>
  <c r="M134" i="74" s="1"/>
  <c r="S102" i="74"/>
  <c r="S134" i="74" s="1"/>
  <c r="K102" i="74"/>
  <c r="K134" i="74" s="1"/>
  <c r="Y102" i="74"/>
  <c r="Y134" i="74" s="1"/>
  <c r="O102" i="74"/>
  <c r="O134" i="74" s="1"/>
  <c r="R102" i="74"/>
  <c r="R134" i="74" s="1"/>
  <c r="T102" i="74"/>
  <c r="T134" i="74" s="1"/>
  <c r="N102" i="74"/>
  <c r="N134" i="74" s="1"/>
  <c r="X102" i="74"/>
  <c r="X134" i="74" s="1"/>
  <c r="AE40" i="41"/>
  <c r="AF40" i="41"/>
  <c r="AB40" i="41"/>
  <c r="AD40" i="41"/>
  <c r="AC40" i="41"/>
  <c r="AM21" i="65"/>
  <c r="AM76" i="41"/>
  <c r="R108" i="74"/>
  <c r="R140" i="74" s="1"/>
  <c r="Q108" i="74"/>
  <c r="Q140" i="74" s="1"/>
  <c r="V108" i="74"/>
  <c r="V140" i="74" s="1"/>
  <c r="P108" i="74"/>
  <c r="P140" i="74" s="1"/>
  <c r="W108" i="74"/>
  <c r="W140" i="74" s="1"/>
  <c r="M108" i="74"/>
  <c r="M140" i="74" s="1"/>
  <c r="U108" i="74"/>
  <c r="U140" i="74" s="1"/>
  <c r="X108" i="74"/>
  <c r="X140" i="74" s="1"/>
  <c r="N108" i="74"/>
  <c r="N140" i="74" s="1"/>
  <c r="K108" i="74"/>
  <c r="K140" i="74" s="1"/>
  <c r="T108" i="74"/>
  <c r="T140" i="74" s="1"/>
  <c r="S108" i="74"/>
  <c r="S140" i="74" s="1"/>
  <c r="Y108" i="74"/>
  <c r="Y140" i="74" s="1"/>
  <c r="O108" i="74"/>
  <c r="O140" i="74" s="1"/>
  <c r="J103" i="74"/>
  <c r="J135" i="74" s="1"/>
  <c r="L103" i="74"/>
  <c r="L135" i="74" s="1"/>
  <c r="AH22" i="65"/>
  <c r="AH77" i="41"/>
  <c r="Q105" i="74"/>
  <c r="Q137" i="74" s="1"/>
  <c r="U105" i="74"/>
  <c r="U137" i="74" s="1"/>
  <c r="P105" i="74"/>
  <c r="P137" i="74" s="1"/>
  <c r="V105" i="74"/>
  <c r="V137" i="74" s="1"/>
  <c r="R105" i="74"/>
  <c r="R137" i="74" s="1"/>
  <c r="K105" i="74"/>
  <c r="K137" i="74" s="1"/>
  <c r="N105" i="74"/>
  <c r="N137" i="74" s="1"/>
  <c r="W105" i="74"/>
  <c r="W137" i="74" s="1"/>
  <c r="M105" i="74"/>
  <c r="M137" i="74" s="1"/>
  <c r="O105" i="74"/>
  <c r="O137" i="74" s="1"/>
  <c r="S105" i="74"/>
  <c r="S137" i="74" s="1"/>
  <c r="Y105" i="74"/>
  <c r="Y137" i="74" s="1"/>
  <c r="X105" i="74"/>
  <c r="X137" i="74" s="1"/>
  <c r="T105" i="74"/>
  <c r="T137" i="74" s="1"/>
  <c r="K256" i="73"/>
  <c r="K24" i="41" s="1"/>
  <c r="K44" i="41" s="1"/>
  <c r="T46" i="41"/>
  <c r="V46" i="41"/>
  <c r="U46" i="41"/>
  <c r="R46" i="41"/>
  <c r="S46" i="41"/>
  <c r="AC45" i="41"/>
  <c r="AF45" i="41"/>
  <c r="AE45" i="41"/>
  <c r="AD45" i="41"/>
  <c r="AB45" i="41"/>
  <c r="J26" i="65"/>
  <c r="J116" i="65" s="1"/>
  <c r="J81" i="41"/>
  <c r="AJ20" i="65"/>
  <c r="AJ75" i="41"/>
  <c r="AG76" i="41"/>
  <c r="AG21" i="65"/>
  <c r="AE41" i="41"/>
  <c r="AB41" i="41"/>
  <c r="AF41" i="41"/>
  <c r="AD41" i="41"/>
  <c r="AC41" i="41"/>
  <c r="AG22" i="65"/>
  <c r="AG77" i="41"/>
  <c r="J76" i="41"/>
  <c r="J21" i="65"/>
  <c r="AL26" i="65"/>
  <c r="AL116" i="65" s="1"/>
  <c r="AL81" i="41"/>
  <c r="Q25" i="65"/>
  <c r="Q115" i="65" s="1"/>
  <c r="Q80" i="41"/>
  <c r="J25" i="65"/>
  <c r="J115" i="65" s="1"/>
  <c r="J80" i="41"/>
  <c r="AK77" i="41"/>
  <c r="AK22" i="65"/>
  <c r="K26" i="65"/>
  <c r="K116" i="65" s="1"/>
  <c r="K81" i="41"/>
  <c r="AH26" i="65"/>
  <c r="AH116" i="65" s="1"/>
  <c r="AH81" i="41"/>
  <c r="Y25" i="65"/>
  <c r="Y115" i="65" s="1"/>
  <c r="Y80" i="41"/>
  <c r="AA42" i="41"/>
  <c r="X42" i="41"/>
  <c r="Y42" i="41"/>
  <c r="Z42" i="41"/>
  <c r="W42" i="41"/>
  <c r="AN22" i="65"/>
  <c r="AN77" i="41"/>
  <c r="AO77" i="41"/>
  <c r="AO22" i="65"/>
  <c r="AD46" i="41"/>
  <c r="AF46" i="41"/>
  <c r="AE46" i="41"/>
  <c r="AC46" i="41"/>
  <c r="AB46" i="41"/>
  <c r="AN75" i="41"/>
  <c r="AN20" i="65"/>
  <c r="L109" i="74"/>
  <c r="L141" i="74" s="1"/>
  <c r="J109" i="74"/>
  <c r="J141" i="74" s="1"/>
  <c r="AJ26" i="65"/>
  <c r="AJ116" i="65" s="1"/>
  <c r="AJ81" i="41"/>
  <c r="N256" i="73"/>
  <c r="N24" i="41" s="1"/>
  <c r="Q22" i="65"/>
  <c r="Q77" i="41"/>
  <c r="AC42" i="41"/>
  <c r="AF42" i="41"/>
  <c r="AE42" i="41"/>
  <c r="AB42" i="41"/>
  <c r="AD42" i="41"/>
  <c r="K76" i="41"/>
  <c r="K21" i="65"/>
  <c r="AM20" i="65"/>
  <c r="AM75" i="41"/>
  <c r="AG25" i="65"/>
  <c r="AG115" i="65" s="1"/>
  <c r="AG80" i="41"/>
  <c r="AL20" i="65"/>
  <c r="AL75" i="41"/>
  <c r="M256" i="73"/>
  <c r="M24" i="41" s="1"/>
  <c r="Q44" i="41" s="1"/>
  <c r="L107" i="74"/>
  <c r="L139" i="74" s="1"/>
  <c r="J107" i="74"/>
  <c r="J139" i="74" s="1"/>
  <c r="M45" i="41"/>
  <c r="P45" i="41"/>
  <c r="N45" i="41"/>
  <c r="L45" i="41"/>
  <c r="O45" i="41"/>
  <c r="L105" i="74"/>
  <c r="L137" i="74" s="1"/>
  <c r="J105" i="74"/>
  <c r="J137" i="74" s="1"/>
  <c r="AJ77" i="41"/>
  <c r="AJ22" i="65"/>
  <c r="W46" i="41"/>
  <c r="Z46" i="41"/>
  <c r="X46" i="41"/>
  <c r="AA46" i="41"/>
  <c r="Y46" i="41"/>
  <c r="AG20" i="65"/>
  <c r="AG75" i="41"/>
  <c r="T40" i="41"/>
  <c r="R40" i="41"/>
  <c r="U40" i="41"/>
  <c r="S40" i="41"/>
  <c r="V40" i="41"/>
  <c r="J104" i="74"/>
  <c r="J136" i="74" s="1"/>
  <c r="L104" i="74"/>
  <c r="L136" i="74" s="1"/>
  <c r="Q20" i="65"/>
  <c r="Q75" i="41"/>
  <c r="AN76" i="41"/>
  <c r="AN21" i="65"/>
  <c r="X80" i="41"/>
  <c r="X25" i="65"/>
  <c r="X115" i="65" s="1"/>
  <c r="P256" i="73"/>
  <c r="P24" i="41" s="1"/>
  <c r="X103" i="74"/>
  <c r="X135" i="74" s="1"/>
  <c r="M103" i="74"/>
  <c r="M135" i="74" s="1"/>
  <c r="R103" i="74"/>
  <c r="R135" i="74" s="1"/>
  <c r="K103" i="74"/>
  <c r="K135" i="74" s="1"/>
  <c r="W103" i="74"/>
  <c r="W135" i="74" s="1"/>
  <c r="P103" i="74"/>
  <c r="P135" i="74" s="1"/>
  <c r="T103" i="74"/>
  <c r="T135" i="74" s="1"/>
  <c r="U103" i="74"/>
  <c r="U135" i="74" s="1"/>
  <c r="V103" i="74"/>
  <c r="V135" i="74" s="1"/>
  <c r="O103" i="74"/>
  <c r="O135" i="74" s="1"/>
  <c r="Q103" i="74"/>
  <c r="Q135" i="74" s="1"/>
  <c r="N103" i="74"/>
  <c r="N135" i="74" s="1"/>
  <c r="S103" i="74"/>
  <c r="S135" i="74" s="1"/>
  <c r="Y103" i="74"/>
  <c r="Y135" i="74" s="1"/>
  <c r="S106" i="74"/>
  <c r="S138" i="74" s="1"/>
  <c r="K106" i="74"/>
  <c r="K138" i="74" s="1"/>
  <c r="Y106" i="74"/>
  <c r="Y138" i="74" s="1"/>
  <c r="R106" i="74"/>
  <c r="R138" i="74" s="1"/>
  <c r="M106" i="74"/>
  <c r="M138" i="74" s="1"/>
  <c r="V106" i="74"/>
  <c r="V138" i="74" s="1"/>
  <c r="P106" i="74"/>
  <c r="P138" i="74" s="1"/>
  <c r="O106" i="74"/>
  <c r="O138" i="74" s="1"/>
  <c r="Q106" i="74"/>
  <c r="Q138" i="74" s="1"/>
  <c r="U106" i="74"/>
  <c r="U138" i="74" s="1"/>
  <c r="N106" i="74"/>
  <c r="N138" i="74" s="1"/>
  <c r="W106" i="74"/>
  <c r="W138" i="74" s="1"/>
  <c r="T106" i="74"/>
  <c r="T138" i="74" s="1"/>
  <c r="X106" i="74"/>
  <c r="X138" i="74" s="1"/>
  <c r="AO21" i="65"/>
  <c r="AO76" i="41"/>
  <c r="AI20" i="65"/>
  <c r="AI75" i="41"/>
  <c r="O46" i="41"/>
  <c r="L46" i="41"/>
  <c r="N46" i="41"/>
  <c r="M46" i="41"/>
  <c r="P46" i="41"/>
  <c r="P41" i="41"/>
  <c r="M41" i="41"/>
  <c r="L41" i="41"/>
  <c r="N41" i="41"/>
  <c r="O41" i="41"/>
  <c r="AL22" i="65"/>
  <c r="AL77" i="41"/>
  <c r="AL21" i="65"/>
  <c r="AL76" i="41"/>
  <c r="K22" i="65"/>
  <c r="K77" i="41"/>
  <c r="AI76" i="41"/>
  <c r="AI21" i="65"/>
  <c r="AK21" i="65"/>
  <c r="AK76" i="41"/>
  <c r="T45" i="41"/>
  <c r="V45" i="41"/>
  <c r="S45" i="41"/>
  <c r="U45" i="41"/>
  <c r="R45" i="41"/>
  <c r="Q21" i="65"/>
  <c r="Q76" i="41"/>
  <c r="S42" i="41"/>
  <c r="U42" i="41"/>
  <c r="V42" i="41"/>
  <c r="T42" i="41"/>
  <c r="R42" i="41"/>
  <c r="AN26" i="65"/>
  <c r="AN116" i="65" s="1"/>
  <c r="AN81" i="41"/>
  <c r="N42" i="41"/>
  <c r="O42" i="41"/>
  <c r="P42" i="41"/>
  <c r="L42" i="41"/>
  <c r="M42" i="41"/>
  <c r="AH21" i="65"/>
  <c r="AH76" i="41"/>
  <c r="L106" i="74"/>
  <c r="L138" i="74" s="1"/>
  <c r="J106" i="74"/>
  <c r="J138" i="74" s="1"/>
  <c r="Y40" i="41"/>
  <c r="W40" i="41"/>
  <c r="AA40" i="41"/>
  <c r="Z40" i="41"/>
  <c r="X40" i="41"/>
  <c r="S104" i="74"/>
  <c r="S136" i="74" s="1"/>
  <c r="X104" i="74"/>
  <c r="X136" i="74" s="1"/>
  <c r="Y104" i="74"/>
  <c r="Y136" i="74" s="1"/>
  <c r="T104" i="74"/>
  <c r="T136" i="74" s="1"/>
  <c r="U104" i="74"/>
  <c r="U136" i="74" s="1"/>
  <c r="M104" i="74"/>
  <c r="M136" i="74" s="1"/>
  <c r="P104" i="74"/>
  <c r="P136" i="74" s="1"/>
  <c r="R104" i="74"/>
  <c r="R136" i="74" s="1"/>
  <c r="N104" i="74"/>
  <c r="N136" i="74" s="1"/>
  <c r="K104" i="74"/>
  <c r="K136" i="74" s="1"/>
  <c r="W104" i="74"/>
  <c r="W136" i="74" s="1"/>
  <c r="Q104" i="74"/>
  <c r="Q136" i="74" s="1"/>
  <c r="V104" i="74"/>
  <c r="V136" i="74" s="1"/>
  <c r="O104" i="74"/>
  <c r="O136" i="74" s="1"/>
  <c r="H239" i="83"/>
  <c r="H241" i="83" s="1"/>
  <c r="X41" i="41"/>
  <c r="Z41" i="41"/>
  <c r="W41" i="41"/>
  <c r="Y41" i="41"/>
  <c r="AA41" i="41"/>
  <c r="AH75" i="41"/>
  <c r="AH20" i="65"/>
  <c r="Z25" i="65" l="1"/>
  <c r="Z115" i="65" s="1"/>
  <c r="W80" i="41"/>
  <c r="AA25" i="65"/>
  <c r="AA115" i="65" s="1"/>
  <c r="AA43" i="82" s="1"/>
  <c r="H223" i="71" a="1"/>
  <c r="H223" i="71" s="1"/>
  <c r="J56" i="55" s="1"/>
  <c r="J58" i="55"/>
  <c r="AI145" i="65"/>
  <c r="AI174" i="65" s="1"/>
  <c r="AI79" i="105" s="1"/>
  <c r="AI121" i="105" s="1"/>
  <c r="L44" i="41"/>
  <c r="L24" i="65" s="1"/>
  <c r="L114" i="65" s="1"/>
  <c r="N44" i="41"/>
  <c r="N24" i="65" s="1"/>
  <c r="N114" i="65" s="1"/>
  <c r="P44" i="41"/>
  <c r="P79" i="41" s="1"/>
  <c r="M44" i="41"/>
  <c r="M24" i="65" s="1"/>
  <c r="M114" i="65" s="1"/>
  <c r="H291" i="73" a="1"/>
  <c r="H291" i="73" s="1"/>
  <c r="H295" i="73" s="1"/>
  <c r="A4" i="73" s="1"/>
  <c r="K161" i="74"/>
  <c r="K23" i="41" s="1"/>
  <c r="K43" i="41" s="1"/>
  <c r="K23" i="65" s="1"/>
  <c r="T26" i="65"/>
  <c r="T116" i="65" s="1"/>
  <c r="T81" i="41"/>
  <c r="S161" i="74"/>
  <c r="S23" i="41" s="1"/>
  <c r="AI43" i="41" s="1"/>
  <c r="J75" i="41"/>
  <c r="J20" i="65"/>
  <c r="V76" i="41"/>
  <c r="V21" i="65"/>
  <c r="M75" i="41"/>
  <c r="M20" i="65"/>
  <c r="U21" i="65"/>
  <c r="U76" i="41"/>
  <c r="K79" i="41"/>
  <c r="K24" i="65"/>
  <c r="K114" i="65" s="1"/>
  <c r="S25" i="65"/>
  <c r="S115" i="65" s="1"/>
  <c r="S80" i="41"/>
  <c r="W26" i="65"/>
  <c r="W116" i="65" s="1"/>
  <c r="W81" i="41"/>
  <c r="S44" i="41"/>
  <c r="U44" i="41"/>
  <c r="R44" i="41"/>
  <c r="T44" i="41"/>
  <c r="V44" i="41"/>
  <c r="J126" i="65"/>
  <c r="J155" i="65" s="1"/>
  <c r="J60" i="105" s="1"/>
  <c r="J100" i="105" s="1"/>
  <c r="J144" i="65"/>
  <c r="J173" i="65" s="1"/>
  <c r="J78" i="105" s="1"/>
  <c r="J135" i="65"/>
  <c r="J164" i="65" s="1"/>
  <c r="J69" i="105" s="1"/>
  <c r="J43" i="82"/>
  <c r="Q161" i="74"/>
  <c r="Q23" i="41" s="1"/>
  <c r="AG43" i="41" s="1"/>
  <c r="J102" i="74"/>
  <c r="L102" i="74"/>
  <c r="L134" i="74" s="1"/>
  <c r="L161" i="74" s="1"/>
  <c r="L23" i="41" s="1"/>
  <c r="N20" i="65"/>
  <c r="N75" i="41"/>
  <c r="R21" i="65"/>
  <c r="R76" i="41"/>
  <c r="M161" i="74"/>
  <c r="M23" i="41" s="1"/>
  <c r="Q43" i="41" s="1"/>
  <c r="V25" i="65"/>
  <c r="V115" i="65" s="1"/>
  <c r="V80" i="41"/>
  <c r="W161" i="74"/>
  <c r="W23" i="41" s="1"/>
  <c r="AM43" i="41" s="1"/>
  <c r="L20" i="65"/>
  <c r="L75" i="41"/>
  <c r="T76" i="41"/>
  <c r="T21" i="65"/>
  <c r="M22" i="65"/>
  <c r="M77" i="41"/>
  <c r="AA76" i="41"/>
  <c r="AA21" i="65"/>
  <c r="L22" i="65"/>
  <c r="L77" i="41"/>
  <c r="Y76" i="41"/>
  <c r="Y21" i="65"/>
  <c r="P77" i="41"/>
  <c r="P22" i="65"/>
  <c r="T80" i="41"/>
  <c r="T25" i="65"/>
  <c r="T115" i="65" s="1"/>
  <c r="O21" i="65"/>
  <c r="O76" i="41"/>
  <c r="AG126" i="65"/>
  <c r="AG155" i="65" s="1"/>
  <c r="AG60" i="105" s="1"/>
  <c r="AG100" i="105" s="1"/>
  <c r="AG135" i="65"/>
  <c r="AG164" i="65" s="1"/>
  <c r="AG69" i="105" s="1"/>
  <c r="AG144" i="65"/>
  <c r="AG173" i="65" s="1"/>
  <c r="AG78" i="105" s="1"/>
  <c r="AG43" i="82"/>
  <c r="W77" i="41"/>
  <c r="W22" i="65"/>
  <c r="Q135" i="65"/>
  <c r="Q164" i="65" s="1"/>
  <c r="Q69" i="105" s="1"/>
  <c r="Q110" i="105" s="1"/>
  <c r="Q126" i="65"/>
  <c r="Q155" i="65" s="1"/>
  <c r="Q60" i="105" s="1"/>
  <c r="Q100" i="105" s="1"/>
  <c r="Q144" i="65"/>
  <c r="Q173" i="65" s="1"/>
  <c r="Q78" i="105" s="1"/>
  <c r="Q120" i="105" s="1"/>
  <c r="Q43" i="82"/>
  <c r="AC75" i="41"/>
  <c r="AC20" i="65"/>
  <c r="U161" i="74"/>
  <c r="U23" i="41" s="1"/>
  <c r="AK43" i="41" s="1"/>
  <c r="P20" i="65"/>
  <c r="P75" i="41"/>
  <c r="S76" i="41"/>
  <c r="S21" i="65"/>
  <c r="AE76" i="41"/>
  <c r="AE21" i="65"/>
  <c r="W76" i="41"/>
  <c r="W21" i="65"/>
  <c r="O22" i="65"/>
  <c r="O77" i="41"/>
  <c r="N76" i="41"/>
  <c r="N21" i="65"/>
  <c r="Z22" i="65"/>
  <c r="Z77" i="41"/>
  <c r="AD75" i="41"/>
  <c r="AD20" i="65"/>
  <c r="P161" i="74"/>
  <c r="P23" i="41" s="1"/>
  <c r="O20" i="65"/>
  <c r="O75" i="41"/>
  <c r="L76" i="41"/>
  <c r="L21" i="65"/>
  <c r="AJ127" i="65"/>
  <c r="AJ156" i="65" s="1"/>
  <c r="AJ61" i="105" s="1"/>
  <c r="AJ101" i="105" s="1"/>
  <c r="AJ44" i="82"/>
  <c r="AJ136" i="65"/>
  <c r="AJ165" i="65" s="1"/>
  <c r="AJ70" i="105" s="1"/>
  <c r="AJ111" i="105" s="1"/>
  <c r="AJ145" i="65"/>
  <c r="AJ174" i="65" s="1"/>
  <c r="AJ79" i="105" s="1"/>
  <c r="AJ121" i="105" s="1"/>
  <c r="Y22" i="65"/>
  <c r="Y77" i="41"/>
  <c r="AK44" i="82"/>
  <c r="AL145" i="65"/>
  <c r="AL174" i="65" s="1"/>
  <c r="AL79" i="105" s="1"/>
  <c r="AL121" i="105" s="1"/>
  <c r="AL127" i="65"/>
  <c r="AL156" i="65" s="1"/>
  <c r="AL61" i="105" s="1"/>
  <c r="AL101" i="105" s="1"/>
  <c r="J136" i="65"/>
  <c r="J165" i="65" s="1"/>
  <c r="J70" i="105" s="1"/>
  <c r="J44" i="82"/>
  <c r="J127" i="65"/>
  <c r="J156" i="65" s="1"/>
  <c r="J61" i="105" s="1"/>
  <c r="J101" i="105" s="1"/>
  <c r="J145" i="65"/>
  <c r="J174" i="65" s="1"/>
  <c r="J79" i="105" s="1"/>
  <c r="AB75" i="41"/>
  <c r="AB20" i="65"/>
  <c r="V161" i="74"/>
  <c r="V23" i="41" s="1"/>
  <c r="AL43" i="41" s="1"/>
  <c r="X81" i="41"/>
  <c r="X26" i="65"/>
  <c r="X116" i="65" s="1"/>
  <c r="X21" i="65"/>
  <c r="X76" i="41"/>
  <c r="X20" i="65"/>
  <c r="X75" i="41"/>
  <c r="M76" i="41"/>
  <c r="M21" i="65"/>
  <c r="V20" i="65"/>
  <c r="V75" i="41"/>
  <c r="W126" i="65"/>
  <c r="W155" i="65" s="1"/>
  <c r="W60" i="105" s="1"/>
  <c r="W100" i="105" s="1"/>
  <c r="W144" i="65"/>
  <c r="W173" i="65" s="1"/>
  <c r="W78" i="105" s="1"/>
  <c r="W43" i="82"/>
  <c r="X22" i="65"/>
  <c r="X77" i="41"/>
  <c r="AB25" i="65"/>
  <c r="AB115" i="65" s="1"/>
  <c r="AB80" i="41"/>
  <c r="AF20" i="65"/>
  <c r="AF75" i="41"/>
  <c r="J79" i="41"/>
  <c r="J24" i="65"/>
  <c r="J114" i="65" s="1"/>
  <c r="X126" i="65"/>
  <c r="X155" i="65" s="1"/>
  <c r="X60" i="105" s="1"/>
  <c r="X100" i="105" s="1"/>
  <c r="X43" i="82"/>
  <c r="X144" i="65"/>
  <c r="X173" i="65" s="1"/>
  <c r="X78" i="105" s="1"/>
  <c r="AC22" i="65"/>
  <c r="AC77" i="41"/>
  <c r="J54" i="55"/>
  <c r="A4" i="83"/>
  <c r="Z20" i="65"/>
  <c r="Z75" i="41"/>
  <c r="AL44" i="82"/>
  <c r="AN127" i="65"/>
  <c r="AN156" i="65" s="1"/>
  <c r="AN61" i="105" s="1"/>
  <c r="AN101" i="105" s="1"/>
  <c r="AN145" i="65"/>
  <c r="AN174" i="65" s="1"/>
  <c r="AN79" i="105" s="1"/>
  <c r="P76" i="41"/>
  <c r="P21" i="65"/>
  <c r="S75" i="41"/>
  <c r="S20" i="65"/>
  <c r="Z144" i="65"/>
  <c r="Z173" i="65" s="1"/>
  <c r="Z78" i="105" s="1"/>
  <c r="Z43" i="82"/>
  <c r="Z126" i="65"/>
  <c r="Z155" i="65" s="1"/>
  <c r="Z60" i="105" s="1"/>
  <c r="Z100" i="105" s="1"/>
  <c r="AA77" i="41"/>
  <c r="AA22" i="65"/>
  <c r="AD80" i="41"/>
  <c r="AD25" i="65"/>
  <c r="AD115" i="65" s="1"/>
  <c r="AE75" i="41"/>
  <c r="AE20" i="65"/>
  <c r="X44" i="41"/>
  <c r="AA44" i="41"/>
  <c r="Y44" i="41"/>
  <c r="W44" i="41"/>
  <c r="Z44" i="41"/>
  <c r="Q44" i="82"/>
  <c r="Q145" i="65"/>
  <c r="Q174" i="65" s="1"/>
  <c r="Q79" i="105" s="1"/>
  <c r="Q121" i="105" s="1"/>
  <c r="Q127" i="65"/>
  <c r="Q156" i="65" s="1"/>
  <c r="Q61" i="105" s="1"/>
  <c r="Q101" i="105" s="1"/>
  <c r="Q136" i="65"/>
  <c r="Q165" i="65" s="1"/>
  <c r="Q70" i="105" s="1"/>
  <c r="Q111" i="105" s="1"/>
  <c r="AD26" i="65"/>
  <c r="AD116" i="65" s="1"/>
  <c r="AD81" i="41"/>
  <c r="Z81" i="41"/>
  <c r="Z26" i="65"/>
  <c r="Z116" i="65" s="1"/>
  <c r="AA20" i="65"/>
  <c r="AA75" i="41"/>
  <c r="R22" i="65"/>
  <c r="R77" i="41"/>
  <c r="O24" i="65"/>
  <c r="O114" i="65" s="1"/>
  <c r="O79" i="41"/>
  <c r="P81" i="41"/>
  <c r="P26" i="65"/>
  <c r="P116" i="65" s="1"/>
  <c r="U20" i="65"/>
  <c r="U75" i="41"/>
  <c r="O80" i="41"/>
  <c r="O25" i="65"/>
  <c r="O115" i="65" s="1"/>
  <c r="AE80" i="41"/>
  <c r="AE25" i="65"/>
  <c r="AE115" i="65" s="1"/>
  <c r="X161" i="74"/>
  <c r="X23" i="41" s="1"/>
  <c r="AN43" i="41" s="1"/>
  <c r="V26" i="65"/>
  <c r="V116" i="65" s="1"/>
  <c r="V81" i="41"/>
  <c r="W75" i="41"/>
  <c r="W20" i="65"/>
  <c r="T22" i="65"/>
  <c r="T77" i="41"/>
  <c r="M81" i="41"/>
  <c r="M26" i="65"/>
  <c r="M116" i="65" s="1"/>
  <c r="R20" i="65"/>
  <c r="R75" i="41"/>
  <c r="L25" i="65"/>
  <c r="L115" i="65" s="1"/>
  <c r="L80" i="41"/>
  <c r="Y43" i="82"/>
  <c r="Y144" i="65"/>
  <c r="Y173" i="65" s="1"/>
  <c r="Y78" i="105" s="1"/>
  <c r="Y126" i="65"/>
  <c r="Y155" i="65" s="1"/>
  <c r="Y60" i="105" s="1"/>
  <c r="Y100" i="105" s="1"/>
  <c r="AF25" i="65"/>
  <c r="AF115" i="65" s="1"/>
  <c r="AF80" i="41"/>
  <c r="N161" i="74"/>
  <c r="N23" i="41" s="1"/>
  <c r="AG136" i="65"/>
  <c r="AG165" i="65" s="1"/>
  <c r="AG70" i="105" s="1"/>
  <c r="AG145" i="65"/>
  <c r="AG174" i="65" s="1"/>
  <c r="AG79" i="105" s="1"/>
  <c r="AG44" i="82"/>
  <c r="AG127" i="65"/>
  <c r="AG156" i="65" s="1"/>
  <c r="AG61" i="105" s="1"/>
  <c r="AG101" i="105" s="1"/>
  <c r="Y20" i="65"/>
  <c r="Y75" i="41"/>
  <c r="V22" i="65"/>
  <c r="V77" i="41"/>
  <c r="N81" i="41"/>
  <c r="N26" i="65"/>
  <c r="N116" i="65" s="1"/>
  <c r="T75" i="41"/>
  <c r="T20" i="65"/>
  <c r="N80" i="41"/>
  <c r="N25" i="65"/>
  <c r="N115" i="65" s="1"/>
  <c r="AD22" i="65"/>
  <c r="AD77" i="41"/>
  <c r="AB26" i="65"/>
  <c r="AB116" i="65" s="1"/>
  <c r="AB81" i="41"/>
  <c r="AC76" i="41"/>
  <c r="AC21" i="65"/>
  <c r="AC80" i="41"/>
  <c r="AC25" i="65"/>
  <c r="AC115" i="65" s="1"/>
  <c r="T161" i="74"/>
  <c r="T23" i="41" s="1"/>
  <c r="AJ43" i="41" s="1"/>
  <c r="AG24" i="65"/>
  <c r="AG114" i="65" s="1"/>
  <c r="AG79" i="41"/>
  <c r="AA26" i="65"/>
  <c r="AA116" i="65" s="1"/>
  <c r="AA81" i="41"/>
  <c r="Q79" i="41"/>
  <c r="Q24" i="65"/>
  <c r="Q114" i="65" s="1"/>
  <c r="U80" i="41"/>
  <c r="U25" i="65"/>
  <c r="U115" i="65" s="1"/>
  <c r="N77" i="41"/>
  <c r="N22" i="65"/>
  <c r="U22" i="65"/>
  <c r="U77" i="41"/>
  <c r="L26" i="65"/>
  <c r="L116" i="65" s="1"/>
  <c r="L81" i="41"/>
  <c r="P80" i="41"/>
  <c r="P25" i="65"/>
  <c r="P115" i="65" s="1"/>
  <c r="AB22" i="65"/>
  <c r="AB77" i="41"/>
  <c r="AC26" i="65"/>
  <c r="AC116" i="65" s="1"/>
  <c r="AC81" i="41"/>
  <c r="AH127" i="65"/>
  <c r="AH156" i="65" s="1"/>
  <c r="AH61" i="105" s="1"/>
  <c r="AH101" i="105" s="1"/>
  <c r="AH136" i="65"/>
  <c r="AH165" i="65" s="1"/>
  <c r="AH70" i="105" s="1"/>
  <c r="AH111" i="105" s="1"/>
  <c r="AH44" i="82"/>
  <c r="AH145" i="65"/>
  <c r="AH174" i="65" s="1"/>
  <c r="AH79" i="105" s="1"/>
  <c r="AH121" i="105" s="1"/>
  <c r="AD21" i="65"/>
  <c r="AD76" i="41"/>
  <c r="S81" i="41"/>
  <c r="S26" i="65"/>
  <c r="S116" i="65" s="1"/>
  <c r="R161" i="74"/>
  <c r="R23" i="41" s="1"/>
  <c r="AH43" i="41" s="1"/>
  <c r="M25" i="65"/>
  <c r="M115" i="65" s="1"/>
  <c r="M80" i="41"/>
  <c r="AE22" i="65"/>
  <c r="AE77" i="41"/>
  <c r="AE81" i="41"/>
  <c r="AE26" i="65"/>
  <c r="AE116" i="65" s="1"/>
  <c r="AF76" i="41"/>
  <c r="AF21" i="65"/>
  <c r="R26" i="65"/>
  <c r="R116" i="65" s="1"/>
  <c r="R81" i="41"/>
  <c r="O161" i="74"/>
  <c r="O23" i="41" s="1"/>
  <c r="R80" i="41"/>
  <c r="R25" i="65"/>
  <c r="R115" i="65" s="1"/>
  <c r="Z21" i="65"/>
  <c r="Z76" i="41"/>
  <c r="S77" i="41"/>
  <c r="S22" i="65"/>
  <c r="O81" i="41"/>
  <c r="O26" i="65"/>
  <c r="O116" i="65" s="1"/>
  <c r="AE44" i="41"/>
  <c r="AC44" i="41"/>
  <c r="AF44" i="41"/>
  <c r="AB44" i="41"/>
  <c r="AD44" i="41"/>
  <c r="Y81" i="41"/>
  <c r="Y26" i="65"/>
  <c r="Y116" i="65" s="1"/>
  <c r="AF22" i="65"/>
  <c r="AF77" i="41"/>
  <c r="AF26" i="65"/>
  <c r="AF116" i="65" s="1"/>
  <c r="AF81" i="41"/>
  <c r="K136" i="65"/>
  <c r="K165" i="65" s="1"/>
  <c r="K70" i="105" s="1"/>
  <c r="K111" i="105" s="1"/>
  <c r="K145" i="65"/>
  <c r="K174" i="65" s="1"/>
  <c r="K79" i="105" s="1"/>
  <c r="K121" i="105" s="1"/>
  <c r="K127" i="65"/>
  <c r="K156" i="65" s="1"/>
  <c r="K61" i="105" s="1"/>
  <c r="K101" i="105" s="1"/>
  <c r="K44" i="82"/>
  <c r="AB21" i="65"/>
  <c r="AB76" i="41"/>
  <c r="U81" i="41"/>
  <c r="U26" i="65"/>
  <c r="U116" i="65" s="1"/>
  <c r="Y161" i="74"/>
  <c r="Y23" i="41" s="1"/>
  <c r="AO43" i="41" s="1"/>
  <c r="AA126" i="65" l="1"/>
  <c r="AA155" i="65" s="1"/>
  <c r="AA60" i="105" s="1"/>
  <c r="AA100" i="105" s="1"/>
  <c r="AA144" i="65"/>
  <c r="AA173" i="65" s="1"/>
  <c r="AA78" i="105" s="1"/>
  <c r="N79" i="41"/>
  <c r="M79" i="41"/>
  <c r="L79" i="41"/>
  <c r="P24" i="65"/>
  <c r="P114" i="65" s="1"/>
  <c r="A4" i="71"/>
  <c r="K78" i="41"/>
  <c r="K82" i="41" s="1"/>
  <c r="J57" i="55"/>
  <c r="H77" i="41"/>
  <c r="H80" i="41"/>
  <c r="H76" i="41"/>
  <c r="H81" i="41"/>
  <c r="Y24" i="65"/>
  <c r="Y114" i="65" s="1"/>
  <c r="Y79" i="41"/>
  <c r="J143" i="65"/>
  <c r="J172" i="65" s="1"/>
  <c r="J77" i="105" s="1"/>
  <c r="J42" i="82"/>
  <c r="J134" i="65"/>
  <c r="J163" i="65" s="1"/>
  <c r="J68" i="105" s="1"/>
  <c r="J125" i="65"/>
  <c r="J154" i="65" s="1"/>
  <c r="J59" i="105" s="1"/>
  <c r="J99" i="105" s="1"/>
  <c r="AG187" i="105"/>
  <c r="AG110" i="105"/>
  <c r="J134" i="74"/>
  <c r="J161" i="74" s="1"/>
  <c r="J23" i="41" s="1"/>
  <c r="J43" i="41" s="1"/>
  <c r="H165" i="74" a="1"/>
  <c r="H165" i="74" s="1"/>
  <c r="K42" i="82"/>
  <c r="K134" i="65"/>
  <c r="K163" i="65" s="1"/>
  <c r="K68" i="105" s="1"/>
  <c r="K109" i="105" s="1"/>
  <c r="K143" i="65"/>
  <c r="K172" i="65" s="1"/>
  <c r="K77" i="105" s="1"/>
  <c r="K119" i="105" s="1"/>
  <c r="K125" i="65"/>
  <c r="K154" i="65" s="1"/>
  <c r="K59" i="105" s="1"/>
  <c r="K99" i="105" s="1"/>
  <c r="O134" i="65"/>
  <c r="O163" i="65" s="1"/>
  <c r="O68" i="105" s="1"/>
  <c r="O143" i="65"/>
  <c r="O172" i="65" s="1"/>
  <c r="O77" i="105" s="1"/>
  <c r="O42" i="82"/>
  <c r="O125" i="65"/>
  <c r="O154" i="65" s="1"/>
  <c r="O59" i="105" s="1"/>
  <c r="O99" i="105" s="1"/>
  <c r="AA79" i="41"/>
  <c r="AA24" i="65"/>
  <c r="AA114" i="65" s="1"/>
  <c r="AG23" i="65"/>
  <c r="AG78" i="41"/>
  <c r="AG82" i="41" s="1"/>
  <c r="AF44" i="82"/>
  <c r="AF145" i="65"/>
  <c r="AF174" i="65" s="1"/>
  <c r="AF79" i="105" s="1"/>
  <c r="AF127" i="65"/>
  <c r="AF156" i="65" s="1"/>
  <c r="AF61" i="105" s="1"/>
  <c r="AF101" i="105" s="1"/>
  <c r="R43" i="82"/>
  <c r="R144" i="65"/>
  <c r="R173" i="65" s="1"/>
  <c r="R78" i="105" s="1"/>
  <c r="R135" i="65"/>
  <c r="R164" i="65" s="1"/>
  <c r="R69" i="105" s="1"/>
  <c r="R126" i="65"/>
  <c r="R155" i="65" s="1"/>
  <c r="R60" i="105" s="1"/>
  <c r="R100" i="105" s="1"/>
  <c r="S127" i="65"/>
  <c r="S156" i="65" s="1"/>
  <c r="S61" i="105" s="1"/>
  <c r="S101" i="105" s="1"/>
  <c r="S145" i="65"/>
  <c r="S174" i="65" s="1"/>
  <c r="S79" i="105" s="1"/>
  <c r="S136" i="65"/>
  <c r="S165" i="65" s="1"/>
  <c r="S70" i="105" s="1"/>
  <c r="S44" i="82"/>
  <c r="X24" i="65"/>
  <c r="X114" i="65" s="1"/>
  <c r="X79" i="41"/>
  <c r="AK23" i="65"/>
  <c r="AK78" i="41"/>
  <c r="AK82" i="41" s="1"/>
  <c r="AC144" i="65"/>
  <c r="AC173" i="65" s="1"/>
  <c r="AC78" i="105" s="1"/>
  <c r="AC43" i="82"/>
  <c r="AC126" i="65"/>
  <c r="AC155" i="65" s="1"/>
  <c r="AC60" i="105" s="1"/>
  <c r="AC100" i="105" s="1"/>
  <c r="AH23" i="65"/>
  <c r="AH78" i="41"/>
  <c r="AH82" i="41" s="1"/>
  <c r="AG121" i="105"/>
  <c r="AG199" i="105"/>
  <c r="M134" i="65"/>
  <c r="M163" i="65" s="1"/>
  <c r="M68" i="105" s="1"/>
  <c r="M42" i="82"/>
  <c r="M143" i="65"/>
  <c r="M172" i="65" s="1"/>
  <c r="M77" i="105" s="1"/>
  <c r="M125" i="65"/>
  <c r="M154" i="65" s="1"/>
  <c r="M59" i="105" s="1"/>
  <c r="M99" i="105" s="1"/>
  <c r="J110" i="105"/>
  <c r="J187" i="105"/>
  <c r="AG198" i="105"/>
  <c r="AG120" i="105"/>
  <c r="AA43" i="41"/>
  <c r="X43" i="41"/>
  <c r="W43" i="41"/>
  <c r="Z43" i="41"/>
  <c r="Y43" i="41"/>
  <c r="AG188" i="105"/>
  <c r="AG111" i="105"/>
  <c r="AN199" i="105"/>
  <c r="AN121" i="105"/>
  <c r="T43" i="82"/>
  <c r="T135" i="65"/>
  <c r="T164" i="65" s="1"/>
  <c r="T69" i="105" s="1"/>
  <c r="T126" i="65"/>
  <c r="T155" i="65" s="1"/>
  <c r="T60" i="105" s="1"/>
  <c r="T100" i="105" s="1"/>
  <c r="T144" i="65"/>
  <c r="T173" i="65" s="1"/>
  <c r="T78" i="105" s="1"/>
  <c r="AM23" i="65"/>
  <c r="AM78" i="41"/>
  <c r="AM82" i="41" s="1"/>
  <c r="J198" i="105"/>
  <c r="J120" i="105"/>
  <c r="M43" i="41"/>
  <c r="P43" i="41"/>
  <c r="N43" i="41"/>
  <c r="O43" i="41"/>
  <c r="L43" i="41"/>
  <c r="L127" i="65"/>
  <c r="L156" i="65" s="1"/>
  <c r="L61" i="105" s="1"/>
  <c r="L101" i="105" s="1"/>
  <c r="L136" i="65"/>
  <c r="L165" i="65" s="1"/>
  <c r="L70" i="105" s="1"/>
  <c r="L145" i="65"/>
  <c r="L174" i="65" s="1"/>
  <c r="L79" i="105" s="1"/>
  <c r="L44" i="82"/>
  <c r="AB145" i="65"/>
  <c r="AB174" i="65" s="1"/>
  <c r="AB79" i="105" s="1"/>
  <c r="AB127" i="65"/>
  <c r="AB156" i="65" s="1"/>
  <c r="AB61" i="105" s="1"/>
  <c r="AB101" i="105" s="1"/>
  <c r="AB44" i="82"/>
  <c r="Y145" i="65"/>
  <c r="Y174" i="65" s="1"/>
  <c r="Y79" i="105" s="1"/>
  <c r="Y127" i="65"/>
  <c r="Y156" i="65" s="1"/>
  <c r="Y61" i="105" s="1"/>
  <c r="Y101" i="105" s="1"/>
  <c r="Y44" i="82"/>
  <c r="U43" i="41"/>
  <c r="V43" i="41"/>
  <c r="R43" i="41"/>
  <c r="S43" i="41"/>
  <c r="T43" i="41"/>
  <c r="AB43" i="82"/>
  <c r="AB126" i="65"/>
  <c r="AB155" i="65" s="1"/>
  <c r="AB60" i="105" s="1"/>
  <c r="AB100" i="105" s="1"/>
  <c r="AB144" i="65"/>
  <c r="AB173" i="65" s="1"/>
  <c r="AB78" i="105" s="1"/>
  <c r="X44" i="82"/>
  <c r="X145" i="65"/>
  <c r="X174" i="65" s="1"/>
  <c r="X79" i="105" s="1"/>
  <c r="X127" i="65"/>
  <c r="X156" i="65" s="1"/>
  <c r="X61" i="105" s="1"/>
  <c r="X101" i="105" s="1"/>
  <c r="R44" i="82"/>
  <c r="R127" i="65"/>
  <c r="R156" i="65" s="1"/>
  <c r="R61" i="105" s="1"/>
  <c r="R101" i="105" s="1"/>
  <c r="R145" i="65"/>
  <c r="R174" i="65" s="1"/>
  <c r="R79" i="105" s="1"/>
  <c r="R136" i="65"/>
  <c r="R165" i="65" s="1"/>
  <c r="R70" i="105" s="1"/>
  <c r="U126" i="65"/>
  <c r="U155" i="65" s="1"/>
  <c r="U60" i="105" s="1"/>
  <c r="U100" i="105" s="1"/>
  <c r="U43" i="82"/>
  <c r="U144" i="65"/>
  <c r="U173" i="65" s="1"/>
  <c r="U78" i="105" s="1"/>
  <c r="U135" i="65"/>
  <c r="U164" i="65" s="1"/>
  <c r="U69" i="105" s="1"/>
  <c r="V127" i="65"/>
  <c r="V156" i="65" s="1"/>
  <c r="V61" i="105" s="1"/>
  <c r="V101" i="105" s="1"/>
  <c r="V136" i="65"/>
  <c r="V165" i="65" s="1"/>
  <c r="V70" i="105" s="1"/>
  <c r="V44" i="82"/>
  <c r="V145" i="65"/>
  <c r="V174" i="65" s="1"/>
  <c r="V79" i="105" s="1"/>
  <c r="Z145" i="65"/>
  <c r="Z174" i="65" s="1"/>
  <c r="Z79" i="105" s="1"/>
  <c r="Z44" i="82"/>
  <c r="Z127" i="65"/>
  <c r="Z156" i="65" s="1"/>
  <c r="Z61" i="105" s="1"/>
  <c r="Z101" i="105" s="1"/>
  <c r="AD43" i="82"/>
  <c r="AD144" i="65"/>
  <c r="AD173" i="65" s="1"/>
  <c r="AD78" i="105" s="1"/>
  <c r="AD126" i="65"/>
  <c r="AD155" i="65" s="1"/>
  <c r="AD60" i="105" s="1"/>
  <c r="AD100" i="105" s="1"/>
  <c r="L134" i="65"/>
  <c r="L163" i="65" s="1"/>
  <c r="L68" i="105" s="1"/>
  <c r="L125" i="65"/>
  <c r="L154" i="65" s="1"/>
  <c r="L59" i="105" s="1"/>
  <c r="L99" i="105" s="1"/>
  <c r="L143" i="65"/>
  <c r="L172" i="65" s="1"/>
  <c r="L77" i="105" s="1"/>
  <c r="L42" i="82"/>
  <c r="V79" i="41"/>
  <c r="V24" i="65"/>
  <c r="V114" i="65" s="1"/>
  <c r="N134" i="65"/>
  <c r="N163" i="65" s="1"/>
  <c r="N68" i="105" s="1"/>
  <c r="N125" i="65"/>
  <c r="N154" i="65" s="1"/>
  <c r="N59" i="105" s="1"/>
  <c r="N99" i="105" s="1"/>
  <c r="N42" i="82"/>
  <c r="N143" i="65"/>
  <c r="N172" i="65" s="1"/>
  <c r="N77" i="105" s="1"/>
  <c r="P42" i="82"/>
  <c r="P134" i="65"/>
  <c r="P163" i="65" s="1"/>
  <c r="P68" i="105" s="1"/>
  <c r="P125" i="65"/>
  <c r="P154" i="65" s="1"/>
  <c r="P59" i="105" s="1"/>
  <c r="P99" i="105" s="1"/>
  <c r="P143" i="65"/>
  <c r="P172" i="65" s="1"/>
  <c r="P77" i="105" s="1"/>
  <c r="Q143" i="65"/>
  <c r="Q172" i="65" s="1"/>
  <c r="Q77" i="105" s="1"/>
  <c r="Q119" i="105" s="1"/>
  <c r="Q134" i="65"/>
  <c r="Q163" i="65" s="1"/>
  <c r="Q68" i="105" s="1"/>
  <c r="Q109" i="105" s="1"/>
  <c r="Q125" i="65"/>
  <c r="Q154" i="65" s="1"/>
  <c r="Q59" i="105" s="1"/>
  <c r="Q99" i="105" s="1"/>
  <c r="Q42" i="82"/>
  <c r="AE126" i="65"/>
  <c r="AE155" i="65" s="1"/>
  <c r="AE60" i="105" s="1"/>
  <c r="AE100" i="105" s="1"/>
  <c r="AE43" i="82"/>
  <c r="AE144" i="65"/>
  <c r="AE173" i="65" s="1"/>
  <c r="AE78" i="105" s="1"/>
  <c r="Q23" i="65"/>
  <c r="Q78" i="41"/>
  <c r="Q82" i="41" s="1"/>
  <c r="R79" i="41"/>
  <c r="R24" i="65"/>
  <c r="R114" i="65" s="1"/>
  <c r="W24" i="65"/>
  <c r="W114" i="65" s="1"/>
  <c r="W79" i="41"/>
  <c r="AF43" i="82"/>
  <c r="AF144" i="65"/>
  <c r="AF173" i="65" s="1"/>
  <c r="AF78" i="105" s="1"/>
  <c r="AF126" i="65"/>
  <c r="AF155" i="65" s="1"/>
  <c r="AF60" i="105" s="1"/>
  <c r="AF100" i="105" s="1"/>
  <c r="Y120" i="105"/>
  <c r="Y198" i="105"/>
  <c r="AD127" i="65"/>
  <c r="AD156" i="65" s="1"/>
  <c r="AD61" i="105" s="1"/>
  <c r="AD101" i="105" s="1"/>
  <c r="AD145" i="65"/>
  <c r="AD174" i="65" s="1"/>
  <c r="AD79" i="105" s="1"/>
  <c r="AD44" i="82"/>
  <c r="W198" i="105"/>
  <c r="W120" i="105"/>
  <c r="U79" i="41"/>
  <c r="U24" i="65"/>
  <c r="U114" i="65" s="1"/>
  <c r="H75" i="41"/>
  <c r="M127" i="65"/>
  <c r="M156" i="65" s="1"/>
  <c r="M61" i="105" s="1"/>
  <c r="M101" i="105" s="1"/>
  <c r="M44" i="82"/>
  <c r="M145" i="65"/>
  <c r="M174" i="65" s="1"/>
  <c r="M79" i="105" s="1"/>
  <c r="M136" i="65"/>
  <c r="M165" i="65" s="1"/>
  <c r="M70" i="105" s="1"/>
  <c r="J121" i="105"/>
  <c r="J199" i="105"/>
  <c r="S24" i="65"/>
  <c r="S114" i="65" s="1"/>
  <c r="S79" i="41"/>
  <c r="AI23" i="65"/>
  <c r="AI78" i="41"/>
  <c r="AI82" i="41" s="1"/>
  <c r="T24" i="65"/>
  <c r="T114" i="65" s="1"/>
  <c r="T79" i="41"/>
  <c r="AF24" i="65"/>
  <c r="AF114" i="65" s="1"/>
  <c r="AF79" i="41"/>
  <c r="AC79" i="41"/>
  <c r="AC24" i="65"/>
  <c r="AC114" i="65" s="1"/>
  <c r="AA127" i="65"/>
  <c r="AA156" i="65" s="1"/>
  <c r="AA61" i="105" s="1"/>
  <c r="AA101" i="105" s="1"/>
  <c r="AA145" i="65"/>
  <c r="AA174" i="65" s="1"/>
  <c r="AA79" i="105" s="1"/>
  <c r="AA44" i="82"/>
  <c r="AN78" i="41"/>
  <c r="AN82" i="41" s="1"/>
  <c r="AN23" i="65"/>
  <c r="AB24" i="65"/>
  <c r="AB114" i="65" s="1"/>
  <c r="AB79" i="41"/>
  <c r="AE44" i="82"/>
  <c r="AE145" i="65"/>
  <c r="AE174" i="65" s="1"/>
  <c r="AE79" i="105" s="1"/>
  <c r="AE127" i="65"/>
  <c r="AE156" i="65" s="1"/>
  <c r="AE61" i="105" s="1"/>
  <c r="AE101" i="105" s="1"/>
  <c r="AE79" i="41"/>
  <c r="AE24" i="65"/>
  <c r="AE114" i="65" s="1"/>
  <c r="L144" i="65"/>
  <c r="L173" i="65" s="1"/>
  <c r="L78" i="105" s="1"/>
  <c r="L135" i="65"/>
  <c r="L164" i="65" s="1"/>
  <c r="L69" i="105" s="1"/>
  <c r="L126" i="65"/>
  <c r="L155" i="65" s="1"/>
  <c r="L60" i="105" s="1"/>
  <c r="L100" i="105" s="1"/>
  <c r="L43" i="82"/>
  <c r="AA120" i="105"/>
  <c r="AA198" i="105"/>
  <c r="W127" i="65"/>
  <c r="W156" i="65" s="1"/>
  <c r="W61" i="105" s="1"/>
  <c r="W101" i="105" s="1"/>
  <c r="W44" i="82"/>
  <c r="W145" i="65"/>
  <c r="W174" i="65" s="1"/>
  <c r="W79" i="105" s="1"/>
  <c r="T44" i="82"/>
  <c r="T127" i="65"/>
  <c r="T156" i="65" s="1"/>
  <c r="T61" i="105" s="1"/>
  <c r="T101" i="105" s="1"/>
  <c r="T145" i="65"/>
  <c r="T174" i="65" s="1"/>
  <c r="T79" i="105" s="1"/>
  <c r="T136" i="65"/>
  <c r="T165" i="65" s="1"/>
  <c r="T70" i="105" s="1"/>
  <c r="AL23" i="65"/>
  <c r="AL78" i="41"/>
  <c r="AL82" i="41" s="1"/>
  <c r="AO78" i="41"/>
  <c r="AO82" i="41" s="1"/>
  <c r="AO23" i="65"/>
  <c r="U44" i="82"/>
  <c r="U145" i="65"/>
  <c r="U174" i="65" s="1"/>
  <c r="U79" i="105" s="1"/>
  <c r="U136" i="65"/>
  <c r="U165" i="65" s="1"/>
  <c r="U70" i="105" s="1"/>
  <c r="U127" i="65"/>
  <c r="U156" i="65" s="1"/>
  <c r="U61" i="105" s="1"/>
  <c r="U101" i="105" s="1"/>
  <c r="AC44" i="82"/>
  <c r="AC127" i="65"/>
  <c r="AC156" i="65" s="1"/>
  <c r="AC61" i="105" s="1"/>
  <c r="AC101" i="105" s="1"/>
  <c r="AC145" i="65"/>
  <c r="AC174" i="65" s="1"/>
  <c r="AC79" i="105" s="1"/>
  <c r="X198" i="105"/>
  <c r="X120" i="105"/>
  <c r="J111" i="105"/>
  <c r="J188" i="105"/>
  <c r="AF43" i="41"/>
  <c r="AB43" i="41"/>
  <c r="AC43" i="41"/>
  <c r="AD43" i="41"/>
  <c r="AE43" i="41"/>
  <c r="AD79" i="41"/>
  <c r="AD24" i="65"/>
  <c r="AD114" i="65" s="1"/>
  <c r="N135" i="65"/>
  <c r="N164" i="65" s="1"/>
  <c r="N69" i="105" s="1"/>
  <c r="N126" i="65"/>
  <c r="N155" i="65" s="1"/>
  <c r="N60" i="105" s="1"/>
  <c r="N100" i="105" s="1"/>
  <c r="N43" i="82"/>
  <c r="N144" i="65"/>
  <c r="N173" i="65" s="1"/>
  <c r="N78" i="105" s="1"/>
  <c r="V43" i="82"/>
  <c r="V135" i="65"/>
  <c r="V164" i="65" s="1"/>
  <c r="V69" i="105" s="1"/>
  <c r="V126" i="65"/>
  <c r="V155" i="65" s="1"/>
  <c r="V60" i="105" s="1"/>
  <c r="V100" i="105" s="1"/>
  <c r="V144" i="65"/>
  <c r="V173" i="65" s="1"/>
  <c r="V78" i="105" s="1"/>
  <c r="O43" i="82"/>
  <c r="O135" i="65"/>
  <c r="O164" i="65" s="1"/>
  <c r="O69" i="105" s="1"/>
  <c r="O144" i="65"/>
  <c r="O173" i="65" s="1"/>
  <c r="O78" i="105" s="1"/>
  <c r="O126" i="65"/>
  <c r="O155" i="65" s="1"/>
  <c r="O60" i="105" s="1"/>
  <c r="O100" i="105" s="1"/>
  <c r="N127" i="65"/>
  <c r="N156" i="65" s="1"/>
  <c r="N61" i="105" s="1"/>
  <c r="N101" i="105" s="1"/>
  <c r="N44" i="82"/>
  <c r="N145" i="65"/>
  <c r="N174" i="65" s="1"/>
  <c r="N79" i="105" s="1"/>
  <c r="N136" i="65"/>
  <c r="N165" i="65" s="1"/>
  <c r="N70" i="105" s="1"/>
  <c r="O145" i="65"/>
  <c r="O174" i="65" s="1"/>
  <c r="O79" i="105" s="1"/>
  <c r="O136" i="65"/>
  <c r="O165" i="65" s="1"/>
  <c r="O70" i="105" s="1"/>
  <c r="O127" i="65"/>
  <c r="O156" i="65" s="1"/>
  <c r="O61" i="105" s="1"/>
  <c r="O101" i="105" s="1"/>
  <c r="O44" i="82"/>
  <c r="AG42" i="82"/>
  <c r="AG125" i="65"/>
  <c r="AG154" i="65" s="1"/>
  <c r="AG59" i="105" s="1"/>
  <c r="AG99" i="105" s="1"/>
  <c r="AG134" i="65"/>
  <c r="AG163" i="65" s="1"/>
  <c r="AG68" i="105" s="1"/>
  <c r="AG143" i="65"/>
  <c r="AG172" i="65" s="1"/>
  <c r="AG77" i="105" s="1"/>
  <c r="Z120" i="105"/>
  <c r="Z198" i="105"/>
  <c r="M126" i="65"/>
  <c r="M155" i="65" s="1"/>
  <c r="M60" i="105" s="1"/>
  <c r="M100" i="105" s="1"/>
  <c r="M43" i="82"/>
  <c r="M144" i="65"/>
  <c r="M173" i="65" s="1"/>
  <c r="M78" i="105" s="1"/>
  <c r="M135" i="65"/>
  <c r="M164" i="65" s="1"/>
  <c r="M69" i="105" s="1"/>
  <c r="P144" i="65"/>
  <c r="P173" i="65" s="1"/>
  <c r="P78" i="105" s="1"/>
  <c r="P43" i="82"/>
  <c r="P126" i="65"/>
  <c r="P155" i="65" s="1"/>
  <c r="P60" i="105" s="1"/>
  <c r="P100" i="105" s="1"/>
  <c r="P135" i="65"/>
  <c r="P164" i="65" s="1"/>
  <c r="P69" i="105" s="1"/>
  <c r="AJ78" i="41"/>
  <c r="AJ82" i="41" s="1"/>
  <c r="AJ23" i="65"/>
  <c r="P44" i="82"/>
  <c r="P145" i="65"/>
  <c r="P174" i="65" s="1"/>
  <c r="P79" i="105" s="1"/>
  <c r="P136" i="65"/>
  <c r="P165" i="65" s="1"/>
  <c r="P70" i="105" s="1"/>
  <c r="P127" i="65"/>
  <c r="P156" i="65" s="1"/>
  <c r="P61" i="105" s="1"/>
  <c r="P101" i="105" s="1"/>
  <c r="Z79" i="41"/>
  <c r="Z24" i="65"/>
  <c r="Z114" i="65" s="1"/>
  <c r="S144" i="65"/>
  <c r="S173" i="65" s="1"/>
  <c r="S78" i="105" s="1"/>
  <c r="S43" i="82"/>
  <c r="S126" i="65"/>
  <c r="S155" i="65" s="1"/>
  <c r="S60" i="105" s="1"/>
  <c r="S100" i="105" s="1"/>
  <c r="S135" i="65"/>
  <c r="S164" i="65" s="1"/>
  <c r="S69" i="105" s="1"/>
  <c r="H100" i="105" l="1"/>
  <c r="H79" i="41"/>
  <c r="L110" i="105"/>
  <c r="L187" i="105"/>
  <c r="U42" i="82"/>
  <c r="U134" i="65"/>
  <c r="U163" i="65" s="1"/>
  <c r="U68" i="105" s="1"/>
  <c r="U125" i="65"/>
  <c r="U154" i="65" s="1"/>
  <c r="U59" i="105" s="1"/>
  <c r="U99" i="105" s="1"/>
  <c r="U143" i="65"/>
  <c r="U172" i="65" s="1"/>
  <c r="U77" i="105" s="1"/>
  <c r="L121" i="105"/>
  <c r="L199" i="105"/>
  <c r="M109" i="105"/>
  <c r="M186" i="105"/>
  <c r="L198" i="105"/>
  <c r="L120" i="105"/>
  <c r="AD23" i="65"/>
  <c r="AD78" i="41"/>
  <c r="AD82" i="41" s="1"/>
  <c r="AE42" i="82"/>
  <c r="AE125" i="65"/>
  <c r="AE154" i="65" s="1"/>
  <c r="AE59" i="105" s="1"/>
  <c r="AE99" i="105" s="1"/>
  <c r="AE143" i="65"/>
  <c r="AE172" i="65" s="1"/>
  <c r="AE77" i="105" s="1"/>
  <c r="N197" i="105"/>
  <c r="N119" i="105"/>
  <c r="V199" i="105"/>
  <c r="V121" i="105"/>
  <c r="AB198" i="105"/>
  <c r="AB120" i="105"/>
  <c r="L111" i="105"/>
  <c r="L188" i="105"/>
  <c r="R110" i="105"/>
  <c r="R187" i="105"/>
  <c r="AC78" i="41"/>
  <c r="AC82" i="41" s="1"/>
  <c r="AC23" i="65"/>
  <c r="T134" i="65"/>
  <c r="T163" i="65" s="1"/>
  <c r="T68" i="105" s="1"/>
  <c r="T42" i="82"/>
  <c r="T125" i="65"/>
  <c r="T154" i="65" s="1"/>
  <c r="T59" i="105" s="1"/>
  <c r="T99" i="105" s="1"/>
  <c r="T143" i="65"/>
  <c r="T172" i="65" s="1"/>
  <c r="T77" i="105" s="1"/>
  <c r="R134" i="65"/>
  <c r="R163" i="65" s="1"/>
  <c r="R68" i="105" s="1"/>
  <c r="R143" i="65"/>
  <c r="R172" i="65" s="1"/>
  <c r="R77" i="105" s="1"/>
  <c r="R125" i="65"/>
  <c r="R154" i="65" s="1"/>
  <c r="R59" i="105" s="1"/>
  <c r="R99" i="105" s="1"/>
  <c r="R42" i="82"/>
  <c r="R198" i="105"/>
  <c r="R120" i="105"/>
  <c r="AD143" i="65"/>
  <c r="AD172" i="65" s="1"/>
  <c r="AD77" i="105" s="1"/>
  <c r="AD42" i="82"/>
  <c r="AD125" i="65"/>
  <c r="AD154" i="65" s="1"/>
  <c r="AD59" i="105" s="1"/>
  <c r="AD99" i="105" s="1"/>
  <c r="T110" i="105"/>
  <c r="T187" i="105"/>
  <c r="P109" i="105"/>
  <c r="P186" i="105"/>
  <c r="Z199" i="105"/>
  <c r="Z121" i="105"/>
  <c r="M198" i="105"/>
  <c r="M120" i="105"/>
  <c r="S198" i="105"/>
  <c r="S120" i="105"/>
  <c r="O198" i="105"/>
  <c r="O120" i="105"/>
  <c r="AB78" i="41"/>
  <c r="AB82" i="41" s="1"/>
  <c r="AB23" i="65"/>
  <c r="V188" i="105"/>
  <c r="V111" i="105"/>
  <c r="L78" i="41"/>
  <c r="L82" i="41" s="1"/>
  <c r="L23" i="65"/>
  <c r="J59" i="55"/>
  <c r="A4" i="74"/>
  <c r="N121" i="105"/>
  <c r="N199" i="105"/>
  <c r="N186" i="105"/>
  <c r="N109" i="105"/>
  <c r="O23" i="65"/>
  <c r="O78" i="41"/>
  <c r="O82" i="41" s="1"/>
  <c r="Y23" i="65"/>
  <c r="Y78" i="41"/>
  <c r="Y82" i="41" s="1"/>
  <c r="T199" i="105"/>
  <c r="T121" i="105"/>
  <c r="V42" i="82"/>
  <c r="V125" i="65"/>
  <c r="V154" i="65" s="1"/>
  <c r="V59" i="105" s="1"/>
  <c r="V99" i="105" s="1"/>
  <c r="V134" i="65"/>
  <c r="V163" i="65" s="1"/>
  <c r="V68" i="105" s="1"/>
  <c r="V143" i="65"/>
  <c r="V172" i="65" s="1"/>
  <c r="V77" i="105" s="1"/>
  <c r="U187" i="105"/>
  <c r="U110" i="105"/>
  <c r="S78" i="41"/>
  <c r="S82" i="41" s="1"/>
  <c r="S23" i="65"/>
  <c r="N78" i="41"/>
  <c r="N82" i="41" s="1"/>
  <c r="N23" i="65"/>
  <c r="Z23" i="65"/>
  <c r="Z78" i="41"/>
  <c r="Z82" i="41" s="1"/>
  <c r="AF199" i="105"/>
  <c r="AF121" i="105"/>
  <c r="J78" i="41"/>
  <c r="J23" i="65"/>
  <c r="M197" i="105"/>
  <c r="M119" i="105"/>
  <c r="W143" i="65"/>
  <c r="W172" i="65" s="1"/>
  <c r="W77" i="105" s="1"/>
  <c r="W125" i="65"/>
  <c r="W154" i="65" s="1"/>
  <c r="W59" i="105" s="1"/>
  <c r="W99" i="105" s="1"/>
  <c r="W42" i="82"/>
  <c r="M110" i="105"/>
  <c r="M187" i="105"/>
  <c r="O110" i="105"/>
  <c r="O187" i="105"/>
  <c r="AG197" i="105"/>
  <c r="AG119" i="105"/>
  <c r="V120" i="105"/>
  <c r="V198" i="105"/>
  <c r="S134" i="65"/>
  <c r="S163" i="65" s="1"/>
  <c r="S68" i="105" s="1"/>
  <c r="S143" i="65"/>
  <c r="S172" i="65" s="1"/>
  <c r="S77" i="105" s="1"/>
  <c r="S42" i="82"/>
  <c r="S125" i="65"/>
  <c r="S154" i="65" s="1"/>
  <c r="S59" i="105" s="1"/>
  <c r="S99" i="105" s="1"/>
  <c r="AD199" i="105"/>
  <c r="AD121" i="105"/>
  <c r="AE198" i="105"/>
  <c r="AE120" i="105"/>
  <c r="U198" i="105"/>
  <c r="U120" i="105"/>
  <c r="R23" i="65"/>
  <c r="R78" i="41"/>
  <c r="R82" i="41" s="1"/>
  <c r="P23" i="65"/>
  <c r="P78" i="41"/>
  <c r="P82" i="41" s="1"/>
  <c r="W23" i="65"/>
  <c r="W78" i="41"/>
  <c r="W82" i="41" s="1"/>
  <c r="O197" i="105"/>
  <c r="O119" i="105"/>
  <c r="S110" i="105"/>
  <c r="S187" i="105"/>
  <c r="Z143" i="65"/>
  <c r="Z172" i="65" s="1"/>
  <c r="Z77" i="105" s="1"/>
  <c r="Z125" i="65"/>
  <c r="Z154" i="65" s="1"/>
  <c r="Z59" i="105" s="1"/>
  <c r="Z99" i="105" s="1"/>
  <c r="Z42" i="82"/>
  <c r="AB42" i="82"/>
  <c r="AB143" i="65"/>
  <c r="AB172" i="65" s="1"/>
  <c r="AB77" i="105" s="1"/>
  <c r="AB125" i="65"/>
  <c r="AB154" i="65" s="1"/>
  <c r="AB59" i="105" s="1"/>
  <c r="AB99" i="105" s="1"/>
  <c r="V78" i="41"/>
  <c r="V82" i="41" s="1"/>
  <c r="V23" i="65"/>
  <c r="M23" i="65"/>
  <c r="M78" i="41"/>
  <c r="M82" i="41" s="1"/>
  <c r="X23" i="65"/>
  <c r="X78" i="41"/>
  <c r="X82" i="41" s="1"/>
  <c r="AC120" i="105"/>
  <c r="AC198" i="105"/>
  <c r="P198" i="105"/>
  <c r="P120" i="105"/>
  <c r="V187" i="105"/>
  <c r="V110" i="105"/>
  <c r="W121" i="105"/>
  <c r="W199" i="105"/>
  <c r="L197" i="105"/>
  <c r="L119" i="105"/>
  <c r="U23" i="65"/>
  <c r="U78" i="41"/>
  <c r="U82" i="41" s="1"/>
  <c r="AA78" i="41"/>
  <c r="AA82" i="41" s="1"/>
  <c r="AA23" i="65"/>
  <c r="AB121" i="105"/>
  <c r="AB199" i="105"/>
  <c r="AF78" i="41"/>
  <c r="AF82" i="41" s="1"/>
  <c r="AF23" i="65"/>
  <c r="R111" i="105"/>
  <c r="R188" i="105"/>
  <c r="J109" i="105"/>
  <c r="J186" i="105"/>
  <c r="S199" i="105"/>
  <c r="S121" i="105"/>
  <c r="T78" i="41"/>
  <c r="T82" i="41" s="1"/>
  <c r="T23" i="65"/>
  <c r="P111" i="105"/>
  <c r="P188" i="105"/>
  <c r="P121" i="105"/>
  <c r="P199" i="105"/>
  <c r="N198" i="105"/>
  <c r="N120" i="105"/>
  <c r="M188" i="105"/>
  <c r="M111" i="105"/>
  <c r="L186" i="105"/>
  <c r="L109" i="105"/>
  <c r="R121" i="105"/>
  <c r="R199" i="105"/>
  <c r="AA125" i="65"/>
  <c r="AA154" i="65" s="1"/>
  <c r="AA59" i="105" s="1"/>
  <c r="AA99" i="105" s="1"/>
  <c r="AA143" i="65"/>
  <c r="AA172" i="65" s="1"/>
  <c r="AA77" i="105" s="1"/>
  <c r="AA42" i="82"/>
  <c r="N188" i="105"/>
  <c r="N111" i="105"/>
  <c r="O109" i="105"/>
  <c r="O186" i="105"/>
  <c r="AE199" i="105"/>
  <c r="AE121" i="105"/>
  <c r="M199" i="105"/>
  <c r="M121" i="105"/>
  <c r="Y121" i="105"/>
  <c r="Y199" i="105"/>
  <c r="X125" i="65"/>
  <c r="X154" i="65" s="1"/>
  <c r="X59" i="105" s="1"/>
  <c r="X99" i="105" s="1"/>
  <c r="X143" i="65"/>
  <c r="X172" i="65" s="1"/>
  <c r="X77" i="105" s="1"/>
  <c r="X42" i="82"/>
  <c r="J197" i="105"/>
  <c r="J119" i="105"/>
  <c r="H101" i="105"/>
  <c r="AA121" i="105"/>
  <c r="AA199" i="105"/>
  <c r="AF198" i="105"/>
  <c r="AF120" i="105"/>
  <c r="AD120" i="105"/>
  <c r="AD198" i="105"/>
  <c r="T120" i="105"/>
  <c r="T198" i="105"/>
  <c r="U199" i="105"/>
  <c r="U121" i="105"/>
  <c r="X121" i="105"/>
  <c r="X199" i="105"/>
  <c r="AE78" i="41"/>
  <c r="AE82" i="41" s="1"/>
  <c r="AE23" i="65"/>
  <c r="AF143" i="65"/>
  <c r="AF172" i="65" s="1"/>
  <c r="AF77" i="105" s="1"/>
  <c r="AF125" i="65"/>
  <c r="AF154" i="65" s="1"/>
  <c r="AF59" i="105" s="1"/>
  <c r="AF99" i="105" s="1"/>
  <c r="AF42" i="82"/>
  <c r="T188" i="105"/>
  <c r="T111" i="105"/>
  <c r="AG186" i="105"/>
  <c r="AG109" i="105"/>
  <c r="AC121" i="105"/>
  <c r="AC199" i="105"/>
  <c r="P110" i="105"/>
  <c r="P187" i="105"/>
  <c r="O188" i="105"/>
  <c r="O111" i="105"/>
  <c r="O199" i="105"/>
  <c r="O121" i="105"/>
  <c r="N187" i="105"/>
  <c r="N110" i="105"/>
  <c r="U188" i="105"/>
  <c r="U111" i="105"/>
  <c r="AC42" i="82"/>
  <c r="AC143" i="65"/>
  <c r="AC172" i="65" s="1"/>
  <c r="AC77" i="105" s="1"/>
  <c r="AC125" i="65"/>
  <c r="AC154" i="65" s="1"/>
  <c r="AC59" i="105" s="1"/>
  <c r="AC99" i="105" s="1"/>
  <c r="P119" i="105"/>
  <c r="P197" i="105"/>
  <c r="S111" i="105"/>
  <c r="S188" i="105"/>
  <c r="Y42" i="82"/>
  <c r="Y125" i="65"/>
  <c r="Y154" i="65" s="1"/>
  <c r="Y59" i="105" s="1"/>
  <c r="Y99" i="105" s="1"/>
  <c r="Y143" i="65"/>
  <c r="Y172" i="65" s="1"/>
  <c r="Y77" i="105" s="1"/>
  <c r="H121" i="105" l="1"/>
  <c r="H110" i="105"/>
  <c r="H111" i="105"/>
  <c r="H120" i="105"/>
  <c r="H99" i="105"/>
  <c r="Y197" i="105"/>
  <c r="Y119" i="105"/>
  <c r="X197" i="105"/>
  <c r="X119" i="105"/>
  <c r="T109" i="105"/>
  <c r="T186" i="105"/>
  <c r="Z119" i="105"/>
  <c r="Z197" i="105"/>
  <c r="V119" i="105"/>
  <c r="V197" i="105"/>
  <c r="V109" i="105"/>
  <c r="V186" i="105"/>
  <c r="W119" i="105"/>
  <c r="W197" i="105"/>
  <c r="AB119" i="105"/>
  <c r="AB197" i="105"/>
  <c r="S197" i="105"/>
  <c r="S119" i="105"/>
  <c r="S109" i="105"/>
  <c r="S186" i="105"/>
  <c r="AD119" i="105"/>
  <c r="AD197" i="105"/>
  <c r="AC119" i="105"/>
  <c r="AC197" i="105"/>
  <c r="U197" i="105"/>
  <c r="U119" i="105"/>
  <c r="U186" i="105"/>
  <c r="U109" i="105"/>
  <c r="AF119" i="105"/>
  <c r="AF197" i="105"/>
  <c r="R119" i="105"/>
  <c r="R197" i="105"/>
  <c r="R186" i="105"/>
  <c r="R109" i="105"/>
  <c r="AA119" i="105"/>
  <c r="AA197" i="105"/>
  <c r="H78" i="41"/>
  <c r="J82" i="41"/>
  <c r="H82" i="41" s="1"/>
  <c r="T197" i="105"/>
  <c r="T119" i="105"/>
  <c r="AE197" i="105"/>
  <c r="AE119" i="105"/>
  <c r="H109" i="105" l="1"/>
  <c r="H119" i="105"/>
  <c r="H85" i="105"/>
  <c r="H128" i="105" s="1"/>
  <c r="P23" i="112" l="1"/>
  <c r="L23" i="112"/>
  <c r="J23" i="112" l="1"/>
  <c r="H234" i="87" a="1"/>
  <c r="H234" i="87" s="1"/>
  <c r="H236" i="87" s="1"/>
  <c r="N23" i="112"/>
  <c r="P36" i="112"/>
  <c r="P37" i="112"/>
  <c r="O23" i="112"/>
  <c r="L37" i="112"/>
  <c r="L36" i="112"/>
  <c r="O36" i="112" l="1"/>
  <c r="O37" i="112"/>
  <c r="N36" i="112"/>
  <c r="N37" i="112"/>
  <c r="A4" i="87"/>
  <c r="J43" i="55"/>
  <c r="J37" i="112"/>
  <c r="J36" i="112"/>
  <c r="H40" i="112" l="1"/>
  <c r="J44" i="112" s="1"/>
  <c r="H41" i="112"/>
  <c r="P45" i="112"/>
  <c r="P46" i="112" s="1"/>
  <c r="N45" i="112"/>
  <c r="N46" i="112" s="1"/>
  <c r="O45" i="112"/>
  <c r="O46" i="112" s="1"/>
  <c r="J45" i="112"/>
  <c r="L45" i="112"/>
  <c r="L46" i="112" s="1"/>
  <c r="L29" i="41" l="1"/>
  <c r="L50" i="112"/>
  <c r="L54" i="112"/>
  <c r="J46" i="112"/>
  <c r="O54" i="112"/>
  <c r="O29" i="41"/>
  <c r="O50" i="112"/>
  <c r="N54" i="112"/>
  <c r="N50" i="112"/>
  <c r="N60" i="112" s="1"/>
  <c r="N29" i="41"/>
  <c r="P54" i="112"/>
  <c r="P29" i="41"/>
  <c r="P50" i="112"/>
  <c r="P60" i="112" s="1"/>
  <c r="O60" i="112" l="1"/>
  <c r="T48" i="41"/>
  <c r="T47" i="65" s="1"/>
  <c r="T49" i="82" s="1"/>
  <c r="R48" i="41"/>
  <c r="R47" i="65" s="1"/>
  <c r="R49" i="82" s="1"/>
  <c r="S48" i="41"/>
  <c r="S47" i="65" s="1"/>
  <c r="S49" i="82" s="1"/>
  <c r="V48" i="41"/>
  <c r="V47" i="65" s="1"/>
  <c r="V49" i="82" s="1"/>
  <c r="U48" i="41"/>
  <c r="U47" i="65" s="1"/>
  <c r="U49" i="82" s="1"/>
  <c r="AA48" i="41"/>
  <c r="AA47" i="65" s="1"/>
  <c r="AA49" i="82" s="1"/>
  <c r="Z48" i="41"/>
  <c r="Z47" i="65" s="1"/>
  <c r="Z49" i="82" s="1"/>
  <c r="X48" i="41"/>
  <c r="X47" i="65" s="1"/>
  <c r="X49" i="82" s="1"/>
  <c r="W48" i="41"/>
  <c r="W47" i="65" s="1"/>
  <c r="W49" i="82" s="1"/>
  <c r="Y48" i="41"/>
  <c r="Y47" i="65" s="1"/>
  <c r="Y49" i="82" s="1"/>
  <c r="J50" i="112"/>
  <c r="J54" i="112"/>
  <c r="H56" i="112" s="1"/>
  <c r="H87" i="105" s="1"/>
  <c r="H130" i="105" s="1"/>
  <c r="J29" i="41"/>
  <c r="J48" i="41" s="1"/>
  <c r="L60" i="112"/>
  <c r="AC48" i="41"/>
  <c r="AC47" i="65" s="1"/>
  <c r="AC49" i="82" s="1"/>
  <c r="AE48" i="41"/>
  <c r="AE47" i="65" s="1"/>
  <c r="AE49" i="82" s="1"/>
  <c r="AB48" i="41"/>
  <c r="AB47" i="65" s="1"/>
  <c r="AB49" i="82" s="1"/>
  <c r="AD48" i="41"/>
  <c r="AD47" i="65" s="1"/>
  <c r="AD49" i="82" s="1"/>
  <c r="AF48" i="41"/>
  <c r="AF47" i="65" s="1"/>
  <c r="AF49" i="82" s="1"/>
  <c r="L48" i="41"/>
  <c r="L47" i="65" s="1"/>
  <c r="L49" i="82" s="1"/>
  <c r="O48" i="41"/>
  <c r="O47" i="65" s="1"/>
  <c r="O49" i="82" s="1"/>
  <c r="N48" i="41"/>
  <c r="N47" i="65" s="1"/>
  <c r="N49" i="82" s="1"/>
  <c r="P48" i="41"/>
  <c r="P47" i="65" s="1"/>
  <c r="P49" i="82" s="1"/>
  <c r="M48" i="41"/>
  <c r="M47" i="65" s="1"/>
  <c r="M49" i="82" s="1"/>
  <c r="J47" i="65" l="1"/>
  <c r="J49" i="82" s="1"/>
  <c r="AL222" i="41" a="1"/>
  <c r="AL222" i="41" s="1"/>
  <c r="AL224" i="41" s="1"/>
  <c r="V222" i="41" a="1"/>
  <c r="V222" i="41" s="1"/>
  <c r="T222" i="41" a="1"/>
  <c r="T222" i="41" s="1"/>
  <c r="AH222" i="41" a="1"/>
  <c r="AH222" i="41" s="1"/>
  <c r="AH224" i="41" s="1"/>
  <c r="W222" i="41" a="1"/>
  <c r="W222" i="41" s="1"/>
  <c r="W224" i="41" s="1"/>
  <c r="Z222" i="41" a="1"/>
  <c r="Z222" i="41" s="1"/>
  <c r="AJ222" i="41" a="1"/>
  <c r="AJ222" i="41" s="1"/>
  <c r="AJ224" i="41" s="1"/>
  <c r="AB222" i="41" a="1"/>
  <c r="AB222" i="41" s="1"/>
  <c r="AB224" i="41" s="1"/>
  <c r="R222" i="41" a="1"/>
  <c r="R222" i="41" s="1"/>
  <c r="R224" i="41" s="1"/>
  <c r="K222" i="41" a="1"/>
  <c r="K222" i="41" s="1"/>
  <c r="K224" i="41" s="1"/>
  <c r="Q222" i="41" a="1"/>
  <c r="Q222" i="41" s="1"/>
  <c r="Q224" i="41" s="1"/>
  <c r="AK222" i="41" a="1"/>
  <c r="AK222" i="41" s="1"/>
  <c r="AK224" i="41" s="1"/>
  <c r="AA222" i="41" a="1"/>
  <c r="AA222" i="41" s="1"/>
  <c r="L222" i="41" a="1"/>
  <c r="L222" i="41" s="1"/>
  <c r="L224" i="41" s="1"/>
  <c r="AG222" i="41" a="1"/>
  <c r="AG222" i="41" s="1"/>
  <c r="AG224" i="41" s="1"/>
  <c r="U222" i="41" a="1"/>
  <c r="U222" i="41" s="1"/>
  <c r="N222" i="41" a="1"/>
  <c r="N222" i="41" s="1"/>
  <c r="AM222" i="41" a="1"/>
  <c r="AM222" i="41" s="1"/>
  <c r="AM224" i="41" s="1"/>
  <c r="O222" i="41" a="1"/>
  <c r="O222" i="41" s="1"/>
  <c r="AC222" i="41" a="1"/>
  <c r="AC222" i="41" s="1"/>
  <c r="Y222" i="41" a="1"/>
  <c r="Y222" i="41" s="1"/>
  <c r="P222" i="41" a="1"/>
  <c r="P222" i="41" s="1"/>
  <c r="AD222" i="41" a="1"/>
  <c r="AD222" i="41" s="1"/>
  <c r="X222" i="41" a="1"/>
  <c r="X222" i="41" s="1"/>
  <c r="S222" i="41" a="1"/>
  <c r="S222" i="41" s="1"/>
  <c r="AE222" i="41" a="1"/>
  <c r="AE222" i="41" s="1"/>
  <c r="AF222" i="41" a="1"/>
  <c r="AF222" i="41" s="1"/>
  <c r="AN222" i="41" a="1"/>
  <c r="AN222" i="41" s="1"/>
  <c r="AN224" i="41" s="1"/>
  <c r="AO222" i="41" a="1"/>
  <c r="AO222" i="41" s="1"/>
  <c r="AO224" i="41" s="1"/>
  <c r="J222" i="41" a="1"/>
  <c r="J222" i="41" s="1"/>
  <c r="AI222" i="41" a="1"/>
  <c r="AI222" i="41" s="1"/>
  <c r="AI224" i="41" s="1"/>
  <c r="M222" i="41" a="1"/>
  <c r="M222" i="41" s="1"/>
  <c r="H52" i="112"/>
  <c r="H86" i="105" s="1"/>
  <c r="H129" i="105" s="1"/>
  <c r="J60" i="112"/>
  <c r="H62" i="112" s="1"/>
  <c r="H64" i="112" s="1"/>
  <c r="H66" i="112" a="1"/>
  <c r="H66" i="112" s="1"/>
  <c r="L415" i="41" l="1"/>
  <c r="L35" i="65" s="1"/>
  <c r="L113" i="65" s="1"/>
  <c r="L226" i="41"/>
  <c r="L228" i="41" s="1"/>
  <c r="Q415" i="41"/>
  <c r="Q35" i="65" s="1"/>
  <c r="Q113" i="65" s="1"/>
  <c r="Q226" i="41"/>
  <c r="Q228" i="41" s="1"/>
  <c r="K226" i="41"/>
  <c r="K228" i="41" s="1"/>
  <c r="K415" i="41"/>
  <c r="K35" i="65" s="1"/>
  <c r="K113" i="65" s="1"/>
  <c r="AO415" i="41"/>
  <c r="AO35" i="65" s="1"/>
  <c r="AO113" i="65" s="1"/>
  <c r="AO124" i="65" s="1"/>
  <c r="AO153" i="65" s="1"/>
  <c r="AO58" i="105" s="1"/>
  <c r="AO98" i="105" s="1"/>
  <c r="AO226" i="41"/>
  <c r="AO228" i="41" s="1"/>
  <c r="AB415" i="41"/>
  <c r="AB35" i="65" s="1"/>
  <c r="AB113" i="65" s="1"/>
  <c r="AB226" i="41"/>
  <c r="AB228" i="41" s="1"/>
  <c r="AI226" i="41"/>
  <c r="AI228" i="41" s="1"/>
  <c r="AI415" i="41"/>
  <c r="AI35" i="65" s="1"/>
  <c r="AI113" i="65" s="1"/>
  <c r="R415" i="41"/>
  <c r="R35" i="65" s="1"/>
  <c r="R113" i="65" s="1"/>
  <c r="R226" i="41"/>
  <c r="R228" i="41" s="1"/>
  <c r="AJ226" i="41"/>
  <c r="AJ228" i="41" s="1"/>
  <c r="AJ415" i="41"/>
  <c r="AJ35" i="65" s="1"/>
  <c r="AJ113" i="65" s="1"/>
  <c r="AK226" i="41"/>
  <c r="AK228" i="41" s="1"/>
  <c r="AK415" i="41"/>
  <c r="AK35" i="65" s="1"/>
  <c r="AK113" i="65" s="1"/>
  <c r="AK124" i="65" s="1"/>
  <c r="AK153" i="65" s="1"/>
  <c r="AK58" i="105" s="1"/>
  <c r="AK98" i="105" s="1"/>
  <c r="W226" i="41"/>
  <c r="W228" i="41" s="1"/>
  <c r="W415" i="41"/>
  <c r="W35" i="65" s="1"/>
  <c r="W113" i="65" s="1"/>
  <c r="A4" i="112"/>
  <c r="J60" i="55"/>
  <c r="AH226" i="41"/>
  <c r="AH228" i="41" s="1"/>
  <c r="AH415" i="41"/>
  <c r="AH35" i="65" s="1"/>
  <c r="AH113" i="65" s="1"/>
  <c r="AG415" i="41"/>
  <c r="AG35" i="65" s="1"/>
  <c r="AG113" i="65" s="1"/>
  <c r="AG226" i="41"/>
  <c r="AG228" i="41" s="1"/>
  <c r="AN226" i="41"/>
  <c r="AN228" i="41" s="1"/>
  <c r="AN415" i="41"/>
  <c r="AN35" i="65" s="1"/>
  <c r="AN113" i="65" s="1"/>
  <c r="AM415" i="41"/>
  <c r="AM35" i="65" s="1"/>
  <c r="AM113" i="65" s="1"/>
  <c r="AM124" i="65" s="1"/>
  <c r="AM153" i="65" s="1"/>
  <c r="AM58" i="105" s="1"/>
  <c r="AM98" i="105" s="1"/>
  <c r="AM226" i="41"/>
  <c r="AM228" i="41" s="1"/>
  <c r="AL226" i="41"/>
  <c r="AL228" i="41" s="1"/>
  <c r="AL415" i="41"/>
  <c r="AL35" i="65" s="1"/>
  <c r="AL113" i="65" s="1"/>
  <c r="AK424" i="41" l="1"/>
  <c r="AK237" i="41"/>
  <c r="AB41" i="82"/>
  <c r="AB124" i="65"/>
  <c r="AB153" i="65" s="1"/>
  <c r="AB58" i="105" s="1"/>
  <c r="AB98" i="105" s="1"/>
  <c r="AB142" i="65"/>
  <c r="AB171" i="65" s="1"/>
  <c r="AB76" i="105" s="1"/>
  <c r="AL142" i="65"/>
  <c r="AL171" i="65" s="1"/>
  <c r="AL76" i="105" s="1"/>
  <c r="AL118" i="105" s="1"/>
  <c r="AK41" i="82"/>
  <c r="AL124" i="65"/>
  <c r="AL153" i="65" s="1"/>
  <c r="AL58" i="105" s="1"/>
  <c r="AL98" i="105" s="1"/>
  <c r="AL424" i="41"/>
  <c r="AL237" i="41"/>
  <c r="AG293" i="41"/>
  <c r="AG295" i="41" s="1"/>
  <c r="AG237" i="41"/>
  <c r="AG424" i="41"/>
  <c r="AO424" i="41"/>
  <c r="AO237" i="41"/>
  <c r="AG124" i="65"/>
  <c r="AG153" i="65" s="1"/>
  <c r="AG58" i="105" s="1"/>
  <c r="AG98" i="105" s="1"/>
  <c r="AG41" i="82"/>
  <c r="AG133" i="65"/>
  <c r="AG162" i="65" s="1"/>
  <c r="AG67" i="105" s="1"/>
  <c r="AG142" i="65"/>
  <c r="AG171" i="65" s="1"/>
  <c r="AG76" i="105" s="1"/>
  <c r="AH237" i="41"/>
  <c r="AH424" i="41"/>
  <c r="AB293" i="41"/>
  <c r="AB295" i="41" s="1"/>
  <c r="R293" i="41"/>
  <c r="R295" i="41" s="1"/>
  <c r="AM293" i="41"/>
  <c r="AM295" i="41" s="1"/>
  <c r="AI293" i="41"/>
  <c r="AI295" i="41" s="1"/>
  <c r="AN293" i="41"/>
  <c r="AN295" i="41" s="1"/>
  <c r="AH293" i="41"/>
  <c r="AH295" i="41" s="1"/>
  <c r="AK293" i="41"/>
  <c r="AK295" i="41" s="1"/>
  <c r="AL293" i="41"/>
  <c r="AL295" i="41" s="1"/>
  <c r="K293" i="41"/>
  <c r="K295" i="41" s="1"/>
  <c r="K237" i="41"/>
  <c r="AO293" i="41"/>
  <c r="AO295" i="41" s="1"/>
  <c r="K424" i="41"/>
  <c r="AJ293" i="41"/>
  <c r="AJ295" i="41" s="1"/>
  <c r="L293" i="41"/>
  <c r="L295" i="41" s="1"/>
  <c r="W293" i="41"/>
  <c r="W295" i="41" s="1"/>
  <c r="Q293" i="41"/>
  <c r="Q295" i="41" s="1"/>
  <c r="AH124" i="65"/>
  <c r="AH153" i="65" s="1"/>
  <c r="AH58" i="105" s="1"/>
  <c r="AH98" i="105" s="1"/>
  <c r="AH142" i="65"/>
  <c r="AH171" i="65" s="1"/>
  <c r="AH76" i="105" s="1"/>
  <c r="AH118" i="105" s="1"/>
  <c r="AH133" i="65"/>
  <c r="AH162" i="65" s="1"/>
  <c r="AH67" i="105" s="1"/>
  <c r="AH108" i="105" s="1"/>
  <c r="AH41" i="82"/>
  <c r="AJ133" i="65"/>
  <c r="AJ162" i="65" s="1"/>
  <c r="AJ67" i="105" s="1"/>
  <c r="AJ108" i="105" s="1"/>
  <c r="AJ41" i="82"/>
  <c r="AJ142" i="65"/>
  <c r="AJ171" i="65" s="1"/>
  <c r="AJ76" i="105" s="1"/>
  <c r="AJ118" i="105" s="1"/>
  <c r="AJ124" i="65"/>
  <c r="AJ153" i="65" s="1"/>
  <c r="AJ58" i="105" s="1"/>
  <c r="AJ98" i="105" s="1"/>
  <c r="AJ237" i="41"/>
  <c r="AJ424" i="41"/>
  <c r="AM424" i="41"/>
  <c r="AM237" i="41"/>
  <c r="Q424" i="41"/>
  <c r="Q237" i="41"/>
  <c r="Q124" i="65"/>
  <c r="Q153" i="65" s="1"/>
  <c r="Q58" i="105" s="1"/>
  <c r="Q98" i="105" s="1"/>
  <c r="Q133" i="65"/>
  <c r="Q162" i="65" s="1"/>
  <c r="Q67" i="105" s="1"/>
  <c r="Q108" i="105" s="1"/>
  <c r="Q142" i="65"/>
  <c r="Q171" i="65" s="1"/>
  <c r="Q76" i="105" s="1"/>
  <c r="Q118" i="105" s="1"/>
  <c r="Q41" i="82"/>
  <c r="AL41" i="82"/>
  <c r="AN124" i="65"/>
  <c r="AN153" i="65" s="1"/>
  <c r="AN58" i="105" s="1"/>
  <c r="AN98" i="105" s="1"/>
  <c r="AN142" i="65"/>
  <c r="AN171" i="65" s="1"/>
  <c r="AN76" i="105" s="1"/>
  <c r="W41" i="82"/>
  <c r="W124" i="65"/>
  <c r="W153" i="65" s="1"/>
  <c r="W58" i="105" s="1"/>
  <c r="W98" i="105" s="1"/>
  <c r="W142" i="65"/>
  <c r="W171" i="65" s="1"/>
  <c r="W76" i="105" s="1"/>
  <c r="R424" i="41"/>
  <c r="R237" i="41"/>
  <c r="L424" i="41"/>
  <c r="L237" i="41"/>
  <c r="AB237" i="41"/>
  <c r="AB424" i="41"/>
  <c r="AN237" i="41"/>
  <c r="AN424" i="41"/>
  <c r="W237" i="41"/>
  <c r="W424" i="41"/>
  <c r="R41" i="82"/>
  <c r="R124" i="65"/>
  <c r="R153" i="65" s="1"/>
  <c r="R58" i="105" s="1"/>
  <c r="R98" i="105" s="1"/>
  <c r="R133" i="65"/>
  <c r="R162" i="65" s="1"/>
  <c r="R67" i="105" s="1"/>
  <c r="R142" i="65"/>
  <c r="R171" i="65" s="1"/>
  <c r="R76" i="105" s="1"/>
  <c r="L133" i="65"/>
  <c r="L162" i="65" s="1"/>
  <c r="L67" i="105" s="1"/>
  <c r="L142" i="65"/>
  <c r="L171" i="65" s="1"/>
  <c r="L76" i="105" s="1"/>
  <c r="L41" i="82"/>
  <c r="L124" i="65"/>
  <c r="L153" i="65" s="1"/>
  <c r="L58" i="105" s="1"/>
  <c r="L98" i="105" s="1"/>
  <c r="AI142" i="65"/>
  <c r="AI171" i="65" s="1"/>
  <c r="AI76" i="105" s="1"/>
  <c r="AI118" i="105" s="1"/>
  <c r="AI124" i="65"/>
  <c r="AI153" i="65" s="1"/>
  <c r="AI58" i="105" s="1"/>
  <c r="AI98" i="105" s="1"/>
  <c r="AI41" i="82"/>
  <c r="K133" i="65"/>
  <c r="K162" i="65" s="1"/>
  <c r="K67" i="105" s="1"/>
  <c r="K108" i="105" s="1"/>
  <c r="K124" i="65"/>
  <c r="K153" i="65" s="1"/>
  <c r="K58" i="105" s="1"/>
  <c r="K98" i="105" s="1"/>
  <c r="K41" i="82"/>
  <c r="K142" i="65"/>
  <c r="K171" i="65" s="1"/>
  <c r="K76" i="105" s="1"/>
  <c r="K118" i="105" s="1"/>
  <c r="AI424" i="41"/>
  <c r="AI237" i="41"/>
  <c r="L196" i="105" l="1"/>
  <c r="L118" i="105"/>
  <c r="L268" i="41"/>
  <c r="L404" i="41"/>
  <c r="L413" i="41" s="1"/>
  <c r="L33" i="65" s="1"/>
  <c r="L111" i="65" s="1"/>
  <c r="L250" i="41"/>
  <c r="L269" i="41"/>
  <c r="L267" i="41"/>
  <c r="L251" i="41"/>
  <c r="L274" i="41"/>
  <c r="L403" i="41"/>
  <c r="L412" i="41" s="1"/>
  <c r="L32" i="65" s="1"/>
  <c r="L110" i="65" s="1"/>
  <c r="L405" i="41"/>
  <c r="L414" i="41" s="1"/>
  <c r="L34" i="65" s="1"/>
  <c r="L112" i="65" s="1"/>
  <c r="L249" i="41"/>
  <c r="L273" i="41"/>
  <c r="L272" i="41"/>
  <c r="L108" i="105"/>
  <c r="L185" i="105"/>
  <c r="R196" i="105"/>
  <c r="R118" i="105"/>
  <c r="R249" i="41"/>
  <c r="R273" i="41"/>
  <c r="R272" i="41"/>
  <c r="R274" i="41"/>
  <c r="R269" i="41"/>
  <c r="R251" i="41"/>
  <c r="R404" i="41"/>
  <c r="R413" i="41" s="1"/>
  <c r="R33" i="65" s="1"/>
  <c r="R111" i="65" s="1"/>
  <c r="R403" i="41"/>
  <c r="R412" i="41" s="1"/>
  <c r="R32" i="65" s="1"/>
  <c r="R110" i="65" s="1"/>
  <c r="R267" i="41"/>
  <c r="R268" i="41"/>
  <c r="R250" i="41"/>
  <c r="R405" i="41"/>
  <c r="R414" i="41" s="1"/>
  <c r="R34" i="65" s="1"/>
  <c r="R112" i="65" s="1"/>
  <c r="AO405" i="41"/>
  <c r="AO414" i="41" s="1"/>
  <c r="AO34" i="65" s="1"/>
  <c r="AO112" i="65" s="1"/>
  <c r="AO123" i="65" s="1"/>
  <c r="AO152" i="65" s="1"/>
  <c r="AO57" i="105" s="1"/>
  <c r="AO97" i="105" s="1"/>
  <c r="AO268" i="41"/>
  <c r="AO251" i="41"/>
  <c r="AO404" i="41"/>
  <c r="AO413" i="41" s="1"/>
  <c r="AO33" i="65" s="1"/>
  <c r="AO111" i="65" s="1"/>
  <c r="AO122" i="65" s="1"/>
  <c r="AO151" i="65" s="1"/>
  <c r="AO56" i="105" s="1"/>
  <c r="AO96" i="105" s="1"/>
  <c r="AO274" i="41"/>
  <c r="AO269" i="41"/>
  <c r="AO267" i="41"/>
  <c r="AO272" i="41"/>
  <c r="AO403" i="41"/>
  <c r="AO412" i="41" s="1"/>
  <c r="AO32" i="65" s="1"/>
  <c r="AO110" i="65" s="1"/>
  <c r="AO121" i="65" s="1"/>
  <c r="AO150" i="65" s="1"/>
  <c r="AO55" i="105" s="1"/>
  <c r="AO95" i="105" s="1"/>
  <c r="AO250" i="41"/>
  <c r="AO273" i="41"/>
  <c r="AO249" i="41"/>
  <c r="R185" i="105"/>
  <c r="R108" i="105"/>
  <c r="W196" i="105"/>
  <c r="W118" i="105"/>
  <c r="AH249" i="41"/>
  <c r="AH274" i="41"/>
  <c r="AH251" i="41"/>
  <c r="AH403" i="41"/>
  <c r="AH412" i="41" s="1"/>
  <c r="AH32" i="65" s="1"/>
  <c r="AH110" i="65" s="1"/>
  <c r="AH267" i="41"/>
  <c r="AH405" i="41"/>
  <c r="AH414" i="41" s="1"/>
  <c r="AH34" i="65" s="1"/>
  <c r="AH112" i="65" s="1"/>
  <c r="AH273" i="41"/>
  <c r="AH404" i="41"/>
  <c r="AH413" i="41" s="1"/>
  <c r="AH33" i="65" s="1"/>
  <c r="AH111" i="65" s="1"/>
  <c r="AH268" i="41"/>
  <c r="AH250" i="41"/>
  <c r="AH272" i="41"/>
  <c r="AH269" i="41"/>
  <c r="AB251" i="41"/>
  <c r="AB273" i="41"/>
  <c r="AB249" i="41"/>
  <c r="AB268" i="41"/>
  <c r="AB405" i="41"/>
  <c r="AB414" i="41" s="1"/>
  <c r="AB34" i="65" s="1"/>
  <c r="AB112" i="65" s="1"/>
  <c r="AB272" i="41"/>
  <c r="AB404" i="41"/>
  <c r="AB413" i="41" s="1"/>
  <c r="AB33" i="65" s="1"/>
  <c r="AB111" i="65" s="1"/>
  <c r="AB250" i="41"/>
  <c r="AB403" i="41"/>
  <c r="AB412" i="41" s="1"/>
  <c r="AB32" i="65" s="1"/>
  <c r="AB110" i="65" s="1"/>
  <c r="AB267" i="41"/>
  <c r="AB269" i="41"/>
  <c r="AB274" i="41"/>
  <c r="AB118" i="105"/>
  <c r="AB196" i="105"/>
  <c r="K405" i="41"/>
  <c r="K249" i="41"/>
  <c r="K272" i="41"/>
  <c r="K269" i="41"/>
  <c r="K403" i="41"/>
  <c r="K404" i="41"/>
  <c r="K274" i="41"/>
  <c r="K267" i="41"/>
  <c r="K250" i="41"/>
  <c r="K251" i="41"/>
  <c r="K268" i="41"/>
  <c r="K273" i="41"/>
  <c r="W403" i="41"/>
  <c r="W412" i="41" s="1"/>
  <c r="W32" i="65" s="1"/>
  <c r="W110" i="65" s="1"/>
  <c r="W249" i="41"/>
  <c r="W274" i="41"/>
  <c r="W268" i="41"/>
  <c r="W251" i="41"/>
  <c r="W273" i="41"/>
  <c r="W269" i="41"/>
  <c r="W272" i="41"/>
  <c r="W267" i="41"/>
  <c r="W250" i="41"/>
  <c r="W405" i="41"/>
  <c r="W414" i="41" s="1"/>
  <c r="W34" i="65" s="1"/>
  <c r="W112" i="65" s="1"/>
  <c r="W404" i="41"/>
  <c r="W413" i="41" s="1"/>
  <c r="W33" i="65" s="1"/>
  <c r="W111" i="65" s="1"/>
  <c r="AN196" i="105"/>
  <c r="AN118" i="105"/>
  <c r="Q267" i="41"/>
  <c r="Q250" i="41"/>
  <c r="Q269" i="41"/>
  <c r="Q403" i="41"/>
  <c r="Q412" i="41" s="1"/>
  <c r="Q32" i="65" s="1"/>
  <c r="Q110" i="65" s="1"/>
  <c r="Q404" i="41"/>
  <c r="Q413" i="41" s="1"/>
  <c r="Q33" i="65" s="1"/>
  <c r="Q111" i="65" s="1"/>
  <c r="Q251" i="41"/>
  <c r="Q249" i="41"/>
  <c r="Q268" i="41"/>
  <c r="Q272" i="41"/>
  <c r="Q273" i="41"/>
  <c r="Q405" i="41"/>
  <c r="Q414" i="41" s="1"/>
  <c r="Q34" i="65" s="1"/>
  <c r="Q112" i="65" s="1"/>
  <c r="Q274" i="41"/>
  <c r="AG404" i="41"/>
  <c r="AG272" i="41"/>
  <c r="AG277" i="41" s="1"/>
  <c r="AG282" i="41" s="1"/>
  <c r="AG249" i="41"/>
  <c r="AG273" i="41"/>
  <c r="AG278" i="41" s="1"/>
  <c r="AG283" i="41" s="1"/>
  <c r="AG267" i="41"/>
  <c r="AG250" i="41"/>
  <c r="AG269" i="41"/>
  <c r="AG403" i="41"/>
  <c r="AG274" i="41"/>
  <c r="AG279" i="41" s="1"/>
  <c r="AG284" i="41" s="1"/>
  <c r="AG362" i="41" s="1"/>
  <c r="AG364" i="41" s="1"/>
  <c r="AG366" i="41" s="1"/>
  <c r="AG368" i="41" s="1"/>
  <c r="AG393" i="41" s="1"/>
  <c r="AG268" i="41"/>
  <c r="AG251" i="41"/>
  <c r="AG405" i="41"/>
  <c r="AL249" i="41"/>
  <c r="AL267" i="41"/>
  <c r="AL272" i="41"/>
  <c r="AL405" i="41"/>
  <c r="AL414" i="41" s="1"/>
  <c r="AL34" i="65" s="1"/>
  <c r="AL112" i="65" s="1"/>
  <c r="AL403" i="41"/>
  <c r="AL412" i="41" s="1"/>
  <c r="AL32" i="65" s="1"/>
  <c r="AL110" i="65" s="1"/>
  <c r="AL269" i="41"/>
  <c r="AL404" i="41"/>
  <c r="AL413" i="41" s="1"/>
  <c r="AL33" i="65" s="1"/>
  <c r="AL111" i="65" s="1"/>
  <c r="AL251" i="41"/>
  <c r="AL250" i="41"/>
  <c r="AL273" i="41"/>
  <c r="AL274" i="41"/>
  <c r="AL268" i="41"/>
  <c r="AK273" i="41"/>
  <c r="AK250" i="41"/>
  <c r="AK405" i="41"/>
  <c r="AK414" i="41" s="1"/>
  <c r="AK34" i="65" s="1"/>
  <c r="AK112" i="65" s="1"/>
  <c r="AK123" i="65" s="1"/>
  <c r="AK152" i="65" s="1"/>
  <c r="AK57" i="105" s="1"/>
  <c r="AK97" i="105" s="1"/>
  <c r="AK403" i="41"/>
  <c r="AK412" i="41" s="1"/>
  <c r="AK32" i="65" s="1"/>
  <c r="AK110" i="65" s="1"/>
  <c r="AK121" i="65" s="1"/>
  <c r="AK150" i="65" s="1"/>
  <c r="AK55" i="105" s="1"/>
  <c r="AK95" i="105" s="1"/>
  <c r="AK272" i="41"/>
  <c r="AK274" i="41"/>
  <c r="AK249" i="41"/>
  <c r="AK267" i="41"/>
  <c r="AK404" i="41"/>
  <c r="AK413" i="41" s="1"/>
  <c r="AK33" i="65" s="1"/>
  <c r="AK111" i="65" s="1"/>
  <c r="AK122" i="65" s="1"/>
  <c r="AK151" i="65" s="1"/>
  <c r="AK56" i="105" s="1"/>
  <c r="AK96" i="105" s="1"/>
  <c r="AK269" i="41"/>
  <c r="AK268" i="41"/>
  <c r="AK251" i="41"/>
  <c r="AN405" i="41"/>
  <c r="AN414" i="41" s="1"/>
  <c r="AN34" i="65" s="1"/>
  <c r="AN112" i="65" s="1"/>
  <c r="AN251" i="41"/>
  <c r="AN273" i="41"/>
  <c r="AN403" i="41"/>
  <c r="AN412" i="41" s="1"/>
  <c r="AN32" i="65" s="1"/>
  <c r="AN110" i="65" s="1"/>
  <c r="AN404" i="41"/>
  <c r="AN413" i="41" s="1"/>
  <c r="AN33" i="65" s="1"/>
  <c r="AN111" i="65" s="1"/>
  <c r="AN268" i="41"/>
  <c r="AN274" i="41"/>
  <c r="AN249" i="41"/>
  <c r="AN267" i="41"/>
  <c r="AN272" i="41"/>
  <c r="AN250" i="41"/>
  <c r="AN269" i="41"/>
  <c r="AI250" i="41"/>
  <c r="AI274" i="41"/>
  <c r="AI251" i="41"/>
  <c r="AI267" i="41"/>
  <c r="AI403" i="41"/>
  <c r="AI412" i="41" s="1"/>
  <c r="AI32" i="65" s="1"/>
  <c r="AI110" i="65" s="1"/>
  <c r="AI273" i="41"/>
  <c r="AI272" i="41"/>
  <c r="AI268" i="41"/>
  <c r="AI405" i="41"/>
  <c r="AI414" i="41" s="1"/>
  <c r="AI34" i="65" s="1"/>
  <c r="AI112" i="65" s="1"/>
  <c r="AI249" i="41"/>
  <c r="AI404" i="41"/>
  <c r="AI413" i="41" s="1"/>
  <c r="AI33" i="65" s="1"/>
  <c r="AI111" i="65" s="1"/>
  <c r="AI269" i="41"/>
  <c r="AJ250" i="41"/>
  <c r="AJ274" i="41"/>
  <c r="AJ269" i="41"/>
  <c r="AJ251" i="41"/>
  <c r="AJ272" i="41"/>
  <c r="AJ404" i="41"/>
  <c r="AJ413" i="41" s="1"/>
  <c r="AJ33" i="65" s="1"/>
  <c r="AJ111" i="65" s="1"/>
  <c r="AJ267" i="41"/>
  <c r="AJ273" i="41"/>
  <c r="AJ249" i="41"/>
  <c r="AJ268" i="41"/>
  <c r="AJ405" i="41"/>
  <c r="AJ414" i="41" s="1"/>
  <c r="AJ34" i="65" s="1"/>
  <c r="AJ112" i="65" s="1"/>
  <c r="AJ403" i="41"/>
  <c r="AJ412" i="41" s="1"/>
  <c r="AJ32" i="65" s="1"/>
  <c r="AJ110" i="65" s="1"/>
  <c r="AG196" i="105"/>
  <c r="AG118" i="105"/>
  <c r="AG185" i="105"/>
  <c r="AG108" i="105"/>
  <c r="AM273" i="41"/>
  <c r="AM274" i="41"/>
  <c r="AM250" i="41"/>
  <c r="AM269" i="41"/>
  <c r="AM403" i="41"/>
  <c r="AM412" i="41" s="1"/>
  <c r="AM32" i="65" s="1"/>
  <c r="AM110" i="65" s="1"/>
  <c r="AM121" i="65" s="1"/>
  <c r="AM150" i="65" s="1"/>
  <c r="AM55" i="105" s="1"/>
  <c r="AM95" i="105" s="1"/>
  <c r="AM249" i="41"/>
  <c r="AM267" i="41"/>
  <c r="AM268" i="41"/>
  <c r="AM405" i="41"/>
  <c r="AM414" i="41" s="1"/>
  <c r="AM34" i="65" s="1"/>
  <c r="AM112" i="65" s="1"/>
  <c r="AM123" i="65" s="1"/>
  <c r="AM152" i="65" s="1"/>
  <c r="AM57" i="105" s="1"/>
  <c r="AM97" i="105" s="1"/>
  <c r="AM251" i="41"/>
  <c r="AM404" i="41"/>
  <c r="AM413" i="41" s="1"/>
  <c r="AM33" i="65" s="1"/>
  <c r="AM111" i="65" s="1"/>
  <c r="AM122" i="65" s="1"/>
  <c r="AM151" i="65" s="1"/>
  <c r="AM56" i="105" s="1"/>
  <c r="AM96" i="105" s="1"/>
  <c r="AM272" i="41"/>
  <c r="AK102" i="105" l="1"/>
  <c r="AG330" i="41"/>
  <c r="AG332" i="41" s="1"/>
  <c r="AG334" i="41" s="1"/>
  <c r="AG336" i="41" s="1"/>
  <c r="AG392" i="41" s="1"/>
  <c r="AN122" i="65"/>
  <c r="AN151" i="65" s="1"/>
  <c r="AN56" i="105" s="1"/>
  <c r="AN96" i="105" s="1"/>
  <c r="AN140" i="65"/>
  <c r="AN169" i="65" s="1"/>
  <c r="AN74" i="105" s="1"/>
  <c r="AL39" i="82"/>
  <c r="AN121" i="65"/>
  <c r="AN150" i="65" s="1"/>
  <c r="AN55" i="105" s="1"/>
  <c r="AN95" i="105" s="1"/>
  <c r="AL38" i="82"/>
  <c r="AN139" i="65"/>
  <c r="AN168" i="65" s="1"/>
  <c r="AN73" i="105" s="1"/>
  <c r="L140" i="65"/>
  <c r="L169" i="65" s="1"/>
  <c r="L74" i="105" s="1"/>
  <c r="L131" i="65"/>
  <c r="L160" i="65" s="1"/>
  <c r="L65" i="105" s="1"/>
  <c r="L39" i="82"/>
  <c r="L122" i="65"/>
  <c r="L151" i="65" s="1"/>
  <c r="L56" i="105" s="1"/>
  <c r="L96" i="105" s="1"/>
  <c r="AJ139" i="65"/>
  <c r="AJ168" i="65" s="1"/>
  <c r="AJ73" i="105" s="1"/>
  <c r="AJ115" i="105" s="1"/>
  <c r="AJ130" i="65"/>
  <c r="AJ159" i="65" s="1"/>
  <c r="AJ64" i="105" s="1"/>
  <c r="AJ105" i="105" s="1"/>
  <c r="AJ121" i="65"/>
  <c r="AJ150" i="65" s="1"/>
  <c r="AJ55" i="105" s="1"/>
  <c r="AJ95" i="105" s="1"/>
  <c r="AJ38" i="82"/>
  <c r="Q39" i="82"/>
  <c r="Q131" i="65"/>
  <c r="Q160" i="65" s="1"/>
  <c r="Q65" i="105" s="1"/>
  <c r="Q106" i="105" s="1"/>
  <c r="Q140" i="65"/>
  <c r="Q169" i="65" s="1"/>
  <c r="Q74" i="105" s="1"/>
  <c r="Q116" i="105" s="1"/>
  <c r="Q122" i="65"/>
  <c r="Q151" i="65" s="1"/>
  <c r="Q56" i="105" s="1"/>
  <c r="Q96" i="105" s="1"/>
  <c r="AI39" i="82"/>
  <c r="AI122" i="65"/>
  <c r="AI151" i="65" s="1"/>
  <c r="AI56" i="105" s="1"/>
  <c r="AI96" i="105" s="1"/>
  <c r="AI140" i="65"/>
  <c r="AI169" i="65" s="1"/>
  <c r="AI74" i="105" s="1"/>
  <c r="AI116" i="105" s="1"/>
  <c r="AN123" i="65"/>
  <c r="AN152" i="65" s="1"/>
  <c r="AN57" i="105" s="1"/>
  <c r="AN97" i="105" s="1"/>
  <c r="AN141" i="65"/>
  <c r="AN170" i="65" s="1"/>
  <c r="AN75" i="105" s="1"/>
  <c r="AL40" i="82"/>
  <c r="AH279" i="41"/>
  <c r="AH284" i="41" s="1"/>
  <c r="AH362" i="41" s="1"/>
  <c r="W279" i="41"/>
  <c r="W284" i="41" s="1"/>
  <c r="W362" i="41" s="1"/>
  <c r="AI279" i="41"/>
  <c r="AI284" i="41" s="1"/>
  <c r="AI362" i="41" s="1"/>
  <c r="AM279" i="41"/>
  <c r="AM284" i="41" s="1"/>
  <c r="AM362" i="41" s="1"/>
  <c r="AL279" i="41"/>
  <c r="AL284" i="41" s="1"/>
  <c r="AL362" i="41" s="1"/>
  <c r="AJ279" i="41"/>
  <c r="AJ284" i="41" s="1"/>
  <c r="AJ362" i="41" s="1"/>
  <c r="AK279" i="41"/>
  <c r="AK284" i="41" s="1"/>
  <c r="AK362" i="41" s="1"/>
  <c r="Q279" i="41"/>
  <c r="Q284" i="41" s="1"/>
  <c r="Q362" i="41" s="1"/>
  <c r="R279" i="41"/>
  <c r="R284" i="41" s="1"/>
  <c r="R362" i="41" s="1"/>
  <c r="L279" i="41"/>
  <c r="L284" i="41" s="1"/>
  <c r="L362" i="41" s="1"/>
  <c r="AB279" i="41"/>
  <c r="AB284" i="41" s="1"/>
  <c r="AB362" i="41" s="1"/>
  <c r="AO279" i="41"/>
  <c r="AO284" i="41" s="1"/>
  <c r="AO362" i="41" s="1"/>
  <c r="AN279" i="41"/>
  <c r="AN284" i="41" s="1"/>
  <c r="AN362" i="41" s="1"/>
  <c r="K279" i="41"/>
  <c r="K284" i="41" s="1"/>
  <c r="K362" i="41" s="1"/>
  <c r="W38" i="82"/>
  <c r="W121" i="65"/>
  <c r="W150" i="65" s="1"/>
  <c r="W55" i="105" s="1"/>
  <c r="W95" i="105" s="1"/>
  <c r="W139" i="65"/>
  <c r="W168" i="65" s="1"/>
  <c r="W73" i="105" s="1"/>
  <c r="AO102" i="105"/>
  <c r="R131" i="65"/>
  <c r="R160" i="65" s="1"/>
  <c r="R65" i="105" s="1"/>
  <c r="R122" i="65"/>
  <c r="R151" i="65" s="1"/>
  <c r="R56" i="105" s="1"/>
  <c r="R96" i="105" s="1"/>
  <c r="R39" i="82"/>
  <c r="R140" i="65"/>
  <c r="R169" i="65" s="1"/>
  <c r="R74" i="105" s="1"/>
  <c r="AI123" i="65"/>
  <c r="AI152" i="65" s="1"/>
  <c r="AI57" i="105" s="1"/>
  <c r="AI97" i="105" s="1"/>
  <c r="AI141" i="65"/>
  <c r="AI170" i="65" s="1"/>
  <c r="AI75" i="105" s="1"/>
  <c r="AI117" i="105" s="1"/>
  <c r="AI40" i="82"/>
  <c r="AH131" i="65"/>
  <c r="AH160" i="65" s="1"/>
  <c r="AH65" i="105" s="1"/>
  <c r="AH106" i="105" s="1"/>
  <c r="AH140" i="65"/>
  <c r="AH169" i="65" s="1"/>
  <c r="AH74" i="105" s="1"/>
  <c r="AH116" i="105" s="1"/>
  <c r="AH39" i="82"/>
  <c r="AH122" i="65"/>
  <c r="AH151" i="65" s="1"/>
  <c r="AH56" i="105" s="1"/>
  <c r="AH96" i="105" s="1"/>
  <c r="AM278" i="41"/>
  <c r="AM283" i="41" s="1"/>
  <c r="AJ278" i="41"/>
  <c r="AJ283" i="41" s="1"/>
  <c r="W278" i="41"/>
  <c r="W283" i="41" s="1"/>
  <c r="AN278" i="41"/>
  <c r="AN283" i="41" s="1"/>
  <c r="Q278" i="41"/>
  <c r="Q283" i="41" s="1"/>
  <c r="AK278" i="41"/>
  <c r="AK283" i="41" s="1"/>
  <c r="AO278" i="41"/>
  <c r="AO283" i="41" s="1"/>
  <c r="AL278" i="41"/>
  <c r="AL283" i="41" s="1"/>
  <c r="AH278" i="41"/>
  <c r="AH283" i="41" s="1"/>
  <c r="AI278" i="41"/>
  <c r="AI283" i="41" s="1"/>
  <c r="AB278" i="41"/>
  <c r="AB283" i="41" s="1"/>
  <c r="L278" i="41"/>
  <c r="L283" i="41" s="1"/>
  <c r="R278" i="41"/>
  <c r="R283" i="41" s="1"/>
  <c r="K278" i="41"/>
  <c r="K283" i="41" s="1"/>
  <c r="AB38" i="82"/>
  <c r="AB139" i="65"/>
  <c r="AB168" i="65" s="1"/>
  <c r="AB73" i="105" s="1"/>
  <c r="AB121" i="65"/>
  <c r="AB150" i="65" s="1"/>
  <c r="AB55" i="105" s="1"/>
  <c r="AB95" i="105" s="1"/>
  <c r="R40" i="82"/>
  <c r="R123" i="65"/>
  <c r="R152" i="65" s="1"/>
  <c r="R57" i="105" s="1"/>
  <c r="R97" i="105" s="1"/>
  <c r="R132" i="65"/>
  <c r="R161" i="65" s="1"/>
  <c r="R66" i="105" s="1"/>
  <c r="R141" i="65"/>
  <c r="R170" i="65" s="1"/>
  <c r="R75" i="105" s="1"/>
  <c r="Q121" i="65"/>
  <c r="Q150" i="65" s="1"/>
  <c r="Q55" i="105" s="1"/>
  <c r="Q95" i="105" s="1"/>
  <c r="Q130" i="65"/>
  <c r="Q159" i="65" s="1"/>
  <c r="Q64" i="105" s="1"/>
  <c r="Q105" i="105" s="1"/>
  <c r="Q38" i="82"/>
  <c r="Q139" i="65"/>
  <c r="Q168" i="65" s="1"/>
  <c r="Q73" i="105" s="1"/>
  <c r="Q115" i="105" s="1"/>
  <c r="AJ140" i="65"/>
  <c r="AJ169" i="65" s="1"/>
  <c r="AJ74" i="105" s="1"/>
  <c r="AJ116" i="105" s="1"/>
  <c r="AJ131" i="65"/>
  <c r="AJ160" i="65" s="1"/>
  <c r="AJ65" i="105" s="1"/>
  <c r="AJ106" i="105" s="1"/>
  <c r="AJ122" i="65"/>
  <c r="AJ151" i="65" s="1"/>
  <c r="AJ56" i="105" s="1"/>
  <c r="AJ96" i="105" s="1"/>
  <c r="AJ39" i="82"/>
  <c r="AL140" i="65"/>
  <c r="AL169" i="65" s="1"/>
  <c r="AL74" i="105" s="1"/>
  <c r="AL116" i="105" s="1"/>
  <c r="AK39" i="82"/>
  <c r="AL122" i="65"/>
  <c r="AL151" i="65" s="1"/>
  <c r="AL56" i="105" s="1"/>
  <c r="AL96" i="105" s="1"/>
  <c r="R277" i="41"/>
  <c r="R282" i="41" s="1"/>
  <c r="L277" i="41"/>
  <c r="L282" i="41" s="1"/>
  <c r="AJ277" i="41"/>
  <c r="AJ282" i="41" s="1"/>
  <c r="AM277" i="41"/>
  <c r="AM282" i="41" s="1"/>
  <c r="Q277" i="41"/>
  <c r="Q282" i="41" s="1"/>
  <c r="AO277" i="41"/>
  <c r="AO282" i="41" s="1"/>
  <c r="K277" i="41"/>
  <c r="K282" i="41" s="1"/>
  <c r="AI277" i="41"/>
  <c r="AI282" i="41" s="1"/>
  <c r="AH277" i="41"/>
  <c r="AH282" i="41" s="1"/>
  <c r="AB277" i="41"/>
  <c r="AB282" i="41" s="1"/>
  <c r="AN277" i="41"/>
  <c r="AN282" i="41" s="1"/>
  <c r="AK277" i="41"/>
  <c r="AK282" i="41" s="1"/>
  <c r="AL277" i="41"/>
  <c r="AL282" i="41" s="1"/>
  <c r="W277" i="41"/>
  <c r="W282" i="41" s="1"/>
  <c r="AH40" i="82"/>
  <c r="AH132" i="65"/>
  <c r="AH161" i="65" s="1"/>
  <c r="AH66" i="105" s="1"/>
  <c r="AH107" i="105" s="1"/>
  <c r="AH141" i="65"/>
  <c r="AH170" i="65" s="1"/>
  <c r="AH75" i="105" s="1"/>
  <c r="AH117" i="105" s="1"/>
  <c r="AH123" i="65"/>
  <c r="AH152" i="65" s="1"/>
  <c r="AH57" i="105" s="1"/>
  <c r="AH97" i="105" s="1"/>
  <c r="AM102" i="105"/>
  <c r="AG298" i="41"/>
  <c r="AB122" i="65"/>
  <c r="AB151" i="65" s="1"/>
  <c r="AB56" i="105" s="1"/>
  <c r="AB96" i="105" s="1"/>
  <c r="AB140" i="65"/>
  <c r="AB169" i="65" s="1"/>
  <c r="AB74" i="105" s="1"/>
  <c r="AB39" i="82"/>
  <c r="Q40" i="82"/>
  <c r="Q123" i="65"/>
  <c r="Q152" i="65" s="1"/>
  <c r="Q57" i="105" s="1"/>
  <c r="Q97" i="105" s="1"/>
  <c r="Q141" i="65"/>
  <c r="Q170" i="65" s="1"/>
  <c r="Q75" i="105" s="1"/>
  <c r="Q117" i="105" s="1"/>
  <c r="Q132" i="65"/>
  <c r="Q161" i="65" s="1"/>
  <c r="Q66" i="105" s="1"/>
  <c r="Q107" i="105" s="1"/>
  <c r="AJ40" i="82"/>
  <c r="AJ132" i="65"/>
  <c r="AJ161" i="65" s="1"/>
  <c r="AJ66" i="105" s="1"/>
  <c r="AJ107" i="105" s="1"/>
  <c r="AJ123" i="65"/>
  <c r="AJ152" i="65" s="1"/>
  <c r="AJ57" i="105" s="1"/>
  <c r="AJ97" i="105" s="1"/>
  <c r="AJ141" i="65"/>
  <c r="AJ170" i="65" s="1"/>
  <c r="AJ75" i="105" s="1"/>
  <c r="AJ117" i="105" s="1"/>
  <c r="AI139" i="65"/>
  <c r="AI168" i="65" s="1"/>
  <c r="AI73" i="105" s="1"/>
  <c r="AI115" i="105" s="1"/>
  <c r="AI121" i="65"/>
  <c r="AI150" i="65" s="1"/>
  <c r="AI55" i="105" s="1"/>
  <c r="AI95" i="105" s="1"/>
  <c r="AI38" i="82"/>
  <c r="AK38" i="82"/>
  <c r="AL139" i="65"/>
  <c r="AL168" i="65" s="1"/>
  <c r="AL73" i="105" s="1"/>
  <c r="AL115" i="105" s="1"/>
  <c r="AL121" i="65"/>
  <c r="AL150" i="65" s="1"/>
  <c r="AL55" i="105" s="1"/>
  <c r="AL95" i="105" s="1"/>
  <c r="W39" i="82"/>
  <c r="W140" i="65"/>
  <c r="W169" i="65" s="1"/>
  <c r="W74" i="105" s="1"/>
  <c r="W122" i="65"/>
  <c r="W151" i="65" s="1"/>
  <c r="W56" i="105" s="1"/>
  <c r="W96" i="105" s="1"/>
  <c r="AH38" i="82"/>
  <c r="AH121" i="65"/>
  <c r="AH150" i="65" s="1"/>
  <c r="AH55" i="105" s="1"/>
  <c r="AH95" i="105" s="1"/>
  <c r="AH139" i="65"/>
  <c r="AH168" i="65" s="1"/>
  <c r="AH73" i="105" s="1"/>
  <c r="AH115" i="105" s="1"/>
  <c r="AH130" i="65"/>
  <c r="AH159" i="65" s="1"/>
  <c r="AH64" i="105" s="1"/>
  <c r="AH105" i="105" s="1"/>
  <c r="L132" i="65"/>
  <c r="L161" i="65" s="1"/>
  <c r="L66" i="105" s="1"/>
  <c r="L141" i="65"/>
  <c r="L170" i="65" s="1"/>
  <c r="L75" i="105" s="1"/>
  <c r="L123" i="65"/>
  <c r="L152" i="65" s="1"/>
  <c r="L57" i="105" s="1"/>
  <c r="L97" i="105" s="1"/>
  <c r="L40" i="82"/>
  <c r="AK40" i="82"/>
  <c r="AL123" i="65"/>
  <c r="AL152" i="65" s="1"/>
  <c r="AL57" i="105" s="1"/>
  <c r="AL97" i="105" s="1"/>
  <c r="AL141" i="65"/>
  <c r="AL170" i="65" s="1"/>
  <c r="AL75" i="105" s="1"/>
  <c r="AL117" i="105" s="1"/>
  <c r="W40" i="82"/>
  <c r="W123" i="65"/>
  <c r="W152" i="65" s="1"/>
  <c r="W57" i="105" s="1"/>
  <c r="W97" i="105" s="1"/>
  <c r="W141" i="65"/>
  <c r="W170" i="65" s="1"/>
  <c r="W75" i="105" s="1"/>
  <c r="AB40" i="82"/>
  <c r="AB123" i="65"/>
  <c r="AB152" i="65" s="1"/>
  <c r="AB57" i="105" s="1"/>
  <c r="AB97" i="105" s="1"/>
  <c r="AB141" i="65"/>
  <c r="AB170" i="65" s="1"/>
  <c r="AB75" i="105" s="1"/>
  <c r="R139" i="65"/>
  <c r="R168" i="65" s="1"/>
  <c r="R73" i="105" s="1"/>
  <c r="R38" i="82"/>
  <c r="R121" i="65"/>
  <c r="R150" i="65" s="1"/>
  <c r="R55" i="105" s="1"/>
  <c r="R95" i="105" s="1"/>
  <c r="R130" i="65"/>
  <c r="R159" i="65" s="1"/>
  <c r="R64" i="105" s="1"/>
  <c r="L139" i="65"/>
  <c r="L168" i="65" s="1"/>
  <c r="L73" i="105" s="1"/>
  <c r="L38" i="82"/>
  <c r="L130" i="65"/>
  <c r="L159" i="65" s="1"/>
  <c r="L64" i="105" s="1"/>
  <c r="L121" i="65"/>
  <c r="L150" i="65" s="1"/>
  <c r="L55" i="105" s="1"/>
  <c r="L95" i="105" s="1"/>
  <c r="L298" i="41" l="1"/>
  <c r="L304" i="41" s="1"/>
  <c r="L391" i="41" s="1"/>
  <c r="L395" i="41" s="1"/>
  <c r="AO330" i="41"/>
  <c r="AB330" i="41"/>
  <c r="W330" i="41"/>
  <c r="AM330" i="41"/>
  <c r="AH122" i="105"/>
  <c r="AH148" i="105" s="1"/>
  <c r="AH112" i="105"/>
  <c r="AH147" i="105" s="1"/>
  <c r="AI330" i="41"/>
  <c r="AI298" i="41"/>
  <c r="AI304" i="41" s="1"/>
  <c r="AI391" i="41" s="1"/>
  <c r="AI395" i="41" s="1"/>
  <c r="AB102" i="105"/>
  <c r="AB146" i="105" s="1"/>
  <c r="AB69" i="82" s="1"/>
  <c r="L102" i="105"/>
  <c r="L146" i="105" s="1"/>
  <c r="L69" i="82" s="1"/>
  <c r="K298" i="41"/>
  <c r="K304" i="41" s="1"/>
  <c r="K391" i="41" s="1"/>
  <c r="K395" i="41" s="1"/>
  <c r="AO298" i="41"/>
  <c r="AO304" i="41" s="1"/>
  <c r="AO391" i="41" s="1"/>
  <c r="AO395" i="41" s="1"/>
  <c r="K330" i="41"/>
  <c r="R330" i="41"/>
  <c r="L330" i="41"/>
  <c r="AB298" i="41"/>
  <c r="AB304" i="41" s="1"/>
  <c r="AB391" i="41" s="1"/>
  <c r="AB395" i="41" s="1"/>
  <c r="AH298" i="41"/>
  <c r="AH304" i="41" s="1"/>
  <c r="AH391" i="41" s="1"/>
  <c r="AH395" i="41" s="1"/>
  <c r="AJ330" i="41"/>
  <c r="L116" i="105"/>
  <c r="L194" i="105"/>
  <c r="AB193" i="105"/>
  <c r="AB115" i="105"/>
  <c r="L182" i="105"/>
  <c r="L105" i="105"/>
  <c r="R116" i="105"/>
  <c r="R194" i="105"/>
  <c r="Q298" i="41"/>
  <c r="Q122" i="105"/>
  <c r="AN194" i="105"/>
  <c r="AN116" i="105"/>
  <c r="L174" i="105"/>
  <c r="L71" i="82" s="1"/>
  <c r="AJ298" i="41"/>
  <c r="AJ304" i="41" s="1"/>
  <c r="AJ391" i="41" s="1"/>
  <c r="AJ395" i="41" s="1"/>
  <c r="Q112" i="105"/>
  <c r="R183" i="105"/>
  <c r="R106" i="105"/>
  <c r="AG304" i="41"/>
  <c r="AG391" i="41" s="1"/>
  <c r="AG300" i="41"/>
  <c r="AG302" i="41" s="1"/>
  <c r="L115" i="105"/>
  <c r="L193" i="105"/>
  <c r="AM298" i="41"/>
  <c r="AM304" i="41" s="1"/>
  <c r="AM391" i="41" s="1"/>
  <c r="AM395" i="41" s="1"/>
  <c r="Q102" i="105"/>
  <c r="AN102" i="105"/>
  <c r="AL102" i="105"/>
  <c r="R298" i="41"/>
  <c r="R304" i="41" s="1"/>
  <c r="R391" i="41" s="1"/>
  <c r="R395" i="41" s="1"/>
  <c r="AN193" i="105"/>
  <c r="AN115" i="105"/>
  <c r="AH102" i="105"/>
  <c r="AH330" i="41"/>
  <c r="AL364" i="41"/>
  <c r="AL366" i="41" s="1"/>
  <c r="AL368" i="41" s="1"/>
  <c r="AL393" i="41" s="1"/>
  <c r="AB364" i="41"/>
  <c r="AB366" i="41" s="1"/>
  <c r="AB368" i="41" s="1"/>
  <c r="AB393" i="41" s="1"/>
  <c r="AH364" i="41"/>
  <c r="AH366" i="41" s="1"/>
  <c r="AH368" i="41" s="1"/>
  <c r="AH393" i="41" s="1"/>
  <c r="AI364" i="41"/>
  <c r="AI366" i="41" s="1"/>
  <c r="AI368" i="41" s="1"/>
  <c r="AI393" i="41" s="1"/>
  <c r="AM364" i="41"/>
  <c r="AM366" i="41" s="1"/>
  <c r="AM368" i="41" s="1"/>
  <c r="AM393" i="41" s="1"/>
  <c r="AK364" i="41"/>
  <c r="AK366" i="41" s="1"/>
  <c r="AK368" i="41" s="1"/>
  <c r="AK393" i="41" s="1"/>
  <c r="W364" i="41"/>
  <c r="W366" i="41" s="1"/>
  <c r="W368" i="41" s="1"/>
  <c r="W393" i="41" s="1"/>
  <c r="AN364" i="41"/>
  <c r="AN366" i="41" s="1"/>
  <c r="AN368" i="41" s="1"/>
  <c r="AN393" i="41" s="1"/>
  <c r="Q364" i="41"/>
  <c r="Q366" i="41" s="1"/>
  <c r="Q368" i="41" s="1"/>
  <c r="Q393" i="41" s="1"/>
  <c r="AO364" i="41"/>
  <c r="AO366" i="41" s="1"/>
  <c r="AO368" i="41" s="1"/>
  <c r="AO393" i="41" s="1"/>
  <c r="AJ364" i="41"/>
  <c r="AJ366" i="41" s="1"/>
  <c r="AJ368" i="41" s="1"/>
  <c r="AJ393" i="41" s="1"/>
  <c r="R364" i="41"/>
  <c r="R366" i="41" s="1"/>
  <c r="R368" i="41" s="1"/>
  <c r="R393" i="41" s="1"/>
  <c r="K364" i="41"/>
  <c r="K366" i="41" s="1"/>
  <c r="K368" i="41" s="1"/>
  <c r="K393" i="41" s="1"/>
  <c r="L364" i="41"/>
  <c r="L366" i="41" s="1"/>
  <c r="L368" i="41" s="1"/>
  <c r="L393" i="41" s="1"/>
  <c r="AN195" i="105"/>
  <c r="AN117" i="105"/>
  <c r="L195" i="105"/>
  <c r="L117" i="105"/>
  <c r="R182" i="105"/>
  <c r="R105" i="105"/>
  <c r="AL122" i="105"/>
  <c r="AB117" i="105"/>
  <c r="AB195" i="105"/>
  <c r="AL330" i="41"/>
  <c r="AI102" i="105"/>
  <c r="W298" i="41"/>
  <c r="W304" i="41" s="1"/>
  <c r="W391" i="41" s="1"/>
  <c r="W395" i="41" s="1"/>
  <c r="AJ102" i="105"/>
  <c r="AI122" i="105"/>
  <c r="AB116" i="105"/>
  <c r="AB194" i="105"/>
  <c r="AL298" i="41"/>
  <c r="AL304" i="41" s="1"/>
  <c r="AL391" i="41" s="1"/>
  <c r="AL395" i="41" s="1"/>
  <c r="AK330" i="41"/>
  <c r="AJ112" i="105"/>
  <c r="W116" i="105"/>
  <c r="W194" i="105"/>
  <c r="L184" i="105"/>
  <c r="L107" i="105"/>
  <c r="Q330" i="41"/>
  <c r="AJ122" i="105"/>
  <c r="W102" i="105"/>
  <c r="L183" i="105"/>
  <c r="L106" i="105"/>
  <c r="R102" i="105"/>
  <c r="R115" i="105"/>
  <c r="R193" i="105"/>
  <c r="W195" i="105"/>
  <c r="W117" i="105"/>
  <c r="AK298" i="41"/>
  <c r="AK304" i="41" s="1"/>
  <c r="AK391" i="41" s="1"/>
  <c r="AK395" i="41" s="1"/>
  <c r="R117" i="105"/>
  <c r="R195" i="105"/>
  <c r="AN298" i="41"/>
  <c r="AN304" i="41" s="1"/>
  <c r="AN391" i="41" s="1"/>
  <c r="AN395" i="41" s="1"/>
  <c r="R107" i="105"/>
  <c r="R184" i="105"/>
  <c r="AN330" i="41"/>
  <c r="W115" i="105"/>
  <c r="W193" i="105"/>
  <c r="L140" i="105" l="1"/>
  <c r="AB174" i="105"/>
  <c r="AB71" i="82" s="1"/>
  <c r="AB140" i="105"/>
  <c r="AB68" i="82" s="1"/>
  <c r="L189" i="105"/>
  <c r="L206" i="105" s="1"/>
  <c r="L79" i="82" s="1"/>
  <c r="AM300" i="41"/>
  <c r="AM302" i="41" s="1"/>
  <c r="AL332" i="41"/>
  <c r="AL334" i="41" s="1"/>
  <c r="AL336" i="41" s="1"/>
  <c r="AL392" i="41" s="1"/>
  <c r="AI332" i="41"/>
  <c r="AI334" i="41" s="1"/>
  <c r="AI336" i="41" s="1"/>
  <c r="AI392" i="41" s="1"/>
  <c r="L300" i="41"/>
  <c r="L302" i="41" s="1"/>
  <c r="L200" i="105"/>
  <c r="L122" i="105"/>
  <c r="L148" i="105" s="1"/>
  <c r="L332" i="41"/>
  <c r="L334" i="41" s="1"/>
  <c r="L336" i="41" s="1"/>
  <c r="L392" i="41" s="1"/>
  <c r="K332" i="41"/>
  <c r="K334" i="41" s="1"/>
  <c r="K336" i="41" s="1"/>
  <c r="K392" i="41" s="1"/>
  <c r="R332" i="41"/>
  <c r="R334" i="41" s="1"/>
  <c r="R336" i="41" s="1"/>
  <c r="R392" i="41" s="1"/>
  <c r="AN332" i="41"/>
  <c r="AN334" i="41" s="1"/>
  <c r="AN336" i="41" s="1"/>
  <c r="AN392" i="41" s="1"/>
  <c r="AO300" i="41"/>
  <c r="AO302" i="41" s="1"/>
  <c r="L112" i="105"/>
  <c r="L141" i="105" s="1"/>
  <c r="AJ148" i="105"/>
  <c r="AJ142" i="105"/>
  <c r="AI300" i="41"/>
  <c r="AI302" i="41" s="1"/>
  <c r="L68" i="82"/>
  <c r="W332" i="41"/>
  <c r="W334" i="41" s="1"/>
  <c r="W336" i="41" s="1"/>
  <c r="W392" i="41" s="1"/>
  <c r="Q300" i="41"/>
  <c r="Q302" i="41" s="1"/>
  <c r="AO332" i="41"/>
  <c r="AO334" i="41" s="1"/>
  <c r="AO336" i="41" s="1"/>
  <c r="AO392" i="41" s="1"/>
  <c r="AB122" i="105"/>
  <c r="AH300" i="41"/>
  <c r="AH302" i="41" s="1"/>
  <c r="AN146" i="105"/>
  <c r="AL69" i="82" s="1"/>
  <c r="AN174" i="105"/>
  <c r="AL71" i="82" s="1"/>
  <c r="AN140" i="105"/>
  <c r="W200" i="105"/>
  <c r="R300" i="41"/>
  <c r="R302" i="41" s="1"/>
  <c r="Q304" i="41"/>
  <c r="Q391" i="41" s="1"/>
  <c r="Q395" i="41" s="1"/>
  <c r="W122" i="105"/>
  <c r="AJ147" i="105"/>
  <c r="AJ141" i="105"/>
  <c r="R112" i="105"/>
  <c r="AB300" i="41"/>
  <c r="AB302" i="41" s="1"/>
  <c r="AK332" i="41"/>
  <c r="AK334" i="41" s="1"/>
  <c r="AK336" i="41" s="1"/>
  <c r="AK392" i="41" s="1"/>
  <c r="R189" i="105"/>
  <c r="AN122" i="105"/>
  <c r="AJ300" i="41"/>
  <c r="AJ302" i="41" s="1"/>
  <c r="Q146" i="105"/>
  <c r="Q69" i="82" s="1"/>
  <c r="Q174" i="105"/>
  <c r="Q71" i="82" s="1"/>
  <c r="AJ332" i="41"/>
  <c r="AJ334" i="41" s="1"/>
  <c r="AJ336" i="41" s="1"/>
  <c r="AJ392" i="41" s="1"/>
  <c r="AN200" i="105"/>
  <c r="W300" i="41"/>
  <c r="W302" i="41" s="1"/>
  <c r="AH332" i="41"/>
  <c r="AH334" i="41" s="1"/>
  <c r="AH336" i="41" s="1"/>
  <c r="AH392" i="41" s="1"/>
  <c r="W146" i="105"/>
  <c r="W69" i="82" s="1"/>
  <c r="W140" i="105"/>
  <c r="W174" i="105"/>
  <c r="W71" i="82" s="1"/>
  <c r="R200" i="105"/>
  <c r="AI146" i="105"/>
  <c r="AI69" i="82" s="1"/>
  <c r="AI174" i="105"/>
  <c r="AI71" i="82" s="1"/>
  <c r="K300" i="41"/>
  <c r="K302" i="41" s="1"/>
  <c r="AB332" i="41"/>
  <c r="AB334" i="41" s="1"/>
  <c r="AB336" i="41" s="1"/>
  <c r="AB392" i="41" s="1"/>
  <c r="R122" i="105"/>
  <c r="AN300" i="41"/>
  <c r="AN302" i="41" s="1"/>
  <c r="Q332" i="41"/>
  <c r="Q334" i="41" s="1"/>
  <c r="Q336" i="41" s="1"/>
  <c r="Q392" i="41" s="1"/>
  <c r="AM332" i="41"/>
  <c r="AM334" i="41" s="1"/>
  <c r="AM336" i="41" s="1"/>
  <c r="AM392" i="41" s="1"/>
  <c r="AH174" i="105"/>
  <c r="AH71" i="82" s="1"/>
  <c r="AH146" i="105"/>
  <c r="AH69" i="82" s="1"/>
  <c r="R174" i="105"/>
  <c r="R71" i="82" s="1"/>
  <c r="R140" i="105"/>
  <c r="R146" i="105"/>
  <c r="R69" i="82" s="1"/>
  <c r="AK300" i="41"/>
  <c r="AK302" i="41" s="1"/>
  <c r="AL300" i="41"/>
  <c r="AL302" i="41" s="1"/>
  <c r="AB200" i="105"/>
  <c r="AJ146" i="105"/>
  <c r="AJ69" i="82" s="1"/>
  <c r="AJ174" i="105"/>
  <c r="AJ71" i="82" s="1"/>
  <c r="L207" i="105" l="1"/>
  <c r="L80" i="82" s="1"/>
  <c r="AB207" i="105"/>
  <c r="AB80" i="82" s="1"/>
  <c r="AB206" i="105"/>
  <c r="L147" i="105"/>
  <c r="L142" i="105"/>
  <c r="AN207" i="105"/>
  <c r="AL80" i="82" s="1"/>
  <c r="AL68" i="82"/>
  <c r="W207" i="105"/>
  <c r="W80" i="82" s="1"/>
  <c r="W68" i="82"/>
  <c r="W206" i="105"/>
  <c r="R207" i="105"/>
  <c r="R80" i="82" s="1"/>
  <c r="R68" i="82"/>
  <c r="R206" i="105"/>
  <c r="R79" i="82" s="1"/>
  <c r="R142" i="105"/>
  <c r="R148" i="105"/>
  <c r="K207" i="41" l="1"/>
  <c r="K414" i="41" s="1"/>
  <c r="K34" i="65" s="1"/>
  <c r="K112" i="65" s="1"/>
  <c r="X142" i="105"/>
  <c r="K147" i="105"/>
  <c r="H86" i="89"/>
  <c r="H61" i="41" s="1"/>
  <c r="H67" i="41" s="1"/>
  <c r="H84" i="41" s="1"/>
  <c r="K123" i="65" l="1"/>
  <c r="K152" i="65" s="1"/>
  <c r="K57" i="105" s="1"/>
  <c r="K97" i="105" s="1"/>
  <c r="K40" i="82"/>
  <c r="K132" i="65"/>
  <c r="K161" i="65" s="1"/>
  <c r="K66" i="105" s="1"/>
  <c r="K107" i="105" s="1"/>
  <c r="K141" i="65"/>
  <c r="K170" i="65" s="1"/>
  <c r="K75" i="105" s="1"/>
  <c r="K117" i="105" s="1"/>
  <c r="K413" i="41"/>
  <c r="K33" i="65" s="1"/>
  <c r="K111" i="65" s="1"/>
  <c r="K412" i="41"/>
  <c r="K32" i="65" s="1"/>
  <c r="K110" i="65" s="1"/>
  <c r="Q190" i="41"/>
  <c r="AL190" i="41"/>
  <c r="L190" i="41"/>
  <c r="AJ190" i="41"/>
  <c r="AH190" i="41"/>
  <c r="AB190" i="41"/>
  <c r="AN190" i="41"/>
  <c r="AO190" i="41"/>
  <c r="AK190" i="41"/>
  <c r="R190" i="41"/>
  <c r="AI190" i="41"/>
  <c r="W190" i="41"/>
  <c r="AM190" i="41"/>
  <c r="K190" i="41"/>
  <c r="H88" i="105"/>
  <c r="H131" i="105" s="1"/>
  <c r="M190" i="41"/>
  <c r="M196" i="41" s="1"/>
  <c r="M198" i="41" s="1"/>
  <c r="AA190" i="41"/>
  <c r="AA196" i="41" s="1"/>
  <c r="AA198" i="41" s="1"/>
  <c r="T190" i="41"/>
  <c r="T196" i="41" s="1"/>
  <c r="T198" i="41" s="1"/>
  <c r="Y190" i="41"/>
  <c r="Y196" i="41" s="1"/>
  <c r="Y198" i="41" s="1"/>
  <c r="S190" i="41"/>
  <c r="S196" i="41" s="1"/>
  <c r="S198" i="41" s="1"/>
  <c r="O190" i="41"/>
  <c r="O196" i="41" s="1"/>
  <c r="O198" i="41" s="1"/>
  <c r="AD190" i="41"/>
  <c r="AD196" i="41" s="1"/>
  <c r="AD198" i="41" s="1"/>
  <c r="V190" i="41"/>
  <c r="V196" i="41" s="1"/>
  <c r="V198" i="41" s="1"/>
  <c r="AE190" i="41"/>
  <c r="AE196" i="41" s="1"/>
  <c r="AE198" i="41" s="1"/>
  <c r="AF190" i="41"/>
  <c r="AF196" i="41" s="1"/>
  <c r="AF198" i="41" s="1"/>
  <c r="N190" i="41"/>
  <c r="N196" i="41" s="1"/>
  <c r="N198" i="41" s="1"/>
  <c r="P190" i="41"/>
  <c r="P196" i="41" s="1"/>
  <c r="P198" i="41" s="1"/>
  <c r="U190" i="41"/>
  <c r="U196" i="41" s="1"/>
  <c r="U198" i="41" s="1"/>
  <c r="Z190" i="41"/>
  <c r="Z196" i="41" s="1"/>
  <c r="Z198" i="41" s="1"/>
  <c r="J190" i="41"/>
  <c r="J196" i="41" s="1"/>
  <c r="J198" i="41" s="1"/>
  <c r="AC190" i="41"/>
  <c r="AC196" i="41" s="1"/>
  <c r="AC198" i="41" s="1"/>
  <c r="X190" i="41"/>
  <c r="X196" i="41" s="1"/>
  <c r="X198" i="41" s="1"/>
  <c r="AG190" i="41"/>
  <c r="AG205" i="41" s="1"/>
  <c r="AG207" i="41" s="1"/>
  <c r="H83" i="105"/>
  <c r="H126" i="105" s="1"/>
  <c r="H113" i="89" a="1"/>
  <c r="H113" i="89" s="1"/>
  <c r="H119" i="89" s="1"/>
  <c r="K121" i="65" l="1"/>
  <c r="K150" i="65" s="1"/>
  <c r="K55" i="105" s="1"/>
  <c r="K95" i="105" s="1"/>
  <c r="K139" i="65"/>
  <c r="K168" i="65" s="1"/>
  <c r="K73" i="105" s="1"/>
  <c r="K115" i="105" s="1"/>
  <c r="K38" i="82"/>
  <c r="K130" i="65"/>
  <c r="K159" i="65" s="1"/>
  <c r="K64" i="105" s="1"/>
  <c r="K105" i="105" s="1"/>
  <c r="K140" i="65"/>
  <c r="K169" i="65" s="1"/>
  <c r="K74" i="105" s="1"/>
  <c r="K116" i="105" s="1"/>
  <c r="K122" i="65"/>
  <c r="K151" i="65" s="1"/>
  <c r="K56" i="105" s="1"/>
  <c r="K96" i="105" s="1"/>
  <c r="K39" i="82"/>
  <c r="K131" i="65"/>
  <c r="K160" i="65" s="1"/>
  <c r="K65" i="105" s="1"/>
  <c r="K106" i="105" s="1"/>
  <c r="M224" i="41"/>
  <c r="M415" i="41" s="1"/>
  <c r="M35" i="65" s="1"/>
  <c r="M113" i="65" s="1"/>
  <c r="AC224" i="41"/>
  <c r="AC415" i="41" s="1"/>
  <c r="AC35" i="65" s="1"/>
  <c r="AC113" i="65" s="1"/>
  <c r="Z224" i="41"/>
  <c r="Z415" i="41" s="1"/>
  <c r="Z35" i="65" s="1"/>
  <c r="Z113" i="65" s="1"/>
  <c r="O224" i="41"/>
  <c r="O415" i="41" s="1"/>
  <c r="O35" i="65" s="1"/>
  <c r="O113" i="65" s="1"/>
  <c r="V224" i="41"/>
  <c r="V415" i="41" s="1"/>
  <c r="V35" i="65" s="1"/>
  <c r="V113" i="65" s="1"/>
  <c r="X224" i="41"/>
  <c r="X415" i="41" s="1"/>
  <c r="X35" i="65" s="1"/>
  <c r="X113" i="65" s="1"/>
  <c r="J224" i="41"/>
  <c r="J226" i="41" s="1"/>
  <c r="J228" i="41" s="1"/>
  <c r="U224" i="41"/>
  <c r="U415" i="41" s="1"/>
  <c r="U35" i="65" s="1"/>
  <c r="U113" i="65" s="1"/>
  <c r="P224" i="41"/>
  <c r="P415" i="41" s="1"/>
  <c r="P35" i="65" s="1"/>
  <c r="P113" i="65" s="1"/>
  <c r="N224" i="41"/>
  <c r="N415" i="41" s="1"/>
  <c r="N35" i="65" s="1"/>
  <c r="N113" i="65" s="1"/>
  <c r="AF224" i="41"/>
  <c r="AF415" i="41" s="1"/>
  <c r="AF35" i="65" s="1"/>
  <c r="AF113" i="65" s="1"/>
  <c r="AE224" i="41"/>
  <c r="AE415" i="41" s="1"/>
  <c r="AE35" i="65" s="1"/>
  <c r="AE113" i="65" s="1"/>
  <c r="AD224" i="41"/>
  <c r="AD415" i="41" s="1"/>
  <c r="AD35" i="65" s="1"/>
  <c r="AD113" i="65" s="1"/>
  <c r="S224" i="41"/>
  <c r="S415" i="41" s="1"/>
  <c r="S35" i="65" s="1"/>
  <c r="S113" i="65" s="1"/>
  <c r="Y224" i="41"/>
  <c r="Y415" i="41" s="1"/>
  <c r="Y35" i="65" s="1"/>
  <c r="Y113" i="65" s="1"/>
  <c r="A4" i="89"/>
  <c r="J45" i="55"/>
  <c r="T224" i="41"/>
  <c r="T415" i="41" s="1"/>
  <c r="T35" i="65" s="1"/>
  <c r="T113" i="65" s="1"/>
  <c r="AG414" i="41"/>
  <c r="AG34" i="65" s="1"/>
  <c r="AG112" i="65" s="1"/>
  <c r="AG413" i="41"/>
  <c r="AG33" i="65" s="1"/>
  <c r="AG111" i="65" s="1"/>
  <c r="AG412" i="41"/>
  <c r="AG32" i="65" s="1"/>
  <c r="AG110" i="65" s="1"/>
  <c r="AA224" i="41"/>
  <c r="AA415" i="41" s="1"/>
  <c r="AA35" i="65" s="1"/>
  <c r="AA113" i="65" s="1"/>
  <c r="V226" i="41" l="1"/>
  <c r="V228" i="41" s="1"/>
  <c r="T226" i="41"/>
  <c r="T228" i="41" s="1"/>
  <c r="M226" i="41"/>
  <c r="M228" i="41" s="1"/>
  <c r="M237" i="41" s="1"/>
  <c r="O226" i="41"/>
  <c r="O228" i="41" s="1"/>
  <c r="O293" i="41" s="1"/>
  <c r="O295" i="41" s="1"/>
  <c r="AA226" i="41"/>
  <c r="AA228" i="41" s="1"/>
  <c r="V293" i="41" s="1"/>
  <c r="V295" i="41" s="1"/>
  <c r="U226" i="41"/>
  <c r="U228" i="41" s="1"/>
  <c r="U424" i="41" s="1"/>
  <c r="K112" i="105"/>
  <c r="Z226" i="41"/>
  <c r="Z228" i="41" s="1"/>
  <c r="Z237" i="41" s="1"/>
  <c r="K122" i="105"/>
  <c r="AC226" i="41"/>
  <c r="AC228" i="41" s="1"/>
  <c r="AC293" i="41" s="1"/>
  <c r="AC295" i="41" s="1"/>
  <c r="K102" i="105"/>
  <c r="Y226" i="41"/>
  <c r="Y228" i="41" s="1"/>
  <c r="X226" i="41"/>
  <c r="X228" i="41" s="1"/>
  <c r="Y142" i="65"/>
  <c r="Y171" i="65" s="1"/>
  <c r="Y124" i="65"/>
  <c r="Y153" i="65" s="1"/>
  <c r="Y41" i="82"/>
  <c r="S142" i="65"/>
  <c r="S171" i="65" s="1"/>
  <c r="S133" i="65"/>
  <c r="S162" i="65" s="1"/>
  <c r="S124" i="65"/>
  <c r="S153" i="65" s="1"/>
  <c r="S41" i="82"/>
  <c r="AD226" i="41"/>
  <c r="AD228" i="41" s="1"/>
  <c r="N133" i="65"/>
  <c r="N162" i="65" s="1"/>
  <c r="N142" i="65"/>
  <c r="N171" i="65" s="1"/>
  <c r="N124" i="65"/>
  <c r="N153" i="65" s="1"/>
  <c r="N41" i="82"/>
  <c r="J424" i="41"/>
  <c r="J293" i="41"/>
  <c r="J295" i="41" s="1"/>
  <c r="J237" i="41"/>
  <c r="S226" i="41"/>
  <c r="S228" i="41" s="1"/>
  <c r="AD142" i="65"/>
  <c r="AD171" i="65" s="1"/>
  <c r="AD124" i="65"/>
  <c r="AD153" i="65" s="1"/>
  <c r="AD41" i="82"/>
  <c r="AF142" i="65"/>
  <c r="AF171" i="65" s="1"/>
  <c r="AF124" i="65"/>
  <c r="AF153" i="65" s="1"/>
  <c r="AF41" i="82"/>
  <c r="N226" i="41"/>
  <c r="N228" i="41" s="1"/>
  <c r="T424" i="41"/>
  <c r="T237" i="41"/>
  <c r="AC142" i="65"/>
  <c r="AC171" i="65" s="1"/>
  <c r="AC124" i="65"/>
  <c r="AC153" i="65" s="1"/>
  <c r="AC41" i="82"/>
  <c r="X142" i="65"/>
  <c r="X171" i="65" s="1"/>
  <c r="X124" i="65"/>
  <c r="X153" i="65" s="1"/>
  <c r="X41" i="82"/>
  <c r="V133" i="65"/>
  <c r="V162" i="65" s="1"/>
  <c r="V142" i="65"/>
  <c r="V171" i="65" s="1"/>
  <c r="V124" i="65"/>
  <c r="V153" i="65" s="1"/>
  <c r="V41" i="82"/>
  <c r="AA142" i="65"/>
  <c r="AA171" i="65" s="1"/>
  <c r="AA124" i="65"/>
  <c r="AA153" i="65" s="1"/>
  <c r="AA41" i="82"/>
  <c r="AG130" i="65"/>
  <c r="AG159" i="65" s="1"/>
  <c r="AG139" i="65"/>
  <c r="AG168" i="65" s="1"/>
  <c r="AG121" i="65"/>
  <c r="AG150" i="65" s="1"/>
  <c r="AG38" i="82"/>
  <c r="Z142" i="65"/>
  <c r="Z171" i="65" s="1"/>
  <c r="Z124" i="65"/>
  <c r="Z153" i="65" s="1"/>
  <c r="Z41" i="82"/>
  <c r="AG141" i="65"/>
  <c r="AG170" i="65" s="1"/>
  <c r="AG132" i="65"/>
  <c r="AG161" i="65" s="1"/>
  <c r="AG123" i="65"/>
  <c r="AG152" i="65" s="1"/>
  <c r="AG40" i="82"/>
  <c r="P124" i="65"/>
  <c r="P153" i="65" s="1"/>
  <c r="P142" i="65"/>
  <c r="P171" i="65" s="1"/>
  <c r="P133" i="65"/>
  <c r="P162" i="65" s="1"/>
  <c r="P41" i="82"/>
  <c r="T133" i="65"/>
  <c r="T162" i="65" s="1"/>
  <c r="T124" i="65"/>
  <c r="T153" i="65" s="1"/>
  <c r="T142" i="65"/>
  <c r="T171" i="65" s="1"/>
  <c r="T41" i="82"/>
  <c r="P226" i="41"/>
  <c r="P228" i="41" s="1"/>
  <c r="J415" i="41"/>
  <c r="J35" i="65" s="1"/>
  <c r="J113" i="65" s="1"/>
  <c r="V424" i="41"/>
  <c r="V237" i="41"/>
  <c r="AE124" i="65"/>
  <c r="AE153" i="65" s="1"/>
  <c r="AE142" i="65"/>
  <c r="AE171" i="65" s="1"/>
  <c r="AE41" i="82"/>
  <c r="AE226" i="41"/>
  <c r="AE228" i="41" s="1"/>
  <c r="O133" i="65"/>
  <c r="O162" i="65" s="1"/>
  <c r="O124" i="65"/>
  <c r="O153" i="65" s="1"/>
  <c r="O142" i="65"/>
  <c r="O171" i="65" s="1"/>
  <c r="O41" i="82"/>
  <c r="AF226" i="41"/>
  <c r="AF228" i="41" s="1"/>
  <c r="AG140" i="65"/>
  <c r="AG169" i="65" s="1"/>
  <c r="AG131" i="65"/>
  <c r="AG160" i="65" s="1"/>
  <c r="AG122" i="65"/>
  <c r="AG151" i="65" s="1"/>
  <c r="AG39" i="82"/>
  <c r="U142" i="65"/>
  <c r="U171" i="65" s="1"/>
  <c r="U124" i="65"/>
  <c r="U153" i="65" s="1"/>
  <c r="U133" i="65"/>
  <c r="U162" i="65" s="1"/>
  <c r="U41" i="82"/>
  <c r="M142" i="65"/>
  <c r="M171" i="65" s="1"/>
  <c r="M133" i="65"/>
  <c r="M162" i="65" s="1"/>
  <c r="M124" i="65"/>
  <c r="M153" i="65" s="1"/>
  <c r="M41" i="82"/>
  <c r="AA424" i="41" l="1"/>
  <c r="AA237" i="41"/>
  <c r="AA273" i="41" s="1"/>
  <c r="Y293" i="41"/>
  <c r="Y295" i="41" s="1"/>
  <c r="AA293" i="41"/>
  <c r="AA295" i="41" s="1"/>
  <c r="M293" i="41"/>
  <c r="M295" i="41" s="1"/>
  <c r="M424" i="41"/>
  <c r="O237" i="41"/>
  <c r="O249" i="41" s="1"/>
  <c r="O424" i="41"/>
  <c r="U237" i="41"/>
  <c r="U250" i="41" s="1"/>
  <c r="T293" i="41"/>
  <c r="T295" i="41" s="1"/>
  <c r="AC424" i="41"/>
  <c r="AC237" i="41"/>
  <c r="AC268" i="41" s="1"/>
  <c r="K174" i="105"/>
  <c r="K71" i="82" s="1"/>
  <c r="K146" i="105"/>
  <c r="K69" i="82" s="1"/>
  <c r="Z424" i="41"/>
  <c r="H230" i="41"/>
  <c r="U293" i="41"/>
  <c r="U295" i="41" s="1"/>
  <c r="Z293" i="41"/>
  <c r="Z295" i="41" s="1"/>
  <c r="AG56" i="105"/>
  <c r="AG96" i="105" s="1"/>
  <c r="AG55" i="105"/>
  <c r="AG95" i="105" s="1"/>
  <c r="AG64" i="105"/>
  <c r="S58" i="105"/>
  <c r="S98" i="105" s="1"/>
  <c r="AD424" i="41"/>
  <c r="AD293" i="41"/>
  <c r="AD295" i="41" s="1"/>
  <c r="AD237" i="41"/>
  <c r="J133" i="65"/>
  <c r="J162" i="65" s="1"/>
  <c r="J142" i="65"/>
  <c r="J171" i="65" s="1"/>
  <c r="J124" i="65"/>
  <c r="J153" i="65" s="1"/>
  <c r="J41" i="82"/>
  <c r="AD58" i="105"/>
  <c r="AD98" i="105" s="1"/>
  <c r="S67" i="105"/>
  <c r="U403" i="41"/>
  <c r="U412" i="41" s="1"/>
  <c r="U32" i="65" s="1"/>
  <c r="U110" i="65" s="1"/>
  <c r="S76" i="105"/>
  <c r="P293" i="41"/>
  <c r="P295" i="41" s="1"/>
  <c r="P424" i="41"/>
  <c r="P237" i="41"/>
  <c r="M58" i="105"/>
  <c r="M98" i="105" s="1"/>
  <c r="J269" i="41"/>
  <c r="J273" i="41"/>
  <c r="J278" i="41" s="1"/>
  <c r="J283" i="41" s="1"/>
  <c r="J267" i="41"/>
  <c r="J272" i="41"/>
  <c r="J277" i="41" s="1"/>
  <c r="J282" i="41" s="1"/>
  <c r="J250" i="41"/>
  <c r="J249" i="41"/>
  <c r="J268" i="41"/>
  <c r="J251" i="41"/>
  <c r="J274" i="41"/>
  <c r="J279" i="41" s="1"/>
  <c r="J284" i="41" s="1"/>
  <c r="J362" i="41" s="1"/>
  <c r="J364" i="41" s="1"/>
  <c r="J366" i="41" s="1"/>
  <c r="J368" i="41" s="1"/>
  <c r="J393" i="41" s="1"/>
  <c r="J404" i="41"/>
  <c r="J413" i="41" s="1"/>
  <c r="J33" i="65" s="1"/>
  <c r="J111" i="65" s="1"/>
  <c r="J403" i="41"/>
  <c r="J412" i="41" s="1"/>
  <c r="J32" i="65" s="1"/>
  <c r="J405" i="41"/>
  <c r="J414" i="41" s="1"/>
  <c r="J34" i="65" s="1"/>
  <c r="J112" i="65" s="1"/>
  <c r="T58" i="105"/>
  <c r="T98" i="105" s="1"/>
  <c r="X293" i="41"/>
  <c r="X295" i="41" s="1"/>
  <c r="S424" i="41"/>
  <c r="S293" i="41"/>
  <c r="S295" i="41" s="1"/>
  <c r="S237" i="41"/>
  <c r="P58" i="105"/>
  <c r="P98" i="105" s="1"/>
  <c r="P67" i="105"/>
  <c r="AA58" i="105"/>
  <c r="AA98" i="105" s="1"/>
  <c r="N67" i="105"/>
  <c r="AG73" i="105"/>
  <c r="AC76" i="105"/>
  <c r="O76" i="105"/>
  <c r="U67" i="105"/>
  <c r="O67" i="105"/>
  <c r="AE76" i="105"/>
  <c r="N424" i="41"/>
  <c r="N293" i="41"/>
  <c r="N295" i="41" s="1"/>
  <c r="N237" i="41"/>
  <c r="X58" i="105"/>
  <c r="X98" i="105" s="1"/>
  <c r="AC58" i="105"/>
  <c r="AC98" i="105" s="1"/>
  <c r="AD76" i="105"/>
  <c r="Z250" i="41"/>
  <c r="Z273" i="41"/>
  <c r="Z268" i="41"/>
  <c r="Z251" i="41"/>
  <c r="Z274" i="41"/>
  <c r="Z269" i="41"/>
  <c r="Z249" i="41"/>
  <c r="Z267" i="41"/>
  <c r="Z272" i="41"/>
  <c r="Z405" i="41"/>
  <c r="Z414" i="41" s="1"/>
  <c r="Z34" i="65" s="1"/>
  <c r="Z112" i="65" s="1"/>
  <c r="Z404" i="41"/>
  <c r="Z413" i="41" s="1"/>
  <c r="Z33" i="65" s="1"/>
  <c r="Z111" i="65" s="1"/>
  <c r="Z403" i="41"/>
  <c r="Z412" i="41" s="1"/>
  <c r="Z32" i="65" s="1"/>
  <c r="Z110" i="65" s="1"/>
  <c r="Y58" i="105"/>
  <c r="Y98" i="105" s="1"/>
  <c r="X76" i="105"/>
  <c r="T76" i="105"/>
  <c r="T67" i="105"/>
  <c r="P76" i="105"/>
  <c r="U76" i="105"/>
  <c r="AG57" i="105"/>
  <c r="AG97" i="105" s="1"/>
  <c r="AC267" i="41"/>
  <c r="AE58" i="105"/>
  <c r="AE98" i="105" s="1"/>
  <c r="AG75" i="105"/>
  <c r="V58" i="105"/>
  <c r="V98" i="105" s="1"/>
  <c r="V250" i="41"/>
  <c r="V268" i="41"/>
  <c r="V251" i="41"/>
  <c r="V269" i="41"/>
  <c r="V249" i="41"/>
  <c r="V267" i="41"/>
  <c r="V274" i="41"/>
  <c r="V272" i="41"/>
  <c r="V273" i="41"/>
  <c r="V404" i="41"/>
  <c r="V413" i="41" s="1"/>
  <c r="V33" i="65" s="1"/>
  <c r="V111" i="65" s="1"/>
  <c r="V405" i="41"/>
  <c r="V414" i="41" s="1"/>
  <c r="V34" i="65" s="1"/>
  <c r="V112" i="65" s="1"/>
  <c r="V403" i="41"/>
  <c r="V412" i="41" s="1"/>
  <c r="V32" i="65" s="1"/>
  <c r="V110" i="65" s="1"/>
  <c r="V76" i="105"/>
  <c r="Y76" i="105"/>
  <c r="AF58" i="105"/>
  <c r="AF98" i="105" s="1"/>
  <c r="AF76" i="105"/>
  <c r="M67" i="105"/>
  <c r="AA76" i="105"/>
  <c r="O58" i="105"/>
  <c r="O98" i="105" s="1"/>
  <c r="AA250" i="41"/>
  <c r="AG66" i="105"/>
  <c r="Z58" i="105"/>
  <c r="Z98" i="105" s="1"/>
  <c r="V67" i="105"/>
  <c r="N58" i="105"/>
  <c r="N98" i="105" s="1"/>
  <c r="X424" i="41"/>
  <c r="X237" i="41"/>
  <c r="AG65" i="105"/>
  <c r="AG74" i="105"/>
  <c r="AF424" i="41"/>
  <c r="AF293" i="41"/>
  <c r="AF295" i="41" s="1"/>
  <c r="AF237" i="41"/>
  <c r="M76" i="105"/>
  <c r="T251" i="41"/>
  <c r="T269" i="41"/>
  <c r="T250" i="41"/>
  <c r="T268" i="41"/>
  <c r="T249" i="41"/>
  <c r="T267" i="41"/>
  <c r="T272" i="41"/>
  <c r="T273" i="41"/>
  <c r="T274" i="41"/>
  <c r="T405" i="41"/>
  <c r="T414" i="41" s="1"/>
  <c r="T34" i="65" s="1"/>
  <c r="T112" i="65" s="1"/>
  <c r="T404" i="41"/>
  <c r="T413" i="41" s="1"/>
  <c r="T33" i="65" s="1"/>
  <c r="T111" i="65" s="1"/>
  <c r="T403" i="41"/>
  <c r="T412" i="41" s="1"/>
  <c r="T32" i="65" s="1"/>
  <c r="T110" i="65" s="1"/>
  <c r="U58" i="105"/>
  <c r="U98" i="105" s="1"/>
  <c r="AE424" i="41"/>
  <c r="AE293" i="41"/>
  <c r="AE295" i="41" s="1"/>
  <c r="AE237" i="41"/>
  <c r="M251" i="41"/>
  <c r="M274" i="41"/>
  <c r="M279" i="41" s="1"/>
  <c r="M284" i="41" s="1"/>
  <c r="M362" i="41" s="1"/>
  <c r="M364" i="41" s="1"/>
  <c r="M366" i="41" s="1"/>
  <c r="M368" i="41" s="1"/>
  <c r="M393" i="41" s="1"/>
  <c r="M269" i="41"/>
  <c r="M249" i="41"/>
  <c r="M273" i="41"/>
  <c r="M278" i="41" s="1"/>
  <c r="M283" i="41" s="1"/>
  <c r="M272" i="41"/>
  <c r="M277" i="41" s="1"/>
  <c r="M282" i="41" s="1"/>
  <c r="M267" i="41"/>
  <c r="M250" i="41"/>
  <c r="M268" i="41"/>
  <c r="M403" i="41"/>
  <c r="M412" i="41" s="1"/>
  <c r="M32" i="65" s="1"/>
  <c r="M110" i="65" s="1"/>
  <c r="M405" i="41"/>
  <c r="M414" i="41" s="1"/>
  <c r="M34" i="65" s="1"/>
  <c r="M112" i="65" s="1"/>
  <c r="M404" i="41"/>
  <c r="M413" i="41" s="1"/>
  <c r="M33" i="65" s="1"/>
  <c r="M111" i="65" s="1"/>
  <c r="Z76" i="105"/>
  <c r="N76" i="105"/>
  <c r="Y424" i="41"/>
  <c r="Y237" i="41"/>
  <c r="AC249" i="41" l="1"/>
  <c r="U274" i="41"/>
  <c r="AA267" i="41"/>
  <c r="AA272" i="41"/>
  <c r="AA249" i="41"/>
  <c r="AA269" i="41"/>
  <c r="O274" i="41"/>
  <c r="O279" i="41" s="1"/>
  <c r="O284" i="41" s="1"/>
  <c r="O362" i="41" s="1"/>
  <c r="O364" i="41" s="1"/>
  <c r="O366" i="41" s="1"/>
  <c r="O368" i="41" s="1"/>
  <c r="O393" i="41" s="1"/>
  <c r="O268" i="41"/>
  <c r="AA403" i="41"/>
  <c r="AA412" i="41" s="1"/>
  <c r="AA32" i="65" s="1"/>
  <c r="AA110" i="65" s="1"/>
  <c r="AA139" i="65" s="1"/>
  <c r="AA168" i="65" s="1"/>
  <c r="AC273" i="41"/>
  <c r="AC278" i="41" s="1"/>
  <c r="AC283" i="41" s="1"/>
  <c r="AA404" i="41"/>
  <c r="AA413" i="41" s="1"/>
  <c r="AA33" i="65" s="1"/>
  <c r="AA111" i="65" s="1"/>
  <c r="AA274" i="41"/>
  <c r="AC274" i="41"/>
  <c r="AC279" i="41" s="1"/>
  <c r="AC284" i="41" s="1"/>
  <c r="AC362" i="41" s="1"/>
  <c r="AC364" i="41" s="1"/>
  <c r="AC366" i="41" s="1"/>
  <c r="AC368" i="41" s="1"/>
  <c r="AC393" i="41" s="1"/>
  <c r="O273" i="41"/>
  <c r="O278" i="41" s="1"/>
  <c r="O283" i="41" s="1"/>
  <c r="AC250" i="41"/>
  <c r="O250" i="41"/>
  <c r="AA405" i="41"/>
  <c r="AA414" i="41" s="1"/>
  <c r="AA34" i="65" s="1"/>
  <c r="AA112" i="65" s="1"/>
  <c r="AA268" i="41"/>
  <c r="AC269" i="41"/>
  <c r="AA251" i="41"/>
  <c r="AC251" i="41"/>
  <c r="U404" i="41"/>
  <c r="U413" i="41" s="1"/>
  <c r="U33" i="65" s="1"/>
  <c r="U111" i="65" s="1"/>
  <c r="U140" i="65" s="1"/>
  <c r="U169" i="65" s="1"/>
  <c r="AC272" i="41"/>
  <c r="AC277" i="41" s="1"/>
  <c r="AC282" i="41" s="1"/>
  <c r="U405" i="41"/>
  <c r="U414" i="41" s="1"/>
  <c r="U34" i="65" s="1"/>
  <c r="U112" i="65" s="1"/>
  <c r="U123" i="65" s="1"/>
  <c r="U152" i="65" s="1"/>
  <c r="U273" i="41"/>
  <c r="Z278" i="41" s="1"/>
  <c r="Z283" i="41" s="1"/>
  <c r="U267" i="41"/>
  <c r="U249" i="41"/>
  <c r="AC405" i="41"/>
  <c r="AC414" i="41" s="1"/>
  <c r="AC34" i="65" s="1"/>
  <c r="AC112" i="65" s="1"/>
  <c r="U269" i="41"/>
  <c r="AC404" i="41"/>
  <c r="AC413" i="41" s="1"/>
  <c r="AC33" i="65" s="1"/>
  <c r="AC111" i="65" s="1"/>
  <c r="AC140" i="65" s="1"/>
  <c r="AC169" i="65" s="1"/>
  <c r="U251" i="41"/>
  <c r="AC403" i="41"/>
  <c r="AC412" i="41" s="1"/>
  <c r="AC32" i="65" s="1"/>
  <c r="AC110" i="65" s="1"/>
  <c r="U272" i="41"/>
  <c r="Z277" i="41" s="1"/>
  <c r="Z282" i="41" s="1"/>
  <c r="U268" i="41"/>
  <c r="O272" i="41"/>
  <c r="O277" i="41" s="1"/>
  <c r="O282" i="41" s="1"/>
  <c r="O269" i="41"/>
  <c r="O251" i="41"/>
  <c r="O404" i="41"/>
  <c r="O413" i="41" s="1"/>
  <c r="O33" i="65" s="1"/>
  <c r="O111" i="65" s="1"/>
  <c r="O140" i="65" s="1"/>
  <c r="O169" i="65" s="1"/>
  <c r="O405" i="41"/>
  <c r="O414" i="41" s="1"/>
  <c r="O34" i="65" s="1"/>
  <c r="O112" i="65" s="1"/>
  <c r="O40" i="82" s="1"/>
  <c r="O403" i="41"/>
  <c r="O412" i="41" s="1"/>
  <c r="O32" i="65" s="1"/>
  <c r="O110" i="65" s="1"/>
  <c r="O139" i="65" s="1"/>
  <c r="O168" i="65" s="1"/>
  <c r="O267" i="41"/>
  <c r="H424" i="41"/>
  <c r="J298" i="41"/>
  <c r="J304" i="41" s="1"/>
  <c r="J391" i="41" s="1"/>
  <c r="M298" i="41"/>
  <c r="M300" i="41" s="1"/>
  <c r="M302" i="41" s="1"/>
  <c r="M330" i="41"/>
  <c r="M332" i="41" s="1"/>
  <c r="M334" i="41" s="1"/>
  <c r="M336" i="41" s="1"/>
  <c r="M392" i="41" s="1"/>
  <c r="AG194" i="105"/>
  <c r="AG116" i="105"/>
  <c r="AC121" i="65"/>
  <c r="AC150" i="65" s="1"/>
  <c r="AC139" i="65"/>
  <c r="AC168" i="65" s="1"/>
  <c r="AC38" i="82"/>
  <c r="J122" i="65"/>
  <c r="J151" i="65" s="1"/>
  <c r="J140" i="65"/>
  <c r="J169" i="65" s="1"/>
  <c r="J131" i="65"/>
  <c r="J160" i="65" s="1"/>
  <c r="J39" i="82"/>
  <c r="U108" i="105"/>
  <c r="U185" i="105"/>
  <c r="Z279" i="41"/>
  <c r="Z284" i="41" s="1"/>
  <c r="Z362" i="41" s="1"/>
  <c r="U279" i="41"/>
  <c r="U284" i="41" s="1"/>
  <c r="U362" i="41" s="1"/>
  <c r="J110" i="65"/>
  <c r="AA279" i="41"/>
  <c r="AA284" i="41" s="1"/>
  <c r="AA362" i="41" s="1"/>
  <c r="V279" i="41"/>
  <c r="V284" i="41" s="1"/>
  <c r="V362" i="41" s="1"/>
  <c r="O185" i="105"/>
  <c r="O108" i="105"/>
  <c r="U139" i="65"/>
  <c r="U168" i="65" s="1"/>
  <c r="U130" i="65"/>
  <c r="U159" i="65" s="1"/>
  <c r="U121" i="65"/>
  <c r="U150" i="65" s="1"/>
  <c r="U38" i="82"/>
  <c r="AG183" i="105"/>
  <c r="AG106" i="105"/>
  <c r="Z196" i="105"/>
  <c r="Z118" i="105"/>
  <c r="M131" i="65"/>
  <c r="M160" i="65" s="1"/>
  <c r="M140" i="65"/>
  <c r="M169" i="65" s="1"/>
  <c r="M122" i="65"/>
  <c r="M151" i="65" s="1"/>
  <c r="M39" i="82"/>
  <c r="V108" i="105"/>
  <c r="V185" i="105"/>
  <c r="N273" i="41"/>
  <c r="N278" i="41" s="1"/>
  <c r="N283" i="41" s="1"/>
  <c r="N274" i="41"/>
  <c r="N279" i="41" s="1"/>
  <c r="N284" i="41" s="1"/>
  <c r="N362" i="41" s="1"/>
  <c r="N364" i="41" s="1"/>
  <c r="N366" i="41" s="1"/>
  <c r="N368" i="41" s="1"/>
  <c r="N393" i="41" s="1"/>
  <c r="N251" i="41"/>
  <c r="N269" i="41"/>
  <c r="N249" i="41"/>
  <c r="N267" i="41"/>
  <c r="N250" i="41"/>
  <c r="N268" i="41"/>
  <c r="N272" i="41"/>
  <c r="N277" i="41" s="1"/>
  <c r="N282" i="41" s="1"/>
  <c r="N403" i="41"/>
  <c r="N412" i="41" s="1"/>
  <c r="N32" i="65" s="1"/>
  <c r="N110" i="65" s="1"/>
  <c r="N405" i="41"/>
  <c r="N414" i="41" s="1"/>
  <c r="N34" i="65" s="1"/>
  <c r="N112" i="65" s="1"/>
  <c r="N404" i="41"/>
  <c r="N413" i="41" s="1"/>
  <c r="N33" i="65" s="1"/>
  <c r="N111" i="65" s="1"/>
  <c r="P185" i="105"/>
  <c r="P108" i="105"/>
  <c r="AA277" i="41"/>
  <c r="AA282" i="41" s="1"/>
  <c r="V277" i="41"/>
  <c r="V282" i="41" s="1"/>
  <c r="M141" i="65"/>
  <c r="M170" i="65" s="1"/>
  <c r="M132" i="65"/>
  <c r="M161" i="65" s="1"/>
  <c r="M123" i="65"/>
  <c r="M152" i="65" s="1"/>
  <c r="M40" i="82"/>
  <c r="AE267" i="41"/>
  <c r="AE251" i="41"/>
  <c r="AE269" i="41"/>
  <c r="AE250" i="41"/>
  <c r="AE268" i="41"/>
  <c r="AE249" i="41"/>
  <c r="AE273" i="41"/>
  <c r="AE278" i="41" s="1"/>
  <c r="AE283" i="41" s="1"/>
  <c r="AE272" i="41"/>
  <c r="AE277" i="41" s="1"/>
  <c r="AE282" i="41" s="1"/>
  <c r="AE274" i="41"/>
  <c r="AE279" i="41" s="1"/>
  <c r="AE284" i="41" s="1"/>
  <c r="AE362" i="41" s="1"/>
  <c r="AE364" i="41" s="1"/>
  <c r="AE366" i="41" s="1"/>
  <c r="AE368" i="41" s="1"/>
  <c r="AE393" i="41" s="1"/>
  <c r="AE404" i="41"/>
  <c r="AE413" i="41" s="1"/>
  <c r="AE33" i="65" s="1"/>
  <c r="AE111" i="65" s="1"/>
  <c r="AE405" i="41"/>
  <c r="AE414" i="41" s="1"/>
  <c r="AE34" i="65" s="1"/>
  <c r="AE112" i="65" s="1"/>
  <c r="AE403" i="41"/>
  <c r="AE412" i="41" s="1"/>
  <c r="AE32" i="65" s="1"/>
  <c r="AE110" i="65" s="1"/>
  <c r="AD118" i="105"/>
  <c r="AD196" i="105"/>
  <c r="O196" i="105"/>
  <c r="O118" i="105"/>
  <c r="AC196" i="105"/>
  <c r="AC118" i="105"/>
  <c r="S185" i="105"/>
  <c r="S108" i="105"/>
  <c r="Z121" i="65"/>
  <c r="Z150" i="65" s="1"/>
  <c r="Z139" i="65"/>
  <c r="Z168" i="65" s="1"/>
  <c r="Z38" i="82"/>
  <c r="AG193" i="105"/>
  <c r="AG115" i="105"/>
  <c r="M118" i="105"/>
  <c r="M196" i="105"/>
  <c r="M108" i="105"/>
  <c r="M185" i="105"/>
  <c r="Z140" i="65"/>
  <c r="Z169" i="65" s="1"/>
  <c r="Z122" i="65"/>
  <c r="Z151" i="65" s="1"/>
  <c r="Z39" i="82"/>
  <c r="J330" i="41"/>
  <c r="J332" i="41" s="1"/>
  <c r="J334" i="41" s="1"/>
  <c r="J336" i="41" s="1"/>
  <c r="J392" i="41" s="1"/>
  <c r="AG182" i="105"/>
  <c r="AG105" i="105"/>
  <c r="V196" i="105"/>
  <c r="V118" i="105"/>
  <c r="AF196" i="105"/>
  <c r="AF118" i="105"/>
  <c r="AG117" i="105"/>
  <c r="AG195" i="105"/>
  <c r="T108" i="105"/>
  <c r="T185" i="105"/>
  <c r="N108" i="105"/>
  <c r="N185" i="105"/>
  <c r="J58" i="105"/>
  <c r="J98" i="105" s="1"/>
  <c r="H98" i="105" s="1"/>
  <c r="Y272" i="41"/>
  <c r="Y277" i="41" s="1"/>
  <c r="Y282" i="41" s="1"/>
  <c r="Y267" i="41"/>
  <c r="Y251" i="41"/>
  <c r="Y274" i="41"/>
  <c r="T279" i="41" s="1"/>
  <c r="T284" i="41" s="1"/>
  <c r="T362" i="41" s="1"/>
  <c r="Y269" i="41"/>
  <c r="Y250" i="41"/>
  <c r="Y273" i="41"/>
  <c r="Y278" i="41" s="1"/>
  <c r="Y283" i="41" s="1"/>
  <c r="Y268" i="41"/>
  <c r="Y249" i="41"/>
  <c r="Y405" i="41"/>
  <c r="Y414" i="41" s="1"/>
  <c r="Y34" i="65" s="1"/>
  <c r="Y112" i="65" s="1"/>
  <c r="Y404" i="41"/>
  <c r="Y413" i="41" s="1"/>
  <c r="Y33" i="65" s="1"/>
  <c r="Y111" i="65" s="1"/>
  <c r="Y403" i="41"/>
  <c r="Y412" i="41" s="1"/>
  <c r="Y32" i="65" s="1"/>
  <c r="Y110" i="65" s="1"/>
  <c r="S249" i="41"/>
  <c r="S267" i="41"/>
  <c r="S250" i="41"/>
  <c r="S268" i="41"/>
  <c r="S251" i="41"/>
  <c r="S269" i="41"/>
  <c r="S274" i="41"/>
  <c r="S272" i="41"/>
  <c r="S273" i="41"/>
  <c r="S405" i="41"/>
  <c r="S414" i="41" s="1"/>
  <c r="S34" i="65" s="1"/>
  <c r="S112" i="65" s="1"/>
  <c r="S404" i="41"/>
  <c r="S413" i="41" s="1"/>
  <c r="S33" i="65" s="1"/>
  <c r="S111" i="65" s="1"/>
  <c r="S403" i="41"/>
  <c r="S412" i="41" s="1"/>
  <c r="S32" i="65" s="1"/>
  <c r="S110" i="65" s="1"/>
  <c r="N196" i="105"/>
  <c r="N118" i="105"/>
  <c r="T130" i="65"/>
  <c r="T159" i="65" s="1"/>
  <c r="T121" i="65"/>
  <c r="T150" i="65" s="1"/>
  <c r="T139" i="65"/>
  <c r="T168" i="65" s="1"/>
  <c r="T38" i="82"/>
  <c r="AA118" i="105"/>
  <c r="AA196" i="105"/>
  <c r="V130" i="65"/>
  <c r="V159" i="65" s="1"/>
  <c r="V139" i="65"/>
  <c r="V168" i="65" s="1"/>
  <c r="V121" i="65"/>
  <c r="V150" i="65" s="1"/>
  <c r="V38" i="82"/>
  <c r="J76" i="105"/>
  <c r="AG102" i="105"/>
  <c r="M130" i="65"/>
  <c r="M159" i="65" s="1"/>
  <c r="M139" i="65"/>
  <c r="M168" i="65" s="1"/>
  <c r="M121" i="65"/>
  <c r="M150" i="65" s="1"/>
  <c r="M38" i="82"/>
  <c r="J300" i="41"/>
  <c r="J302" i="41" s="1"/>
  <c r="AG107" i="105"/>
  <c r="AG184" i="105"/>
  <c r="T140" i="65"/>
  <c r="T169" i="65" s="1"/>
  <c r="T122" i="65"/>
  <c r="T151" i="65" s="1"/>
  <c r="T131" i="65"/>
  <c r="T160" i="65" s="1"/>
  <c r="T39" i="82"/>
  <c r="X269" i="41"/>
  <c r="X249" i="41"/>
  <c r="X267" i="41"/>
  <c r="X250" i="41"/>
  <c r="X273" i="41"/>
  <c r="X268" i="41"/>
  <c r="X272" i="41"/>
  <c r="X251" i="41"/>
  <c r="X274" i="41"/>
  <c r="X403" i="41"/>
  <c r="X412" i="41" s="1"/>
  <c r="X32" i="65" s="1"/>
  <c r="X110" i="65" s="1"/>
  <c r="X404" i="41"/>
  <c r="X413" i="41" s="1"/>
  <c r="X33" i="65" s="1"/>
  <c r="X111" i="65" s="1"/>
  <c r="X405" i="41"/>
  <c r="X414" i="41" s="1"/>
  <c r="X34" i="65" s="1"/>
  <c r="X112" i="65" s="1"/>
  <c r="V132" i="65"/>
  <c r="V161" i="65" s="1"/>
  <c r="V141" i="65"/>
  <c r="V170" i="65" s="1"/>
  <c r="V123" i="65"/>
  <c r="V152" i="65" s="1"/>
  <c r="V40" i="82"/>
  <c r="U118" i="105"/>
  <c r="U196" i="105"/>
  <c r="T118" i="105"/>
  <c r="T196" i="105"/>
  <c r="P273" i="41"/>
  <c r="P278" i="41" s="1"/>
  <c r="P283" i="41" s="1"/>
  <c r="P268" i="41"/>
  <c r="P251" i="41"/>
  <c r="P269" i="41"/>
  <c r="P272" i="41"/>
  <c r="P277" i="41" s="1"/>
  <c r="P282" i="41" s="1"/>
  <c r="P249" i="41"/>
  <c r="P267" i="41"/>
  <c r="P250" i="41"/>
  <c r="P274" i="41"/>
  <c r="P279" i="41" s="1"/>
  <c r="P284" i="41" s="1"/>
  <c r="P362" i="41" s="1"/>
  <c r="P364" i="41" s="1"/>
  <c r="P366" i="41" s="1"/>
  <c r="P368" i="41" s="1"/>
  <c r="P393" i="41" s="1"/>
  <c r="P404" i="41"/>
  <c r="P413" i="41" s="1"/>
  <c r="P33" i="65" s="1"/>
  <c r="P111" i="65" s="1"/>
  <c r="P405" i="41"/>
  <c r="P414" i="41" s="1"/>
  <c r="P34" i="65" s="1"/>
  <c r="P112" i="65" s="1"/>
  <c r="P403" i="41"/>
  <c r="P412" i="41" s="1"/>
  <c r="P32" i="65" s="1"/>
  <c r="P110" i="65" s="1"/>
  <c r="J67" i="105"/>
  <c r="AF267" i="41"/>
  <c r="AF273" i="41"/>
  <c r="AF278" i="41" s="1"/>
  <c r="AF283" i="41" s="1"/>
  <c r="AF268" i="41"/>
  <c r="AF251" i="41"/>
  <c r="AF274" i="41"/>
  <c r="AF279" i="41" s="1"/>
  <c r="AF284" i="41" s="1"/>
  <c r="AF362" i="41" s="1"/>
  <c r="AF364" i="41" s="1"/>
  <c r="AF366" i="41" s="1"/>
  <c r="AF368" i="41" s="1"/>
  <c r="AF393" i="41" s="1"/>
  <c r="AF269" i="41"/>
  <c r="AF249" i="41"/>
  <c r="AF250" i="41"/>
  <c r="AF272" i="41"/>
  <c r="AF277" i="41" s="1"/>
  <c r="AF282" i="41" s="1"/>
  <c r="AF404" i="41"/>
  <c r="AF413" i="41" s="1"/>
  <c r="AF33" i="65" s="1"/>
  <c r="AF111" i="65" s="1"/>
  <c r="AF403" i="41"/>
  <c r="AF412" i="41" s="1"/>
  <c r="AF32" i="65" s="1"/>
  <c r="AF110" i="65" s="1"/>
  <c r="AF405" i="41"/>
  <c r="AF414" i="41" s="1"/>
  <c r="AF34" i="65" s="1"/>
  <c r="AF112" i="65" s="1"/>
  <c r="Z141" i="65"/>
  <c r="Z170" i="65" s="1"/>
  <c r="Z123" i="65"/>
  <c r="Z152" i="65" s="1"/>
  <c r="Z40" i="82"/>
  <c r="T132" i="65"/>
  <c r="T161" i="65" s="1"/>
  <c r="T141" i="65"/>
  <c r="T170" i="65" s="1"/>
  <c r="T123" i="65"/>
  <c r="T152" i="65" s="1"/>
  <c r="T40" i="82"/>
  <c r="AA140" i="65"/>
  <c r="AA169" i="65" s="1"/>
  <c r="AA122" i="65"/>
  <c r="AA151" i="65" s="1"/>
  <c r="AA39" i="82"/>
  <c r="V131" i="65"/>
  <c r="V160" i="65" s="1"/>
  <c r="V140" i="65"/>
  <c r="V169" i="65" s="1"/>
  <c r="V122" i="65"/>
  <c r="V151" i="65" s="1"/>
  <c r="V39" i="82"/>
  <c r="AC141" i="65"/>
  <c r="AC170" i="65" s="1"/>
  <c r="AC123" i="65"/>
  <c r="AC152" i="65" s="1"/>
  <c r="AC40" i="82"/>
  <c r="AD272" i="41"/>
  <c r="AD277" i="41" s="1"/>
  <c r="AD282" i="41" s="1"/>
  <c r="AD250" i="41"/>
  <c r="AD268" i="41"/>
  <c r="AD249" i="41"/>
  <c r="AD273" i="41"/>
  <c r="AD278" i="41" s="1"/>
  <c r="AD283" i="41" s="1"/>
  <c r="AD267" i="41"/>
  <c r="AD251" i="41"/>
  <c r="AD274" i="41"/>
  <c r="AD279" i="41" s="1"/>
  <c r="AD284" i="41" s="1"/>
  <c r="AD362" i="41" s="1"/>
  <c r="AD364" i="41" s="1"/>
  <c r="AD366" i="41" s="1"/>
  <c r="AD368" i="41" s="1"/>
  <c r="AD393" i="41" s="1"/>
  <c r="AD269" i="41"/>
  <c r="AD404" i="41"/>
  <c r="AD413" i="41" s="1"/>
  <c r="AD33" i="65" s="1"/>
  <c r="AD111" i="65" s="1"/>
  <c r="AD403" i="41"/>
  <c r="AD412" i="41" s="1"/>
  <c r="AD32" i="65" s="1"/>
  <c r="AD110" i="65" s="1"/>
  <c r="AD405" i="41"/>
  <c r="AD414" i="41" s="1"/>
  <c r="AD34" i="65" s="1"/>
  <c r="AD112" i="65" s="1"/>
  <c r="AA141" i="65"/>
  <c r="AA170" i="65" s="1"/>
  <c r="AA123" i="65"/>
  <c r="AA152" i="65" s="1"/>
  <c r="AA40" i="82"/>
  <c r="Y196" i="105"/>
  <c r="Y118" i="105"/>
  <c r="AA278" i="41"/>
  <c r="AA283" i="41" s="1"/>
  <c r="V278" i="41"/>
  <c r="V283" i="41" s="1"/>
  <c r="P118" i="105"/>
  <c r="P196" i="105"/>
  <c r="X118" i="105"/>
  <c r="X196" i="105"/>
  <c r="AE118" i="105"/>
  <c r="AE196" i="105"/>
  <c r="J132" i="65"/>
  <c r="J161" i="65" s="1"/>
  <c r="J141" i="65"/>
  <c r="J170" i="65" s="1"/>
  <c r="J123" i="65"/>
  <c r="J152" i="65" s="1"/>
  <c r="J40" i="82"/>
  <c r="S118" i="105"/>
  <c r="S196" i="105"/>
  <c r="Y279" i="41" l="1"/>
  <c r="Y284" i="41" s="1"/>
  <c r="Y362" i="41" s="1"/>
  <c r="U278" i="41"/>
  <c r="U283" i="41" s="1"/>
  <c r="O330" i="41"/>
  <c r="O332" i="41" s="1"/>
  <c r="O334" i="41" s="1"/>
  <c r="O336" i="41" s="1"/>
  <c r="O392" i="41" s="1"/>
  <c r="AA38" i="82"/>
  <c r="O298" i="41"/>
  <c r="AA121" i="65"/>
  <c r="AA150" i="65" s="1"/>
  <c r="AC39" i="82"/>
  <c r="AC122" i="65"/>
  <c r="AC151" i="65" s="1"/>
  <c r="U277" i="41"/>
  <c r="U282" i="41" s="1"/>
  <c r="U298" i="41" s="1"/>
  <c r="U304" i="41" s="1"/>
  <c r="U391" i="41" s="1"/>
  <c r="AC298" i="41"/>
  <c r="AC330" i="41"/>
  <c r="AC332" i="41" s="1"/>
  <c r="AC334" i="41" s="1"/>
  <c r="AC336" i="41" s="1"/>
  <c r="AC392" i="41" s="1"/>
  <c r="U132" i="65"/>
  <c r="U161" i="65" s="1"/>
  <c r="U39" i="82"/>
  <c r="U131" i="65"/>
  <c r="U160" i="65" s="1"/>
  <c r="U122" i="65"/>
  <c r="U151" i="65" s="1"/>
  <c r="U56" i="105" s="1"/>
  <c r="U96" i="105" s="1"/>
  <c r="O38" i="82"/>
  <c r="AA330" i="41"/>
  <c r="O39" i="82"/>
  <c r="V330" i="41"/>
  <c r="O122" i="65"/>
  <c r="O151" i="65" s="1"/>
  <c r="O131" i="65"/>
  <c r="O160" i="65" s="1"/>
  <c r="O65" i="105" s="1"/>
  <c r="O123" i="65"/>
  <c r="O152" i="65" s="1"/>
  <c r="Z330" i="41"/>
  <c r="O141" i="65"/>
  <c r="O170" i="65" s="1"/>
  <c r="O75" i="105" s="1"/>
  <c r="O132" i="65"/>
  <c r="O161" i="65" s="1"/>
  <c r="O130" i="65"/>
  <c r="O159" i="65" s="1"/>
  <c r="O64" i="105" s="1"/>
  <c r="U141" i="65"/>
  <c r="U170" i="65" s="1"/>
  <c r="U75" i="105" s="1"/>
  <c r="O121" i="65"/>
  <c r="O150" i="65" s="1"/>
  <c r="O55" i="105" s="1"/>
  <c r="O95" i="105" s="1"/>
  <c r="U40" i="82"/>
  <c r="M304" i="41"/>
  <c r="M391" i="41" s="1"/>
  <c r="AG122" i="105"/>
  <c r="AG142" i="105" s="1"/>
  <c r="W257" i="41" a="1"/>
  <c r="W257" i="41" s="1"/>
  <c r="W262" i="41" s="1"/>
  <c r="W398" i="41" s="1"/>
  <c r="AG200" i="105"/>
  <c r="Q257" i="41" a="1"/>
  <c r="Q257" i="41" s="1"/>
  <c r="Q262" i="41" s="1"/>
  <c r="Q321" i="41" s="1"/>
  <c r="Q323" i="41" s="1"/>
  <c r="M258" i="41" a="1"/>
  <c r="M258" i="41" s="1"/>
  <c r="M263" i="41" s="1"/>
  <c r="M340" i="41" s="1"/>
  <c r="AN257" i="41" a="1"/>
  <c r="AN257" i="41" s="1"/>
  <c r="AN262" i="41" s="1"/>
  <c r="AN398" i="41" s="1"/>
  <c r="AM257" i="41" a="1"/>
  <c r="AM257" i="41" s="1"/>
  <c r="AM262" i="41" s="1"/>
  <c r="AM398" i="41" s="1"/>
  <c r="Y330" i="41"/>
  <c r="AA259" i="41" a="1"/>
  <c r="AA259" i="41" s="1"/>
  <c r="AA264" i="41" s="1"/>
  <c r="T259" i="41" a="1"/>
  <c r="T259" i="41" s="1"/>
  <c r="T264" i="41" s="1"/>
  <c r="T258" i="41" a="1"/>
  <c r="T258" i="41" s="1"/>
  <c r="T263" i="41" s="1"/>
  <c r="K258" i="41" a="1"/>
  <c r="K258" i="41" s="1"/>
  <c r="K263" i="41" s="1"/>
  <c r="K399" i="41" s="1"/>
  <c r="J258" i="41" a="1"/>
  <c r="J258" i="41" s="1"/>
  <c r="J263" i="41" s="1"/>
  <c r="J308" i="41" s="1"/>
  <c r="AI258" i="41" a="1"/>
  <c r="AI258" i="41" s="1"/>
  <c r="AI263" i="41" s="1"/>
  <c r="AI399" i="41" s="1"/>
  <c r="R257" i="41" a="1"/>
  <c r="R257" i="41" s="1"/>
  <c r="R262" i="41" s="1"/>
  <c r="R398" i="41" s="1"/>
  <c r="AJ257" i="41" a="1"/>
  <c r="AJ257" i="41" s="1"/>
  <c r="AJ262" i="41" s="1"/>
  <c r="AJ321" i="41" s="1"/>
  <c r="AJ323" i="41" s="1"/>
  <c r="AD330" i="41"/>
  <c r="AD332" i="41" s="1"/>
  <c r="AD334" i="41" s="1"/>
  <c r="AD336" i="41" s="1"/>
  <c r="AD392" i="41" s="1"/>
  <c r="S257" i="41" a="1"/>
  <c r="S257" i="41" s="1"/>
  <c r="S262" i="41" s="1"/>
  <c r="N298" i="41"/>
  <c r="T257" i="41" a="1"/>
  <c r="T257" i="41" s="1"/>
  <c r="T262" i="41" s="1"/>
  <c r="Y298" i="41"/>
  <c r="Y304" i="41" s="1"/>
  <c r="Y391" i="41" s="1"/>
  <c r="AL258" i="41" a="1"/>
  <c r="AL258" i="41" s="1"/>
  <c r="AL263" i="41" s="1"/>
  <c r="AL399" i="41" s="1"/>
  <c r="AE330" i="41"/>
  <c r="AE332" i="41" s="1"/>
  <c r="AE334" i="41" s="1"/>
  <c r="AE336" i="41" s="1"/>
  <c r="AE392" i="41" s="1"/>
  <c r="O74" i="105"/>
  <c r="AA55" i="105"/>
  <c r="AA95" i="105" s="1"/>
  <c r="AF330" i="41"/>
  <c r="AF332" i="41" s="1"/>
  <c r="AF334" i="41" s="1"/>
  <c r="AF336" i="41" s="1"/>
  <c r="AF392" i="41" s="1"/>
  <c r="AC258" i="41" a="1"/>
  <c r="AC258" i="41" s="1"/>
  <c r="AC263" i="41" s="1"/>
  <c r="Y257" i="41" a="1"/>
  <c r="Y257" i="41" s="1"/>
  <c r="Y262" i="41" s="1"/>
  <c r="AD257" i="41" a="1"/>
  <c r="AD257" i="41" s="1"/>
  <c r="AD262" i="41" s="1"/>
  <c r="AA73" i="105"/>
  <c r="AO259" i="41" a="1"/>
  <c r="AO259" i="41" s="1"/>
  <c r="AO264" i="41" s="1"/>
  <c r="AO400" i="41" s="1"/>
  <c r="P259" i="41" a="1"/>
  <c r="P259" i="41" s="1"/>
  <c r="P264" i="41" s="1"/>
  <c r="AD139" i="65"/>
  <c r="AD168" i="65" s="1"/>
  <c r="AD121" i="65"/>
  <c r="AD150" i="65" s="1"/>
  <c r="AD38" i="82"/>
  <c r="S259" i="41" a="1"/>
  <c r="S259" i="41" s="1"/>
  <c r="S264" i="41" s="1"/>
  <c r="Z259" i="41" a="1"/>
  <c r="Z259" i="41" s="1"/>
  <c r="Z264" i="41" s="1"/>
  <c r="AC56" i="105"/>
  <c r="AC96" i="105" s="1"/>
  <c r="T56" i="105"/>
  <c r="T96" i="105" s="1"/>
  <c r="V258" i="41" a="1"/>
  <c r="V258" i="41" s="1"/>
  <c r="V263" i="41" s="1"/>
  <c r="AC74" i="105"/>
  <c r="V56" i="105"/>
  <c r="V96" i="105" s="1"/>
  <c r="P298" i="41"/>
  <c r="T74" i="105"/>
  <c r="P258" i="41" a="1"/>
  <c r="P258" i="41" s="1"/>
  <c r="P263" i="41" s="1"/>
  <c r="S258" i="41" a="1"/>
  <c r="S258" i="41" s="1"/>
  <c r="S263" i="41" s="1"/>
  <c r="AA257" i="41" a="1"/>
  <c r="AA257" i="41" s="1"/>
  <c r="AA262" i="41" s="1"/>
  <c r="N257" i="41" a="1"/>
  <c r="N257" i="41" s="1"/>
  <c r="N262" i="41" s="1"/>
  <c r="AJ259" i="41" a="1"/>
  <c r="AJ259" i="41" s="1"/>
  <c r="AJ264" i="41" s="1"/>
  <c r="AJ400" i="41" s="1"/>
  <c r="AF259" i="41" a="1"/>
  <c r="AF259" i="41" s="1"/>
  <c r="AF264" i="41" s="1"/>
  <c r="T277" i="41"/>
  <c r="T282" i="41" s="1"/>
  <c r="U74" i="105"/>
  <c r="U65" i="105"/>
  <c r="R259" i="41" a="1"/>
  <c r="R259" i="41" s="1"/>
  <c r="R264" i="41" s="1"/>
  <c r="R400" i="41" s="1"/>
  <c r="J57" i="105"/>
  <c r="J97" i="105" s="1"/>
  <c r="V74" i="105"/>
  <c r="Z57" i="105"/>
  <c r="Z97" i="105" s="1"/>
  <c r="X141" i="65"/>
  <c r="X170" i="65" s="1"/>
  <c r="X123" i="65"/>
  <c r="X152" i="65" s="1"/>
  <c r="X40" i="82"/>
  <c r="AA258" i="41" a="1"/>
  <c r="AA258" i="41" s="1"/>
  <c r="AA263" i="41" s="1"/>
  <c r="AB258" i="41" a="1"/>
  <c r="AB258" i="41" s="1"/>
  <c r="AB263" i="41" s="1"/>
  <c r="AB399" i="41" s="1"/>
  <c r="P257" i="41" a="1"/>
  <c r="P257" i="41" s="1"/>
  <c r="P262" i="41" s="1"/>
  <c r="AG257" i="41" a="1"/>
  <c r="AG257" i="41" s="1"/>
  <c r="AG262" i="41" s="1"/>
  <c r="U330" i="41"/>
  <c r="AG259" i="41" a="1"/>
  <c r="AG259" i="41" s="1"/>
  <c r="AG264" i="41" s="1"/>
  <c r="AE259" i="41" a="1"/>
  <c r="AE259" i="41" s="1"/>
  <c r="AE264" i="41" s="1"/>
  <c r="V66" i="105"/>
  <c r="J75" i="105"/>
  <c r="V65" i="105"/>
  <c r="Z75" i="105"/>
  <c r="X122" i="65"/>
  <c r="X151" i="65" s="1"/>
  <c r="X140" i="65"/>
  <c r="X169" i="65" s="1"/>
  <c r="X39" i="82"/>
  <c r="V55" i="105"/>
  <c r="V95" i="105" s="1"/>
  <c r="Q258" i="41" a="1"/>
  <c r="Q258" i="41" s="1"/>
  <c r="Q263" i="41" s="1"/>
  <c r="Q399" i="41" s="1"/>
  <c r="X258" i="41" a="1"/>
  <c r="X258" i="41" s="1"/>
  <c r="X263" i="41" s="1"/>
  <c r="V257" i="41" a="1"/>
  <c r="V257" i="41" s="1"/>
  <c r="V262" i="41" s="1"/>
  <c r="J257" i="41" a="1"/>
  <c r="J257" i="41" s="1"/>
  <c r="J262" i="41" s="1"/>
  <c r="AC259" i="41" a="1"/>
  <c r="AC259" i="41" s="1"/>
  <c r="AC264" i="41" s="1"/>
  <c r="M259" i="41" a="1"/>
  <c r="M259" i="41" s="1"/>
  <c r="M264" i="41" s="1"/>
  <c r="V57" i="105"/>
  <c r="V97" i="105" s="1"/>
  <c r="R258" i="41" a="1"/>
  <c r="R258" i="41" s="1"/>
  <c r="R263" i="41" s="1"/>
  <c r="R399" i="41" s="1"/>
  <c r="U258" i="41" a="1"/>
  <c r="U258" i="41" s="1"/>
  <c r="U263" i="41" s="1"/>
  <c r="O304" i="41"/>
  <c r="O391" i="41" s="1"/>
  <c r="O300" i="41"/>
  <c r="O302" i="41" s="1"/>
  <c r="Z56" i="105"/>
  <c r="Z96" i="105" s="1"/>
  <c r="K257" i="41" a="1"/>
  <c r="K257" i="41" s="1"/>
  <c r="K262" i="41" s="1"/>
  <c r="AK257" i="41" a="1"/>
  <c r="AK257" i="41" s="1"/>
  <c r="AK262" i="41" s="1"/>
  <c r="V364" i="41"/>
  <c r="V366" i="41" s="1"/>
  <c r="V368" i="41" s="1"/>
  <c r="V393" i="41" s="1"/>
  <c r="AA364" i="41"/>
  <c r="AA366" i="41" s="1"/>
  <c r="AA368" i="41" s="1"/>
  <c r="AA393" i="41" s="1"/>
  <c r="K259" i="41" a="1"/>
  <c r="K259" i="41" s="1"/>
  <c r="K264" i="41" s="1"/>
  <c r="K400" i="41" s="1"/>
  <c r="Y259" i="41" a="1"/>
  <c r="Y259" i="41" s="1"/>
  <c r="Y264" i="41" s="1"/>
  <c r="O56" i="105"/>
  <c r="O96" i="105" s="1"/>
  <c r="P330" i="41"/>
  <c r="P332" i="41" s="1"/>
  <c r="P334" i="41" s="1"/>
  <c r="P336" i="41" s="1"/>
  <c r="P392" i="41" s="1"/>
  <c r="V64" i="105"/>
  <c r="Y122" i="65"/>
  <c r="Y151" i="65" s="1"/>
  <c r="Y140" i="65"/>
  <c r="Y169" i="65" s="1"/>
  <c r="Y39" i="82"/>
  <c r="W258" i="41" a="1"/>
  <c r="W258" i="41" s="1"/>
  <c r="W263" i="41" s="1"/>
  <c r="W399" i="41" s="1"/>
  <c r="AN258" i="41" a="1"/>
  <c r="AN258" i="41" s="1"/>
  <c r="AN263" i="41" s="1"/>
  <c r="AN399" i="41" s="1"/>
  <c r="Z74" i="105"/>
  <c r="X257" i="41" a="1"/>
  <c r="X257" i="41" s="1"/>
  <c r="X262" i="41" s="1"/>
  <c r="L257" i="41" a="1"/>
  <c r="L257" i="41" s="1"/>
  <c r="L262" i="41" s="1"/>
  <c r="N330" i="41"/>
  <c r="N332" i="41" s="1"/>
  <c r="N334" i="41" s="1"/>
  <c r="N336" i="41" s="1"/>
  <c r="N392" i="41" s="1"/>
  <c r="M56" i="105"/>
  <c r="M96" i="105" s="1"/>
  <c r="Z364" i="41"/>
  <c r="Z366" i="41" s="1"/>
  <c r="Z368" i="41" s="1"/>
  <c r="Z393" i="41" s="1"/>
  <c r="U364" i="41"/>
  <c r="U366" i="41" s="1"/>
  <c r="U368" i="41" s="1"/>
  <c r="U393" i="41" s="1"/>
  <c r="V259" i="41" a="1"/>
  <c r="V259" i="41" s="1"/>
  <c r="V264" i="41" s="1"/>
  <c r="U259" i="41" a="1"/>
  <c r="U259" i="41" s="1"/>
  <c r="U264" i="41" s="1"/>
  <c r="N300" i="41"/>
  <c r="N302" i="41" s="1"/>
  <c r="N304" i="41"/>
  <c r="N391" i="41" s="1"/>
  <c r="V75" i="105"/>
  <c r="M55" i="105"/>
  <c r="M95" i="105" s="1"/>
  <c r="O258" i="41" a="1"/>
  <c r="O258" i="41" s="1"/>
  <c r="O263" i="41" s="1"/>
  <c r="AO258" i="41" a="1"/>
  <c r="AO258" i="41" s="1"/>
  <c r="AO263" i="41" s="1"/>
  <c r="AO399" i="41" s="1"/>
  <c r="AF257" i="41" a="1"/>
  <c r="AF257" i="41" s="1"/>
  <c r="AF262" i="41" s="1"/>
  <c r="AB257" i="41" a="1"/>
  <c r="AB257" i="41" s="1"/>
  <c r="AB262" i="41" s="1"/>
  <c r="V298" i="41"/>
  <c r="M74" i="105"/>
  <c r="AM259" i="41" a="1"/>
  <c r="AM259" i="41" s="1"/>
  <c r="AM264" i="41" s="1"/>
  <c r="AM400" i="41" s="1"/>
  <c r="AH259" i="41" a="1"/>
  <c r="AH259" i="41" s="1"/>
  <c r="AH264" i="41" s="1"/>
  <c r="AH400" i="41" s="1"/>
  <c r="AC73" i="105"/>
  <c r="T64" i="105"/>
  <c r="AC57" i="105"/>
  <c r="AC97" i="105" s="1"/>
  <c r="J56" i="105"/>
  <c r="J96" i="105" s="1"/>
  <c r="AD140" i="65"/>
  <c r="AD169" i="65" s="1"/>
  <c r="AD122" i="65"/>
  <c r="AD151" i="65" s="1"/>
  <c r="AD39" i="82"/>
  <c r="T65" i="105"/>
  <c r="Y121" i="65"/>
  <c r="Y150" i="65" s="1"/>
  <c r="Y139" i="65"/>
  <c r="Y168" i="65" s="1"/>
  <c r="Y38" i="82"/>
  <c r="S130" i="65"/>
  <c r="S159" i="65" s="1"/>
  <c r="S121" i="65"/>
  <c r="S150" i="65" s="1"/>
  <c r="S139" i="65"/>
  <c r="S168" i="65" s="1"/>
  <c r="S38" i="82"/>
  <c r="AA56" i="105"/>
  <c r="AA96" i="105" s="1"/>
  <c r="AF121" i="65"/>
  <c r="AF150" i="65" s="1"/>
  <c r="AF139" i="65"/>
  <c r="AF168" i="65" s="1"/>
  <c r="AF38" i="82"/>
  <c r="J185" i="105"/>
  <c r="J108" i="105"/>
  <c r="H108" i="105" s="1"/>
  <c r="M73" i="105"/>
  <c r="S131" i="65"/>
  <c r="S160" i="65" s="1"/>
  <c r="S122" i="65"/>
  <c r="S151" i="65" s="1"/>
  <c r="S140" i="65"/>
  <c r="S169" i="65" s="1"/>
  <c r="S39" i="82"/>
  <c r="AE258" i="41" a="1"/>
  <c r="AE258" i="41" s="1"/>
  <c r="AE263" i="41" s="1"/>
  <c r="Z258" i="41" a="1"/>
  <c r="Z258" i="41" s="1"/>
  <c r="Z263" i="41" s="1"/>
  <c r="AG112" i="105"/>
  <c r="M257" i="41" a="1"/>
  <c r="M257" i="41" s="1"/>
  <c r="M262" i="41" s="1"/>
  <c r="AH257" i="41" a="1"/>
  <c r="AH257" i="41" s="1"/>
  <c r="AH262" i="41" s="1"/>
  <c r="M57" i="105"/>
  <c r="M97" i="105" s="1"/>
  <c r="AA298" i="41"/>
  <c r="AA304" i="41" s="1"/>
  <c r="AA391" i="41" s="1"/>
  <c r="O73" i="105"/>
  <c r="M65" i="105"/>
  <c r="AL259" i="41" a="1"/>
  <c r="AL259" i="41" s="1"/>
  <c r="AL264" i="41" s="1"/>
  <c r="AL400" i="41" s="1"/>
  <c r="AB259" i="41" a="1"/>
  <c r="AB259" i="41" s="1"/>
  <c r="AB264" i="41" s="1"/>
  <c r="AB400" i="41" s="1"/>
  <c r="AC55" i="105"/>
  <c r="AC95" i="105" s="1"/>
  <c r="L258" i="41" a="1"/>
  <c r="L258" i="41" s="1"/>
  <c r="L263" i="41" s="1"/>
  <c r="L399" i="41" s="1"/>
  <c r="X139" i="65"/>
  <c r="X168" i="65" s="1"/>
  <c r="X121" i="65"/>
  <c r="X150" i="65" s="1"/>
  <c r="X38" i="82"/>
  <c r="S123" i="65"/>
  <c r="S152" i="65" s="1"/>
  <c r="S132" i="65"/>
  <c r="S161" i="65" s="1"/>
  <c r="S141" i="65"/>
  <c r="S170" i="65" s="1"/>
  <c r="S40" i="82"/>
  <c r="Y258" i="41" a="1"/>
  <c r="Y258" i="41" s="1"/>
  <c r="Y263" i="41" s="1"/>
  <c r="AG258" i="41" a="1"/>
  <c r="AG258" i="41" s="1"/>
  <c r="AG263" i="41" s="1"/>
  <c r="AG189" i="105"/>
  <c r="AC304" i="41"/>
  <c r="AC391" i="41" s="1"/>
  <c r="AC300" i="41"/>
  <c r="AC302" i="41" s="1"/>
  <c r="Z73" i="105"/>
  <c r="Z257" i="41" a="1"/>
  <c r="Z257" i="41" s="1"/>
  <c r="Z262" i="41" s="1"/>
  <c r="AO257" i="41" a="1"/>
  <c r="AO257" i="41" s="1"/>
  <c r="AO262" i="41" s="1"/>
  <c r="M66" i="105"/>
  <c r="O57" i="105"/>
  <c r="O97" i="105" s="1"/>
  <c r="O259" i="41" a="1"/>
  <c r="O259" i="41" s="1"/>
  <c r="O264" i="41" s="1"/>
  <c r="L259" i="41" a="1"/>
  <c r="L259" i="41" s="1"/>
  <c r="L264" i="41" s="1"/>
  <c r="L400" i="41" s="1"/>
  <c r="AC75" i="105"/>
  <c r="J66" i="105"/>
  <c r="V73" i="105"/>
  <c r="AD298" i="41"/>
  <c r="AF140" i="65"/>
  <c r="AF169" i="65" s="1"/>
  <c r="AF122" i="65"/>
  <c r="AF151" i="65" s="1"/>
  <c r="AF39" i="82"/>
  <c r="M64" i="105"/>
  <c r="AJ258" i="41" a="1"/>
  <c r="AJ258" i="41" s="1"/>
  <c r="AJ263" i="41" s="1"/>
  <c r="AJ399" i="41" s="1"/>
  <c r="AK258" i="41" a="1"/>
  <c r="AK258" i="41" s="1"/>
  <c r="AK263" i="41" s="1"/>
  <c r="AK399" i="41" s="1"/>
  <c r="Z55" i="105"/>
  <c r="Z95" i="105" s="1"/>
  <c r="U257" i="41" a="1"/>
  <c r="U257" i="41" s="1"/>
  <c r="U262" i="41" s="1"/>
  <c r="AI257" i="41" a="1"/>
  <c r="AI257" i="41" s="1"/>
  <c r="AI262" i="41" s="1"/>
  <c r="M75" i="105"/>
  <c r="U55" i="105"/>
  <c r="U95" i="105" s="1"/>
  <c r="AI259" i="41" a="1"/>
  <c r="AI259" i="41" s="1"/>
  <c r="AI264" i="41" s="1"/>
  <c r="AI400" i="41" s="1"/>
  <c r="AD259" i="41" a="1"/>
  <c r="AD259" i="41" s="1"/>
  <c r="AD264" i="41" s="1"/>
  <c r="AD141" i="65"/>
  <c r="AD170" i="65" s="1"/>
  <c r="AD123" i="65"/>
  <c r="AD152" i="65" s="1"/>
  <c r="AD40" i="82"/>
  <c r="AE298" i="41"/>
  <c r="Y123" i="65"/>
  <c r="Y152" i="65" s="1"/>
  <c r="Y141" i="65"/>
  <c r="Y170" i="65" s="1"/>
  <c r="Y40" i="82"/>
  <c r="AA74" i="105"/>
  <c r="S277" i="41"/>
  <c r="S282" i="41" s="1"/>
  <c r="X277" i="41"/>
  <c r="X282" i="41" s="1"/>
  <c r="AF258" i="41" a="1"/>
  <c r="AF258" i="41" s="1"/>
  <c r="AF263" i="41" s="1"/>
  <c r="AE257" i="41" a="1"/>
  <c r="AE257" i="41" s="1"/>
  <c r="AE262" i="41" s="1"/>
  <c r="AE139" i="65"/>
  <c r="AE168" i="65" s="1"/>
  <c r="AE121" i="65"/>
  <c r="AE150" i="65" s="1"/>
  <c r="AE38" i="82"/>
  <c r="T278" i="41"/>
  <c r="T283" i="41" s="1"/>
  <c r="T330" i="41" s="1"/>
  <c r="N122" i="65"/>
  <c r="N151" i="65" s="1"/>
  <c r="N140" i="65"/>
  <c r="N169" i="65" s="1"/>
  <c r="N131" i="65"/>
  <c r="N160" i="65" s="1"/>
  <c r="N39" i="82"/>
  <c r="U64" i="105"/>
  <c r="O66" i="105"/>
  <c r="Q259" i="41" a="1"/>
  <c r="Q259" i="41" s="1"/>
  <c r="Q264" i="41" s="1"/>
  <c r="Q400" i="41" s="1"/>
  <c r="N259" i="41" a="1"/>
  <c r="N259" i="41" s="1"/>
  <c r="N264" i="41" s="1"/>
  <c r="AF141" i="65"/>
  <c r="AF170" i="65" s="1"/>
  <c r="AF123" i="65"/>
  <c r="AF152" i="65" s="1"/>
  <c r="AF40" i="82"/>
  <c r="AA57" i="105"/>
  <c r="AA97" i="105" s="1"/>
  <c r="AF298" i="41"/>
  <c r="AG146" i="105"/>
  <c r="AG69" i="82" s="1"/>
  <c r="AG140" i="105"/>
  <c r="AG174" i="105"/>
  <c r="AG71" i="82" s="1"/>
  <c r="X278" i="41"/>
  <c r="X283" i="41" s="1"/>
  <c r="S278" i="41"/>
  <c r="S283" i="41" s="1"/>
  <c r="AA75" i="105"/>
  <c r="T57" i="105"/>
  <c r="T97" i="105" s="1"/>
  <c r="P139" i="65"/>
  <c r="P168" i="65" s="1"/>
  <c r="P130" i="65"/>
  <c r="P159" i="65" s="1"/>
  <c r="P121" i="65"/>
  <c r="P150" i="65" s="1"/>
  <c r="P38" i="82"/>
  <c r="AH258" i="41" a="1"/>
  <c r="AH258" i="41" s="1"/>
  <c r="AH263" i="41" s="1"/>
  <c r="AH399" i="41" s="1"/>
  <c r="T364" i="41"/>
  <c r="T366" i="41" s="1"/>
  <c r="T368" i="41" s="1"/>
  <c r="T393" i="41" s="1"/>
  <c r="Y364" i="41"/>
  <c r="Y366" i="41" s="1"/>
  <c r="Y368" i="41" s="1"/>
  <c r="Y393" i="41" s="1"/>
  <c r="T75" i="105"/>
  <c r="P132" i="65"/>
  <c r="P161" i="65" s="1"/>
  <c r="P123" i="65"/>
  <c r="P152" i="65" s="1"/>
  <c r="P141" i="65"/>
  <c r="P170" i="65" s="1"/>
  <c r="P40" i="82"/>
  <c r="J196" i="105"/>
  <c r="J118" i="105"/>
  <c r="H118" i="105" s="1"/>
  <c r="T73" i="105"/>
  <c r="X279" i="41"/>
  <c r="X284" i="41" s="1"/>
  <c r="X362" i="41" s="1"/>
  <c r="S279" i="41"/>
  <c r="S284" i="41" s="1"/>
  <c r="S362" i="41" s="1"/>
  <c r="AM258" i="41" a="1"/>
  <c r="AM258" i="41" s="1"/>
  <c r="AM263" i="41" s="1"/>
  <c r="AM399" i="41" s="1"/>
  <c r="AD258" i="41" a="1"/>
  <c r="AD258" i="41" s="1"/>
  <c r="AD263" i="41" s="1"/>
  <c r="AC257" i="41" a="1"/>
  <c r="AC257" i="41" s="1"/>
  <c r="AC262" i="41" s="1"/>
  <c r="AL257" i="41" a="1"/>
  <c r="AL257" i="41" s="1"/>
  <c r="AL262" i="41" s="1"/>
  <c r="AE141" i="65"/>
  <c r="AE170" i="65" s="1"/>
  <c r="AE123" i="65"/>
  <c r="AE152" i="65" s="1"/>
  <c r="AE40" i="82"/>
  <c r="U57" i="105"/>
  <c r="U97" i="105" s="1"/>
  <c r="N141" i="65"/>
  <c r="N170" i="65" s="1"/>
  <c r="N132" i="65"/>
  <c r="N161" i="65" s="1"/>
  <c r="N123" i="65"/>
  <c r="N152" i="65" s="1"/>
  <c r="N40" i="82"/>
  <c r="U73" i="105"/>
  <c r="AK259" i="41" a="1"/>
  <c r="AK259" i="41" s="1"/>
  <c r="AK264" i="41" s="1"/>
  <c r="AK400" i="41" s="1"/>
  <c r="AN259" i="41" a="1"/>
  <c r="AN259" i="41" s="1"/>
  <c r="AN264" i="41" s="1"/>
  <c r="AN400" i="41" s="1"/>
  <c r="T66" i="105"/>
  <c r="P131" i="65"/>
  <c r="P160" i="65" s="1"/>
  <c r="P140" i="65"/>
  <c r="P169" i="65" s="1"/>
  <c r="P122" i="65"/>
  <c r="P151" i="65" s="1"/>
  <c r="P39" i="82"/>
  <c r="T55" i="105"/>
  <c r="T95" i="105" s="1"/>
  <c r="N258" i="41" a="1"/>
  <c r="N258" i="41" s="1"/>
  <c r="N263" i="41" s="1"/>
  <c r="Z298" i="41"/>
  <c r="Z304" i="41" s="1"/>
  <c r="Z391" i="41" s="1"/>
  <c r="O257" i="41" a="1"/>
  <c r="O257" i="41" s="1"/>
  <c r="O262" i="41" s="1"/>
  <c r="AE140" i="65"/>
  <c r="AE169" i="65" s="1"/>
  <c r="AE122" i="65"/>
  <c r="AE151" i="65" s="1"/>
  <c r="AE39" i="82"/>
  <c r="U66" i="105"/>
  <c r="N139" i="65"/>
  <c r="N168" i="65" s="1"/>
  <c r="N121" i="65"/>
  <c r="N150" i="65" s="1"/>
  <c r="N130" i="65"/>
  <c r="N159" i="65" s="1"/>
  <c r="N38" i="82"/>
  <c r="J139" i="65"/>
  <c r="J168" i="65" s="1"/>
  <c r="J121" i="65"/>
  <c r="J150" i="65" s="1"/>
  <c r="J130" i="65"/>
  <c r="J159" i="65" s="1"/>
  <c r="J38" i="82"/>
  <c r="X259" i="41" a="1"/>
  <c r="X259" i="41" s="1"/>
  <c r="X264" i="41" s="1"/>
  <c r="J259" i="41" a="1"/>
  <c r="J259" i="41" s="1"/>
  <c r="J264" i="41" s="1"/>
  <c r="J65" i="105"/>
  <c r="W259" i="41" a="1"/>
  <c r="W259" i="41" s="1"/>
  <c r="W264" i="41" s="1"/>
  <c r="W400" i="41" s="1"/>
  <c r="J74" i="105"/>
  <c r="AG148" i="105" l="1"/>
  <c r="Q398" i="41"/>
  <c r="AN321" i="41"/>
  <c r="AN323" i="41" s="1"/>
  <c r="W321" i="41"/>
  <c r="W323" i="41" s="1"/>
  <c r="V332" i="41"/>
  <c r="V334" i="41" s="1"/>
  <c r="V336" i="41" s="1"/>
  <c r="V392" i="41" s="1"/>
  <c r="AA332" i="41"/>
  <c r="AA334" i="41" s="1"/>
  <c r="AA336" i="41" s="1"/>
  <c r="AA392" i="41" s="1"/>
  <c r="M308" i="41"/>
  <c r="R321" i="41"/>
  <c r="R323" i="41" s="1"/>
  <c r="M102" i="105"/>
  <c r="M174" i="105" s="1"/>
  <c r="M71" i="82" s="1"/>
  <c r="U102" i="105"/>
  <c r="U174" i="105" s="1"/>
  <c r="U71" i="82" s="1"/>
  <c r="J340" i="41"/>
  <c r="J50" i="106" a="1"/>
  <c r="L54" i="106" s="1"/>
  <c r="AJ398" i="41"/>
  <c r="AJ422" i="41" s="1"/>
  <c r="AJ426" i="41" s="1"/>
  <c r="J16" i="106" a="1"/>
  <c r="J38" i="106" s="1"/>
  <c r="T353" i="41"/>
  <c r="T355" i="41" s="1"/>
  <c r="J84" i="106" a="1"/>
  <c r="J93" i="106" s="1"/>
  <c r="W353" i="41"/>
  <c r="W355" i="41" s="1"/>
  <c r="AM321" i="41"/>
  <c r="AM323" i="41" s="1"/>
  <c r="W422" i="41"/>
  <c r="W426" i="41" s="1"/>
  <c r="X57" i="105"/>
  <c r="X97" i="105" s="1"/>
  <c r="Z373" i="41"/>
  <c r="Z375" i="41" s="1"/>
  <c r="Z386" i="41" s="1"/>
  <c r="Z309" i="41"/>
  <c r="N66" i="105"/>
  <c r="T115" i="105"/>
  <c r="T193" i="105"/>
  <c r="P73" i="105"/>
  <c r="AE73" i="105"/>
  <c r="AF56" i="105"/>
  <c r="AF96" i="105" s="1"/>
  <c r="S75" i="105"/>
  <c r="U195" i="105"/>
  <c r="U117" i="105"/>
  <c r="X75" i="105"/>
  <c r="N321" i="41"/>
  <c r="N323" i="41" s="1"/>
  <c r="N325" i="41" s="1"/>
  <c r="N327" i="41" s="1"/>
  <c r="N307" i="41"/>
  <c r="N353" i="41"/>
  <c r="N355" i="41" s="1"/>
  <c r="N357" i="41" s="1"/>
  <c r="N359" i="41" s="1"/>
  <c r="Y321" i="41"/>
  <c r="Y323" i="41" s="1"/>
  <c r="Y353" i="41"/>
  <c r="Y355" i="41" s="1"/>
  <c r="Y307" i="41"/>
  <c r="U115" i="105"/>
  <c r="U193" i="105"/>
  <c r="M105" i="105"/>
  <c r="M182" i="105"/>
  <c r="Y308" i="41"/>
  <c r="AF55" i="105"/>
  <c r="AF95" i="105" s="1"/>
  <c r="P64" i="105"/>
  <c r="J195" i="105"/>
  <c r="J117" i="105"/>
  <c r="AD353" i="41"/>
  <c r="AD355" i="41" s="1"/>
  <c r="AD357" i="41" s="1"/>
  <c r="AD359" i="41" s="1"/>
  <c r="AD321" i="41"/>
  <c r="AD323" i="41" s="1"/>
  <c r="AD325" i="41" s="1"/>
  <c r="AD327" i="41" s="1"/>
  <c r="J55" i="105"/>
  <c r="P56" i="105"/>
  <c r="P96" i="105" s="1"/>
  <c r="Z308" i="41"/>
  <c r="J73" i="105"/>
  <c r="U184" i="105"/>
  <c r="U107" i="105"/>
  <c r="P74" i="105"/>
  <c r="N75" i="105"/>
  <c r="O107" i="105"/>
  <c r="O184" i="105"/>
  <c r="AE321" i="41"/>
  <c r="AE323" i="41" s="1"/>
  <c r="AE325" i="41" s="1"/>
  <c r="AE327" i="41" s="1"/>
  <c r="AE353" i="41"/>
  <c r="AE355" i="41" s="1"/>
  <c r="AE357" i="41" s="1"/>
  <c r="AE359" i="41" s="1"/>
  <c r="M117" i="105"/>
  <c r="M195" i="105"/>
  <c r="AF74" i="105"/>
  <c r="S66" i="105"/>
  <c r="AE340" i="41"/>
  <c r="T182" i="105"/>
  <c r="T105" i="105"/>
  <c r="AB398" i="41"/>
  <c r="AB422" i="41" s="1"/>
  <c r="AB426" i="41" s="1"/>
  <c r="AB353" i="41"/>
  <c r="AB355" i="41" s="1"/>
  <c r="AB321" i="41"/>
  <c r="AB323" i="41" s="1"/>
  <c r="V107" i="105"/>
  <c r="V184" i="105"/>
  <c r="AA321" i="41"/>
  <c r="AA323" i="41" s="1"/>
  <c r="AA353" i="41"/>
  <c r="AA355" i="41" s="1"/>
  <c r="AA307" i="41"/>
  <c r="AC340" i="41"/>
  <c r="AC308" i="41"/>
  <c r="X321" i="41"/>
  <c r="X323" i="41" s="1"/>
  <c r="X353" i="41"/>
  <c r="X355" i="41" s="1"/>
  <c r="AI398" i="41"/>
  <c r="AI422" i="41" s="1"/>
  <c r="AI426" i="41" s="1"/>
  <c r="AI321" i="41"/>
  <c r="AI323" i="41" s="1"/>
  <c r="AI353" i="41"/>
  <c r="AI355" i="41" s="1"/>
  <c r="AD300" i="41"/>
  <c r="AD302" i="41" s="1"/>
  <c r="AD304" i="41"/>
  <c r="AD391" i="41" s="1"/>
  <c r="S57" i="105"/>
  <c r="S97" i="105" s="1"/>
  <c r="M183" i="105"/>
  <c r="M106" i="105"/>
  <c r="S73" i="105"/>
  <c r="AF321" i="41"/>
  <c r="AF323" i="41" s="1"/>
  <c r="AF325" i="41" s="1"/>
  <c r="AF327" i="41" s="1"/>
  <c r="AF353" i="41"/>
  <c r="AF355" i="41" s="1"/>
  <c r="AF357" i="41" s="1"/>
  <c r="AF359" i="41" s="1"/>
  <c r="AE373" i="41"/>
  <c r="AE375" i="41" s="1"/>
  <c r="AE386" i="41" s="1"/>
  <c r="AE341" i="41"/>
  <c r="AC116" i="105"/>
  <c r="AC194" i="105"/>
  <c r="AF75" i="105"/>
  <c r="U373" i="41"/>
  <c r="U375" i="41" s="1"/>
  <c r="U386" i="41" s="1"/>
  <c r="U309" i="41"/>
  <c r="Y74" i="105"/>
  <c r="AG341" i="41"/>
  <c r="AG309" i="41"/>
  <c r="AG373" i="41"/>
  <c r="AG375" i="41" s="1"/>
  <c r="AG386" i="41" s="1"/>
  <c r="V116" i="105"/>
  <c r="V194" i="105"/>
  <c r="P340" i="41"/>
  <c r="AA102" i="105"/>
  <c r="X364" i="41"/>
  <c r="X366" i="41" s="1"/>
  <c r="X368" i="41" s="1"/>
  <c r="X393" i="41" s="1"/>
  <c r="S364" i="41"/>
  <c r="S366" i="41" s="1"/>
  <c r="S368" i="41" s="1"/>
  <c r="S393" i="41" s="1"/>
  <c r="AF340" i="41"/>
  <c r="S56" i="105"/>
  <c r="S96" i="105" s="1"/>
  <c r="AC193" i="105"/>
  <c r="AC115" i="105"/>
  <c r="V341" i="41"/>
  <c r="V373" i="41"/>
  <c r="V375" i="41" s="1"/>
  <c r="V386" i="41" s="1"/>
  <c r="Y56" i="105"/>
  <c r="Y96" i="105" s="1"/>
  <c r="Z332" i="41"/>
  <c r="Z334" i="41" s="1"/>
  <c r="Z336" i="41" s="1"/>
  <c r="Z392" i="41" s="1"/>
  <c r="U332" i="41"/>
  <c r="U334" i="41" s="1"/>
  <c r="U336" i="41" s="1"/>
  <c r="U392" i="41" s="1"/>
  <c r="T373" i="41"/>
  <c r="T375" i="41" s="1"/>
  <c r="T386" i="41" s="1"/>
  <c r="AG340" i="41"/>
  <c r="AG308" i="41"/>
  <c r="AF57" i="105"/>
  <c r="AF97" i="105" s="1"/>
  <c r="U321" i="41"/>
  <c r="U323" i="41" s="1"/>
  <c r="U353" i="41"/>
  <c r="U355" i="41" s="1"/>
  <c r="U307" i="41"/>
  <c r="S64" i="105"/>
  <c r="O308" i="41"/>
  <c r="O340" i="41"/>
  <c r="O321" i="41"/>
  <c r="O323" i="41" s="1"/>
  <c r="O325" i="41" s="1"/>
  <c r="O327" i="41" s="1"/>
  <c r="O353" i="41"/>
  <c r="O355" i="41" s="1"/>
  <c r="O357" i="41" s="1"/>
  <c r="O359" i="41" s="1"/>
  <c r="O307" i="41"/>
  <c r="AE57" i="105"/>
  <c r="AE97" i="105" s="1"/>
  <c r="P75" i="105"/>
  <c r="S330" i="41"/>
  <c r="N65" i="105"/>
  <c r="Y57" i="105"/>
  <c r="Y97" i="105" s="1"/>
  <c r="Z102" i="105"/>
  <c r="V115" i="105"/>
  <c r="V193" i="105"/>
  <c r="M107" i="105"/>
  <c r="M184" i="105"/>
  <c r="X73" i="105"/>
  <c r="S65" i="105"/>
  <c r="V182" i="105"/>
  <c r="V105" i="105"/>
  <c r="AK321" i="41"/>
  <c r="AK323" i="41" s="1"/>
  <c r="AK353" i="41"/>
  <c r="AK355" i="41" s="1"/>
  <c r="AK398" i="41"/>
  <c r="AK422" i="41" s="1"/>
  <c r="AK426" i="41" s="1"/>
  <c r="V102" i="105"/>
  <c r="AG353" i="41"/>
  <c r="AG355" i="41" s="1"/>
  <c r="AG357" i="41" s="1"/>
  <c r="AG359" i="41" s="1"/>
  <c r="AG321" i="41"/>
  <c r="AG323" i="41" s="1"/>
  <c r="AG325" i="41" s="1"/>
  <c r="AG327" i="41" s="1"/>
  <c r="AG307" i="41"/>
  <c r="U194" i="105"/>
  <c r="U116" i="105"/>
  <c r="T194" i="105"/>
  <c r="T116" i="105"/>
  <c r="V340" i="41"/>
  <c r="AM353" i="41"/>
  <c r="AM355" i="41" s="1"/>
  <c r="N57" i="105"/>
  <c r="N97" i="105" s="1"/>
  <c r="X298" i="41"/>
  <c r="X304" i="41" s="1"/>
  <c r="X391" i="41" s="1"/>
  <c r="Y73" i="105"/>
  <c r="K398" i="41"/>
  <c r="K422" i="41" s="1"/>
  <c r="K426" i="41" s="1"/>
  <c r="K321" i="41"/>
  <c r="K323" i="41" s="1"/>
  <c r="K353" i="41"/>
  <c r="K355" i="41" s="1"/>
  <c r="P353" i="41"/>
  <c r="P355" i="41" s="1"/>
  <c r="P357" i="41" s="1"/>
  <c r="P359" i="41" s="1"/>
  <c r="P321" i="41"/>
  <c r="P323" i="41" s="1"/>
  <c r="P325" i="41" s="1"/>
  <c r="P327" i="41" s="1"/>
  <c r="AN353" i="41"/>
  <c r="AN355" i="41" s="1"/>
  <c r="P304" i="41"/>
  <c r="P391" i="41" s="1"/>
  <c r="P300" i="41"/>
  <c r="P302" i="41" s="1"/>
  <c r="O116" i="105"/>
  <c r="O194" i="105"/>
  <c r="AE55" i="105"/>
  <c r="AE95" i="105" s="1"/>
  <c r="AG147" i="105"/>
  <c r="AG141" i="105"/>
  <c r="S298" i="41"/>
  <c r="AO321" i="41"/>
  <c r="AO323" i="41" s="1"/>
  <c r="AO353" i="41"/>
  <c r="AO355" i="41" s="1"/>
  <c r="AO398" i="41"/>
  <c r="AO422" i="41" s="1"/>
  <c r="AO426" i="41" s="1"/>
  <c r="N340" i="41"/>
  <c r="N308" i="41"/>
  <c r="AL353" i="41"/>
  <c r="AL355" i="41" s="1"/>
  <c r="AL398" i="41"/>
  <c r="AL422" i="41" s="1"/>
  <c r="AL426" i="41" s="1"/>
  <c r="AL321" i="41"/>
  <c r="AL323" i="41" s="1"/>
  <c r="P66" i="105"/>
  <c r="N56" i="105"/>
  <c r="N96" i="105" s="1"/>
  <c r="Z321" i="41"/>
  <c r="Z323" i="41" s="1"/>
  <c r="Z307" i="41"/>
  <c r="Z353" i="41"/>
  <c r="Z355" i="41" s="1"/>
  <c r="Y55" i="105"/>
  <c r="Y95" i="105" s="1"/>
  <c r="M116" i="105"/>
  <c r="M194" i="105"/>
  <c r="AD55" i="105"/>
  <c r="AD95" i="105" s="1"/>
  <c r="AM422" i="41"/>
  <c r="AM426" i="41" s="1"/>
  <c r="O117" i="105"/>
  <c r="O195" i="105"/>
  <c r="AF73" i="105"/>
  <c r="P55" i="105"/>
  <c r="P95" i="105" s="1"/>
  <c r="AE56" i="105"/>
  <c r="AE96" i="105" s="1"/>
  <c r="S74" i="105"/>
  <c r="AE75" i="105"/>
  <c r="N74" i="105"/>
  <c r="AE300" i="41"/>
  <c r="AE302" i="41" s="1"/>
  <c r="AE304" i="41"/>
  <c r="AE391" i="41" s="1"/>
  <c r="Y309" i="41"/>
  <c r="Y373" i="41"/>
  <c r="Y375" i="41" s="1"/>
  <c r="Y386" i="41" s="1"/>
  <c r="N64" i="105"/>
  <c r="T102" i="105"/>
  <c r="AC321" i="41"/>
  <c r="AC323" i="41" s="1"/>
  <c r="AC325" i="41" s="1"/>
  <c r="AC327" i="41" s="1"/>
  <c r="AC353" i="41"/>
  <c r="AC355" i="41" s="1"/>
  <c r="AC357" i="41" s="1"/>
  <c r="AC359" i="41" s="1"/>
  <c r="AC307" i="41"/>
  <c r="T195" i="105"/>
  <c r="T117" i="105"/>
  <c r="AG207" i="105"/>
  <c r="AG80" i="82" s="1"/>
  <c r="AG68" i="82"/>
  <c r="AG206" i="105"/>
  <c r="AG79" i="82" s="1"/>
  <c r="S321" i="41"/>
  <c r="S323" i="41" s="1"/>
  <c r="T332" i="41"/>
  <c r="T334" i="41" s="1"/>
  <c r="T336" i="41" s="1"/>
  <c r="Y332" i="41"/>
  <c r="Y334" i="41" s="1"/>
  <c r="Y336" i="41" s="1"/>
  <c r="Y392" i="41" s="1"/>
  <c r="AD57" i="105"/>
  <c r="AD97" i="105" s="1"/>
  <c r="J184" i="105"/>
  <c r="J107" i="105"/>
  <c r="Z193" i="105"/>
  <c r="Z115" i="105"/>
  <c r="AC102" i="105"/>
  <c r="AH353" i="41"/>
  <c r="AH355" i="41" s="1"/>
  <c r="AH321" i="41"/>
  <c r="AH323" i="41" s="1"/>
  <c r="AH398" i="41"/>
  <c r="AH422" i="41" s="1"/>
  <c r="AH426" i="41" s="1"/>
  <c r="T183" i="105"/>
  <c r="T106" i="105"/>
  <c r="T321" i="41"/>
  <c r="T323" i="41" s="1"/>
  <c r="M309" i="41"/>
  <c r="M341" i="41"/>
  <c r="M343" i="41" s="1"/>
  <c r="M385" i="41" s="1"/>
  <c r="M373" i="41"/>
  <c r="M375" i="41" s="1"/>
  <c r="M386" i="41" s="1"/>
  <c r="X74" i="105"/>
  <c r="AA308" i="41"/>
  <c r="AA340" i="41"/>
  <c r="AN422" i="41"/>
  <c r="AN426" i="41" s="1"/>
  <c r="AD73" i="105"/>
  <c r="AA309" i="41"/>
  <c r="J64" i="105"/>
  <c r="J194" i="105"/>
  <c r="J116" i="105"/>
  <c r="M193" i="105"/>
  <c r="M115" i="105"/>
  <c r="S353" i="41"/>
  <c r="S355" i="41" s="1"/>
  <c r="AD75" i="105"/>
  <c r="M353" i="41"/>
  <c r="M355" i="41" s="1"/>
  <c r="M357" i="41" s="1"/>
  <c r="M359" i="41" s="1"/>
  <c r="M321" i="41"/>
  <c r="M323" i="41" s="1"/>
  <c r="M325" i="41" s="1"/>
  <c r="M327" i="41" s="1"/>
  <c r="M307" i="41"/>
  <c r="AC309" i="41"/>
  <c r="AC373" i="41"/>
  <c r="AC375" i="41" s="1"/>
  <c r="AC386" i="41" s="1"/>
  <c r="AC341" i="41"/>
  <c r="X56" i="105"/>
  <c r="X96" i="105" s="1"/>
  <c r="R422" i="41"/>
  <c r="R426" i="41" s="1"/>
  <c r="AA341" i="41"/>
  <c r="N373" i="41"/>
  <c r="N375" i="41" s="1"/>
  <c r="N386" i="41" s="1"/>
  <c r="N309" i="41"/>
  <c r="N341" i="41"/>
  <c r="Z116" i="105"/>
  <c r="Z194" i="105"/>
  <c r="S55" i="105"/>
  <c r="S95" i="105" s="1"/>
  <c r="T184" i="105"/>
  <c r="T107" i="105"/>
  <c r="Y75" i="105"/>
  <c r="O193" i="105"/>
  <c r="O115" i="105"/>
  <c r="X330" i="41"/>
  <c r="O183" i="105"/>
  <c r="O106" i="105"/>
  <c r="N73" i="105"/>
  <c r="Z300" i="41"/>
  <c r="Z302" i="41" s="1"/>
  <c r="Q353" i="41"/>
  <c r="Q355" i="41" s="1"/>
  <c r="AA373" i="41"/>
  <c r="AA375" i="41" s="1"/>
  <c r="AA386" i="41" s="1"/>
  <c r="H178" i="65" a="1"/>
  <c r="H178" i="65" s="1"/>
  <c r="J20" i="106"/>
  <c r="N55" i="105"/>
  <c r="N95" i="105" s="1"/>
  <c r="AF300" i="41"/>
  <c r="AF302" i="41" s="1"/>
  <c r="AF304" i="41"/>
  <c r="AF391" i="41" s="1"/>
  <c r="AD373" i="41"/>
  <c r="AD375" i="41" s="1"/>
  <c r="AD386" i="41" s="1"/>
  <c r="AD341" i="41"/>
  <c r="AC195" i="105"/>
  <c r="AC117" i="105"/>
  <c r="O102" i="105"/>
  <c r="O182" i="105"/>
  <c r="O105" i="105"/>
  <c r="J353" i="41"/>
  <c r="J355" i="41" s="1"/>
  <c r="J357" i="41" s="1"/>
  <c r="J359" i="41" s="1"/>
  <c r="J307" i="41"/>
  <c r="J321" i="41"/>
  <c r="J323" i="41" s="1"/>
  <c r="J325" i="41" s="1"/>
  <c r="J327" i="41" s="1"/>
  <c r="R353" i="41"/>
  <c r="R355" i="41" s="1"/>
  <c r="J183" i="105"/>
  <c r="J106" i="105"/>
  <c r="U300" i="41"/>
  <c r="U302" i="41" s="1"/>
  <c r="AD56" i="105"/>
  <c r="AD96" i="105" s="1"/>
  <c r="AA300" i="41"/>
  <c r="AA302" i="41" s="1"/>
  <c r="V300" i="41"/>
  <c r="V302" i="41" s="1"/>
  <c r="V304" i="41"/>
  <c r="V391" i="41" s="1"/>
  <c r="V195" i="105"/>
  <c r="V117" i="105"/>
  <c r="U308" i="41"/>
  <c r="V353" i="41"/>
  <c r="V355" i="41" s="1"/>
  <c r="V321" i="41"/>
  <c r="V323" i="41" s="1"/>
  <c r="Z117" i="105"/>
  <c r="Z195" i="105"/>
  <c r="U183" i="105"/>
  <c r="U106" i="105"/>
  <c r="P341" i="41"/>
  <c r="P373" i="41"/>
  <c r="P375" i="41" s="1"/>
  <c r="P386" i="41" s="1"/>
  <c r="AJ353" i="41"/>
  <c r="AJ355" i="41" s="1"/>
  <c r="AF341" i="41"/>
  <c r="AF373" i="41"/>
  <c r="AF375" i="41" s="1"/>
  <c r="AF386" i="41" s="1"/>
  <c r="AA115" i="105"/>
  <c r="AA193" i="105"/>
  <c r="U140" i="105"/>
  <c r="P65" i="105"/>
  <c r="U182" i="105"/>
  <c r="U105" i="105"/>
  <c r="AE74" i="105"/>
  <c r="AA117" i="105"/>
  <c r="AA195" i="105"/>
  <c r="X55" i="105"/>
  <c r="X95" i="105" s="1"/>
  <c r="P57" i="105"/>
  <c r="P97" i="105" s="1"/>
  <c r="J309" i="41"/>
  <c r="J341" i="41"/>
  <c r="J343" i="41" s="1"/>
  <c r="J385" i="41" s="1"/>
  <c r="J373" i="41"/>
  <c r="J375" i="41" s="1"/>
  <c r="AD340" i="41"/>
  <c r="Q422" i="41"/>
  <c r="Q426" i="41" s="1"/>
  <c r="AA116" i="105"/>
  <c r="AA194" i="105"/>
  <c r="O309" i="41"/>
  <c r="O341" i="41"/>
  <c r="O373" i="41"/>
  <c r="O375" i="41" s="1"/>
  <c r="O386" i="41" s="1"/>
  <c r="AD74" i="105"/>
  <c r="L353" i="41"/>
  <c r="L355" i="41" s="1"/>
  <c r="L321" i="41"/>
  <c r="L323" i="41" s="1"/>
  <c r="L398" i="41"/>
  <c r="L422" i="41" s="1"/>
  <c r="L426" i="41" s="1"/>
  <c r="V183" i="105"/>
  <c r="V106" i="105"/>
  <c r="T298" i="41"/>
  <c r="K56" i="106" l="1"/>
  <c r="J50" i="106"/>
  <c r="J25" i="106"/>
  <c r="J30" i="106"/>
  <c r="K36" i="106"/>
  <c r="L22" i="106"/>
  <c r="M140" i="105"/>
  <c r="M146" i="105"/>
  <c r="M69" i="82" s="1"/>
  <c r="K30" i="106"/>
  <c r="J54" i="106"/>
  <c r="J31" i="106"/>
  <c r="U146" i="105"/>
  <c r="U69" i="82" s="1"/>
  <c r="K104" i="106"/>
  <c r="J104" i="106"/>
  <c r="J36" i="106"/>
  <c r="L99" i="106"/>
  <c r="K105" i="106"/>
  <c r="K98" i="106"/>
  <c r="L104" i="106"/>
  <c r="J88" i="106"/>
  <c r="J37" i="106"/>
  <c r="AD308" i="41"/>
  <c r="J22" i="106"/>
  <c r="L38" i="106"/>
  <c r="L56" i="106"/>
  <c r="J106" i="106"/>
  <c r="K37" i="106"/>
  <c r="Z311" i="41"/>
  <c r="Z384" i="41" s="1"/>
  <c r="K59" i="106"/>
  <c r="L31" i="106"/>
  <c r="L105" i="106"/>
  <c r="O200" i="105"/>
  <c r="L20" i="106"/>
  <c r="J59" i="106"/>
  <c r="J98" i="106"/>
  <c r="AD309" i="41"/>
  <c r="L106" i="106"/>
  <c r="K54" i="106"/>
  <c r="L59" i="106"/>
  <c r="J99" i="106"/>
  <c r="L37" i="106"/>
  <c r="T357" i="41"/>
  <c r="T359" i="41" s="1"/>
  <c r="J56" i="106"/>
  <c r="Z340" i="41"/>
  <c r="H97" i="105"/>
  <c r="H96" i="105"/>
  <c r="K22" i="106"/>
  <c r="L88" i="106"/>
  <c r="M122" i="105"/>
  <c r="M148" i="105" s="1"/>
  <c r="O189" i="105"/>
  <c r="K88" i="106"/>
  <c r="K99" i="106"/>
  <c r="AD343" i="41"/>
  <c r="AD385" i="41" s="1"/>
  <c r="O122" i="105"/>
  <c r="O148" i="105" s="1"/>
  <c r="K31" i="106"/>
  <c r="J84" i="106"/>
  <c r="J105" i="106"/>
  <c r="L90" i="106"/>
  <c r="U112" i="105"/>
  <c r="U141" i="105" s="1"/>
  <c r="AF343" i="41"/>
  <c r="AF385" i="41" s="1"/>
  <c r="U189" i="105"/>
  <c r="U206" i="105" s="1"/>
  <c r="U79" i="82" s="1"/>
  <c r="M200" i="105"/>
  <c r="AF308" i="41"/>
  <c r="J90" i="106"/>
  <c r="T200" i="105"/>
  <c r="T122" i="105"/>
  <c r="T142" i="105" s="1"/>
  <c r="P87" i="106"/>
  <c r="J112" i="106"/>
  <c r="L85" i="106"/>
  <c r="L92" i="106"/>
  <c r="K109" i="106"/>
  <c r="N87" i="106"/>
  <c r="N103" i="106"/>
  <c r="P107" i="106"/>
  <c r="L91" i="106"/>
  <c r="M91" i="106"/>
  <c r="O87" i="106"/>
  <c r="M85" i="106"/>
  <c r="L102" i="106"/>
  <c r="K110" i="106"/>
  <c r="N94" i="106"/>
  <c r="N93" i="106"/>
  <c r="N96" i="106"/>
  <c r="J97" i="106"/>
  <c r="K115" i="106"/>
  <c r="N107" i="106"/>
  <c r="P91" i="106"/>
  <c r="K113" i="106"/>
  <c r="J102" i="106"/>
  <c r="K85" i="106"/>
  <c r="O93" i="106"/>
  <c r="O89" i="106"/>
  <c r="N106" i="106"/>
  <c r="P92" i="106"/>
  <c r="O112" i="106"/>
  <c r="N98" i="106"/>
  <c r="M114" i="106"/>
  <c r="P111" i="106"/>
  <c r="O95" i="106"/>
  <c r="N92" i="106"/>
  <c r="J109" i="106"/>
  <c r="O107" i="106"/>
  <c r="J86" i="106"/>
  <c r="J114" i="106"/>
  <c r="N90" i="106"/>
  <c r="P96" i="106"/>
  <c r="N108" i="106"/>
  <c r="P88" i="106"/>
  <c r="O92" i="106"/>
  <c r="O101" i="106"/>
  <c r="N100" i="106"/>
  <c r="O85" i="106"/>
  <c r="J92" i="106"/>
  <c r="O106" i="106"/>
  <c r="K108" i="106"/>
  <c r="J108" i="106"/>
  <c r="O109" i="106"/>
  <c r="P105" i="106"/>
  <c r="M86" i="106"/>
  <c r="L110" i="106"/>
  <c r="P95" i="106"/>
  <c r="N86" i="106"/>
  <c r="N101" i="106"/>
  <c r="P84" i="106"/>
  <c r="J110" i="106"/>
  <c r="P101" i="106"/>
  <c r="N109" i="106"/>
  <c r="M109" i="106"/>
  <c r="N110" i="106"/>
  <c r="P114" i="106"/>
  <c r="O96" i="106"/>
  <c r="P113" i="106"/>
  <c r="P85" i="106"/>
  <c r="O115" i="106"/>
  <c r="K97" i="106"/>
  <c r="N91" i="106"/>
  <c r="P110" i="106"/>
  <c r="N102" i="106"/>
  <c r="O91" i="106"/>
  <c r="K111" i="106"/>
  <c r="N113" i="106"/>
  <c r="P102" i="106"/>
  <c r="M107" i="106"/>
  <c r="J115" i="106"/>
  <c r="N88" i="106"/>
  <c r="J113" i="106"/>
  <c r="O86" i="106"/>
  <c r="J85" i="106"/>
  <c r="O114" i="106"/>
  <c r="L112" i="106"/>
  <c r="J111" i="106"/>
  <c r="P90" i="106"/>
  <c r="P97" i="106"/>
  <c r="M92" i="106"/>
  <c r="L109" i="106"/>
  <c r="P109" i="106"/>
  <c r="P99" i="106"/>
  <c r="P86" i="106"/>
  <c r="O111" i="106"/>
  <c r="K92" i="106"/>
  <c r="P98" i="106"/>
  <c r="M102" i="106"/>
  <c r="O90" i="106"/>
  <c r="M112" i="106"/>
  <c r="P103" i="106"/>
  <c r="P108" i="106"/>
  <c r="P89" i="106"/>
  <c r="P93" i="106"/>
  <c r="M108" i="106"/>
  <c r="N114" i="106"/>
  <c r="P106" i="106"/>
  <c r="M110" i="106"/>
  <c r="O94" i="106"/>
  <c r="N89" i="106"/>
  <c r="P112" i="106"/>
  <c r="P94" i="106"/>
  <c r="O113" i="106"/>
  <c r="N97" i="106"/>
  <c r="L113" i="106"/>
  <c r="K114" i="106"/>
  <c r="J91" i="106"/>
  <c r="L115" i="106"/>
  <c r="K102" i="106"/>
  <c r="N115" i="106"/>
  <c r="O103" i="106"/>
  <c r="N95" i="106"/>
  <c r="O100" i="106"/>
  <c r="M113" i="106"/>
  <c r="K112" i="106"/>
  <c r="N112" i="106"/>
  <c r="P104" i="106"/>
  <c r="O99" i="106"/>
  <c r="M97" i="106"/>
  <c r="O110" i="106"/>
  <c r="O98" i="106"/>
  <c r="L86" i="106"/>
  <c r="L111" i="106"/>
  <c r="O84" i="106"/>
  <c r="M115" i="106"/>
  <c r="P115" i="106"/>
  <c r="N84" i="106"/>
  <c r="L114" i="106"/>
  <c r="L97" i="106"/>
  <c r="O105" i="106"/>
  <c r="O108" i="106"/>
  <c r="M111" i="106"/>
  <c r="N99" i="106"/>
  <c r="N104" i="106"/>
  <c r="N111" i="106"/>
  <c r="O88" i="106"/>
  <c r="L108" i="106"/>
  <c r="N105" i="106"/>
  <c r="K86" i="106"/>
  <c r="N85" i="106"/>
  <c r="O97" i="106"/>
  <c r="O104" i="106"/>
  <c r="O102" i="106"/>
  <c r="K91" i="106"/>
  <c r="P100" i="106"/>
  <c r="K107" i="106"/>
  <c r="M88" i="106"/>
  <c r="M99" i="106"/>
  <c r="M87" i="106"/>
  <c r="M98" i="106"/>
  <c r="M90" i="106"/>
  <c r="M101" i="106"/>
  <c r="M105" i="106"/>
  <c r="M94" i="106"/>
  <c r="M95" i="106"/>
  <c r="L107" i="106"/>
  <c r="M106" i="106"/>
  <c r="M93" i="106"/>
  <c r="M100" i="106"/>
  <c r="M89" i="106"/>
  <c r="J107" i="106"/>
  <c r="M96" i="106"/>
  <c r="M103" i="106"/>
  <c r="M104" i="106"/>
  <c r="M84" i="106"/>
  <c r="L84" i="106"/>
  <c r="K100" i="106"/>
  <c r="K103" i="106"/>
  <c r="J96" i="106"/>
  <c r="J101" i="106"/>
  <c r="J100" i="106"/>
  <c r="L103" i="106"/>
  <c r="K87" i="106"/>
  <c r="L100" i="106"/>
  <c r="L96" i="106"/>
  <c r="J87" i="106"/>
  <c r="L101" i="106"/>
  <c r="J94" i="106"/>
  <c r="J103" i="106"/>
  <c r="L89" i="106"/>
  <c r="J89" i="106"/>
  <c r="J95" i="106"/>
  <c r="K95" i="106"/>
  <c r="K96" i="106"/>
  <c r="K89" i="106"/>
  <c r="L87" i="106"/>
  <c r="L95" i="106"/>
  <c r="K94" i="106"/>
  <c r="K101" i="106"/>
  <c r="L94" i="106"/>
  <c r="K84" i="106"/>
  <c r="AE343" i="41"/>
  <c r="AE385" i="41" s="1"/>
  <c r="AE308" i="41"/>
  <c r="AC343" i="41"/>
  <c r="AC385" i="41" s="1"/>
  <c r="L93" i="106"/>
  <c r="N17" i="106"/>
  <c r="O34" i="106"/>
  <c r="O33" i="106"/>
  <c r="P43" i="106"/>
  <c r="N37" i="106"/>
  <c r="N32" i="106"/>
  <c r="K41" i="106"/>
  <c r="P25" i="106"/>
  <c r="P31" i="106"/>
  <c r="M47" i="106"/>
  <c r="N36" i="106"/>
  <c r="N40" i="106"/>
  <c r="O27" i="106"/>
  <c r="L46" i="106"/>
  <c r="N47" i="106"/>
  <c r="L34" i="106"/>
  <c r="O44" i="106"/>
  <c r="P35" i="106"/>
  <c r="L17" i="106"/>
  <c r="J46" i="106"/>
  <c r="K40" i="106"/>
  <c r="O38" i="106"/>
  <c r="P20" i="106"/>
  <c r="N43" i="106"/>
  <c r="P16" i="106"/>
  <c r="O29" i="106"/>
  <c r="P26" i="106"/>
  <c r="N27" i="106"/>
  <c r="K43" i="106"/>
  <c r="N16" i="106"/>
  <c r="N44" i="106"/>
  <c r="M45" i="106"/>
  <c r="N23" i="106"/>
  <c r="N33" i="106"/>
  <c r="K17" i="106"/>
  <c r="P30" i="106"/>
  <c r="O30" i="106"/>
  <c r="J29" i="106"/>
  <c r="O42" i="106"/>
  <c r="O24" i="106"/>
  <c r="M46" i="106"/>
  <c r="M24" i="106"/>
  <c r="O40" i="106"/>
  <c r="O23" i="106"/>
  <c r="J41" i="106"/>
  <c r="P42" i="106"/>
  <c r="O22" i="106"/>
  <c r="M34" i="106"/>
  <c r="P41" i="106"/>
  <c r="M41" i="106"/>
  <c r="O32" i="106"/>
  <c r="O16" i="106"/>
  <c r="L41" i="106"/>
  <c r="L18" i="106"/>
  <c r="J17" i="106"/>
  <c r="L23" i="106"/>
  <c r="K45" i="106"/>
  <c r="O35" i="106"/>
  <c r="P47" i="106"/>
  <c r="N46" i="106"/>
  <c r="K34" i="106"/>
  <c r="O36" i="106"/>
  <c r="M40" i="106"/>
  <c r="J40" i="106"/>
  <c r="J18" i="106"/>
  <c r="O28" i="106"/>
  <c r="N45" i="106"/>
  <c r="J44" i="106"/>
  <c r="P36" i="106"/>
  <c r="M42" i="106"/>
  <c r="J45" i="106"/>
  <c r="K18" i="106"/>
  <c r="O39" i="106"/>
  <c r="J23" i="106"/>
  <c r="M39" i="106"/>
  <c r="P44" i="106"/>
  <c r="K47" i="106"/>
  <c r="N38" i="106"/>
  <c r="O26" i="106"/>
  <c r="P29" i="106"/>
  <c r="K44" i="106"/>
  <c r="L24" i="106"/>
  <c r="N28" i="106"/>
  <c r="N25" i="106"/>
  <c r="O47" i="106"/>
  <c r="N24" i="106"/>
  <c r="O31" i="106"/>
  <c r="L45" i="106"/>
  <c r="O45" i="106"/>
  <c r="J43" i="106"/>
  <c r="P19" i="106"/>
  <c r="O20" i="106"/>
  <c r="K29" i="106"/>
  <c r="K46" i="106"/>
  <c r="P33" i="106"/>
  <c r="P34" i="106"/>
  <c r="O41" i="106"/>
  <c r="M23" i="106"/>
  <c r="P18" i="106"/>
  <c r="M29" i="106"/>
  <c r="O46" i="106"/>
  <c r="N34" i="106"/>
  <c r="N39" i="106"/>
  <c r="M44" i="106"/>
  <c r="P40" i="106"/>
  <c r="L47" i="106"/>
  <c r="N26" i="106"/>
  <c r="L43" i="106"/>
  <c r="P23" i="106"/>
  <c r="J34" i="106"/>
  <c r="O18" i="106"/>
  <c r="N21" i="106"/>
  <c r="P27" i="106"/>
  <c r="N35" i="106"/>
  <c r="L44" i="106"/>
  <c r="O25" i="106"/>
  <c r="L42" i="106"/>
  <c r="O43" i="106"/>
  <c r="P21" i="106"/>
  <c r="K23" i="106"/>
  <c r="N20" i="106"/>
  <c r="P32" i="106"/>
  <c r="K42" i="106"/>
  <c r="J24" i="106"/>
  <c r="L40" i="106"/>
  <c r="O17" i="106"/>
  <c r="O37" i="106"/>
  <c r="P37" i="106"/>
  <c r="P39" i="106"/>
  <c r="L29" i="106"/>
  <c r="N19" i="106"/>
  <c r="N18" i="106"/>
  <c r="O19" i="106"/>
  <c r="N29" i="106"/>
  <c r="P24" i="106"/>
  <c r="P45" i="106"/>
  <c r="N41" i="106"/>
  <c r="N31" i="106"/>
  <c r="O21" i="106"/>
  <c r="K24" i="106"/>
  <c r="M43" i="106"/>
  <c r="J42" i="106"/>
  <c r="P28" i="106"/>
  <c r="N42" i="106"/>
  <c r="P46" i="106"/>
  <c r="P22" i="106"/>
  <c r="P17" i="106"/>
  <c r="M18" i="106"/>
  <c r="J47" i="106"/>
  <c r="M17" i="106"/>
  <c r="N30" i="106"/>
  <c r="N22" i="106"/>
  <c r="P38" i="106"/>
  <c r="M20" i="106"/>
  <c r="M27" i="106"/>
  <c r="M30" i="106"/>
  <c r="M37" i="106"/>
  <c r="M38" i="106"/>
  <c r="M25" i="106"/>
  <c r="M33" i="106"/>
  <c r="L39" i="106"/>
  <c r="M21" i="106"/>
  <c r="M26" i="106"/>
  <c r="M28" i="106"/>
  <c r="M19" i="106"/>
  <c r="K39" i="106"/>
  <c r="M35" i="106"/>
  <c r="J39" i="106"/>
  <c r="M31" i="106"/>
  <c r="M32" i="106"/>
  <c r="M22" i="106"/>
  <c r="M36" i="106"/>
  <c r="M16" i="106"/>
  <c r="J21" i="106"/>
  <c r="K35" i="106"/>
  <c r="L27" i="106"/>
  <c r="L19" i="106"/>
  <c r="K28" i="106"/>
  <c r="J35" i="106"/>
  <c r="J19" i="106"/>
  <c r="L26" i="106"/>
  <c r="K27" i="106"/>
  <c r="L16" i="106"/>
  <c r="K32" i="106"/>
  <c r="K19" i="106"/>
  <c r="J32" i="106"/>
  <c r="J28" i="106"/>
  <c r="K26" i="106"/>
  <c r="K21" i="106"/>
  <c r="K33" i="106"/>
  <c r="J33" i="106"/>
  <c r="L35" i="106"/>
  <c r="L33" i="106"/>
  <c r="J26" i="106"/>
  <c r="L21" i="106"/>
  <c r="L32" i="106"/>
  <c r="L28" i="106"/>
  <c r="K16" i="106"/>
  <c r="J27" i="106"/>
  <c r="P102" i="105"/>
  <c r="P146" i="105" s="1"/>
  <c r="P69" i="82" s="1"/>
  <c r="K90" i="106"/>
  <c r="L30" i="106"/>
  <c r="K64" i="106"/>
  <c r="J80" i="106"/>
  <c r="P79" i="106"/>
  <c r="O65" i="106"/>
  <c r="O80" i="106"/>
  <c r="O55" i="106"/>
  <c r="K66" i="106"/>
  <c r="O50" i="106"/>
  <c r="P50" i="106"/>
  <c r="O72" i="106"/>
  <c r="K76" i="106"/>
  <c r="M69" i="106"/>
  <c r="N74" i="106"/>
  <c r="K70" i="106"/>
  <c r="J72" i="106"/>
  <c r="K51" i="106"/>
  <c r="P64" i="106"/>
  <c r="P56" i="106"/>
  <c r="J81" i="106"/>
  <c r="L69" i="106"/>
  <c r="O76" i="106"/>
  <c r="N55" i="106"/>
  <c r="M81" i="106"/>
  <c r="N68" i="106"/>
  <c r="O78" i="106"/>
  <c r="J76" i="106"/>
  <c r="N56" i="106"/>
  <c r="M67" i="106"/>
  <c r="N63" i="106"/>
  <c r="N71" i="106"/>
  <c r="O63" i="106"/>
  <c r="O75" i="106"/>
  <c r="K65" i="106"/>
  <c r="N58" i="106"/>
  <c r="L70" i="106"/>
  <c r="O52" i="106"/>
  <c r="O77" i="106"/>
  <c r="N59" i="106"/>
  <c r="M75" i="106"/>
  <c r="P77" i="106"/>
  <c r="M77" i="106"/>
  <c r="L67" i="106"/>
  <c r="L52" i="106"/>
  <c r="N65" i="106"/>
  <c r="P55" i="106"/>
  <c r="J52" i="106"/>
  <c r="N69" i="106"/>
  <c r="M63" i="106"/>
  <c r="P80" i="106"/>
  <c r="P66" i="106"/>
  <c r="M73" i="106"/>
  <c r="P70" i="106"/>
  <c r="P65" i="106"/>
  <c r="J58" i="106"/>
  <c r="M76" i="106"/>
  <c r="M79" i="106"/>
  <c r="O70" i="106"/>
  <c r="M64" i="106"/>
  <c r="J64" i="106"/>
  <c r="J57" i="106"/>
  <c r="P53" i="106"/>
  <c r="L74" i="106"/>
  <c r="P78" i="106"/>
  <c r="N61" i="106"/>
  <c r="K80" i="106"/>
  <c r="K69" i="106"/>
  <c r="M66" i="106"/>
  <c r="J69" i="106"/>
  <c r="O74" i="106"/>
  <c r="N50" i="106"/>
  <c r="L68" i="106"/>
  <c r="L63" i="106"/>
  <c r="P73" i="106"/>
  <c r="K58" i="106"/>
  <c r="K72" i="106"/>
  <c r="O59" i="106"/>
  <c r="L72" i="106"/>
  <c r="P74" i="106"/>
  <c r="P58" i="106"/>
  <c r="J79" i="106"/>
  <c r="N80" i="106"/>
  <c r="P59" i="106"/>
  <c r="J63" i="106"/>
  <c r="P57" i="106"/>
  <c r="N81" i="106"/>
  <c r="O56" i="106"/>
  <c r="L66" i="106"/>
  <c r="O71" i="106"/>
  <c r="L65" i="106"/>
  <c r="P81" i="106"/>
  <c r="P61" i="106"/>
  <c r="O66" i="106"/>
  <c r="N72" i="106"/>
  <c r="P51" i="106"/>
  <c r="N78" i="106"/>
  <c r="N62" i="106"/>
  <c r="K71" i="106"/>
  <c r="L80" i="106"/>
  <c r="O58" i="106"/>
  <c r="K75" i="106"/>
  <c r="N54" i="106"/>
  <c r="O61" i="106"/>
  <c r="N64" i="106"/>
  <c r="L71" i="106"/>
  <c r="K67" i="106"/>
  <c r="P52" i="106"/>
  <c r="N52" i="106"/>
  <c r="O68" i="106"/>
  <c r="O53" i="106"/>
  <c r="L77" i="106"/>
  <c r="P68" i="106"/>
  <c r="M74" i="106"/>
  <c r="N70" i="106"/>
  <c r="P72" i="106"/>
  <c r="N79" i="106"/>
  <c r="J75" i="106"/>
  <c r="O64" i="106"/>
  <c r="O69" i="106"/>
  <c r="J78" i="106"/>
  <c r="L57" i="106"/>
  <c r="L64" i="106"/>
  <c r="P69" i="106"/>
  <c r="K77" i="106"/>
  <c r="N73" i="106"/>
  <c r="P54" i="106"/>
  <c r="O67" i="106"/>
  <c r="L58" i="106"/>
  <c r="M71" i="106"/>
  <c r="N53" i="106"/>
  <c r="N60" i="106"/>
  <c r="M65" i="106"/>
  <c r="N51" i="106"/>
  <c r="M51" i="106"/>
  <c r="K63" i="106"/>
  <c r="P60" i="106"/>
  <c r="J70" i="106"/>
  <c r="P71" i="106"/>
  <c r="M52" i="106"/>
  <c r="K57" i="106"/>
  <c r="M78" i="106"/>
  <c r="P63" i="106"/>
  <c r="K68" i="106"/>
  <c r="L78" i="106"/>
  <c r="K52" i="106"/>
  <c r="O51" i="106"/>
  <c r="O79" i="106"/>
  <c r="L51" i="106"/>
  <c r="L75" i="106"/>
  <c r="O57" i="106"/>
  <c r="K78" i="106"/>
  <c r="O62" i="106"/>
  <c r="J71" i="106"/>
  <c r="L76" i="106"/>
  <c r="J68" i="106"/>
  <c r="P75" i="106"/>
  <c r="M80" i="106"/>
  <c r="J67" i="106"/>
  <c r="M70" i="106"/>
  <c r="J51" i="106"/>
  <c r="O60" i="106"/>
  <c r="M58" i="106"/>
  <c r="O73" i="106"/>
  <c r="M57" i="106"/>
  <c r="M68" i="106"/>
  <c r="L79" i="106"/>
  <c r="K81" i="106"/>
  <c r="P76" i="106"/>
  <c r="N57" i="106"/>
  <c r="P67" i="106"/>
  <c r="M72" i="106"/>
  <c r="J65" i="106"/>
  <c r="N67" i="106"/>
  <c r="O54" i="106"/>
  <c r="J77" i="106"/>
  <c r="L81" i="106"/>
  <c r="O81" i="106"/>
  <c r="N76" i="106"/>
  <c r="P62" i="106"/>
  <c r="J66" i="106"/>
  <c r="N77" i="106"/>
  <c r="J74" i="106"/>
  <c r="K74" i="106"/>
  <c r="N66" i="106"/>
  <c r="K79" i="106"/>
  <c r="N75" i="106"/>
  <c r="M56" i="106"/>
  <c r="M59" i="106"/>
  <c r="M61" i="106"/>
  <c r="M55" i="106"/>
  <c r="M60" i="106"/>
  <c r="M54" i="106"/>
  <c r="M53" i="106"/>
  <c r="L73" i="106"/>
  <c r="K73" i="106"/>
  <c r="J73" i="106"/>
  <c r="M62" i="106"/>
  <c r="M50" i="106"/>
  <c r="L61" i="106"/>
  <c r="K62" i="106"/>
  <c r="K55" i="106"/>
  <c r="L60" i="106"/>
  <c r="K60" i="106"/>
  <c r="J55" i="106"/>
  <c r="K61" i="106"/>
  <c r="L50" i="106"/>
  <c r="J61" i="106"/>
  <c r="L53" i="106"/>
  <c r="J62" i="106"/>
  <c r="J60" i="106"/>
  <c r="K53" i="106"/>
  <c r="L55" i="106"/>
  <c r="K50" i="106"/>
  <c r="J53" i="106"/>
  <c r="L62" i="106"/>
  <c r="L36" i="106"/>
  <c r="V343" i="41"/>
  <c r="V385" i="41" s="1"/>
  <c r="U341" i="41"/>
  <c r="J16" i="106"/>
  <c r="AA122" i="105"/>
  <c r="AA142" i="105" s="1"/>
  <c r="L25" i="106"/>
  <c r="K106" i="106"/>
  <c r="L98" i="106"/>
  <c r="K38" i="106"/>
  <c r="U340" i="41"/>
  <c r="J311" i="41"/>
  <c r="J384" i="41" s="1"/>
  <c r="K93" i="106"/>
  <c r="K20" i="106"/>
  <c r="AG343" i="41"/>
  <c r="AG385" i="41" s="1"/>
  <c r="K25" i="106"/>
  <c r="AA357" i="41"/>
  <c r="AA359" i="41" s="1"/>
  <c r="V357" i="41"/>
  <c r="V359" i="41" s="1"/>
  <c r="V140" i="105"/>
  <c r="V174" i="105"/>
  <c r="V71" i="82" s="1"/>
  <c r="V146" i="105"/>
  <c r="V69" i="82" s="1"/>
  <c r="P309" i="41"/>
  <c r="T140" i="105"/>
  <c r="T146" i="105"/>
  <c r="T69" i="82" s="1"/>
  <c r="T174" i="105"/>
  <c r="T71" i="82" s="1"/>
  <c r="X300" i="41"/>
  <c r="X302" i="41" s="1"/>
  <c r="S304" i="41"/>
  <c r="S300" i="41"/>
  <c r="S302" i="41" s="1"/>
  <c r="S107" i="105"/>
  <c r="S184" i="105"/>
  <c r="AF102" i="105"/>
  <c r="X115" i="105"/>
  <c r="X193" i="105"/>
  <c r="Z325" i="41"/>
  <c r="Z327" i="41" s="1"/>
  <c r="U325" i="41"/>
  <c r="U327" i="41" s="1"/>
  <c r="X357" i="41"/>
  <c r="X359" i="41" s="1"/>
  <c r="S357" i="41"/>
  <c r="S359" i="41" s="1"/>
  <c r="AD115" i="105"/>
  <c r="AD193" i="105"/>
  <c r="S194" i="105"/>
  <c r="S116" i="105"/>
  <c r="P307" i="41"/>
  <c r="V200" i="105"/>
  <c r="O311" i="41"/>
  <c r="O384" i="41" s="1"/>
  <c r="X373" i="41"/>
  <c r="X375" i="41" s="1"/>
  <c r="X386" i="41" s="1"/>
  <c r="N195" i="105"/>
  <c r="N117" i="105"/>
  <c r="Y340" i="41"/>
  <c r="N107" i="105"/>
  <c r="N184" i="105"/>
  <c r="P106" i="105"/>
  <c r="P183" i="105"/>
  <c r="O112" i="105"/>
  <c r="Y325" i="41"/>
  <c r="Y327" i="41" s="1"/>
  <c r="T325" i="41"/>
  <c r="T327" i="41" s="1"/>
  <c r="N182" i="105"/>
  <c r="N105" i="105"/>
  <c r="AF115" i="105"/>
  <c r="AF193" i="105"/>
  <c r="V122" i="105"/>
  <c r="X309" i="41"/>
  <c r="X308" i="41"/>
  <c r="J95" i="105"/>
  <c r="M189" i="105"/>
  <c r="M206" i="105" s="1"/>
  <c r="M79" i="82" s="1"/>
  <c r="S195" i="105"/>
  <c r="S117" i="105"/>
  <c r="P116" i="105"/>
  <c r="P194" i="105"/>
  <c r="O174" i="105"/>
  <c r="O71" i="82" s="1"/>
  <c r="O146" i="105"/>
  <c r="O69" i="82" s="1"/>
  <c r="O140" i="105"/>
  <c r="T392" i="41"/>
  <c r="T341" i="41"/>
  <c r="T340" i="41"/>
  <c r="Y341" i="41"/>
  <c r="P184" i="105"/>
  <c r="P107" i="105"/>
  <c r="AH357" i="41"/>
  <c r="AH359" i="41" s="1"/>
  <c r="AO357" i="41"/>
  <c r="AO359" i="41" s="1"/>
  <c r="AB357" i="41"/>
  <c r="AB359" i="41" s="1"/>
  <c r="AJ357" i="41"/>
  <c r="AJ359" i="41" s="1"/>
  <c r="L357" i="41"/>
  <c r="L359" i="41" s="1"/>
  <c r="R357" i="41"/>
  <c r="R359" i="41" s="1"/>
  <c r="AK357" i="41"/>
  <c r="AK359" i="41" s="1"/>
  <c r="Q357" i="41"/>
  <c r="Q359" i="41" s="1"/>
  <c r="W357" i="41"/>
  <c r="W359" i="41" s="1"/>
  <c r="AI357" i="41"/>
  <c r="AI359" i="41" s="1"/>
  <c r="AL357" i="41"/>
  <c r="AL359" i="41" s="1"/>
  <c r="AN357" i="41"/>
  <c r="AN359" i="41" s="1"/>
  <c r="K357" i="41"/>
  <c r="K359" i="41" s="1"/>
  <c r="AM357" i="41"/>
  <c r="AM359" i="41" s="1"/>
  <c r="S373" i="41"/>
  <c r="S375" i="41" s="1"/>
  <c r="S386" i="41" s="1"/>
  <c r="V112" i="105"/>
  <c r="AA174" i="105"/>
  <c r="AA71" i="82" s="1"/>
  <c r="AA146" i="105"/>
  <c r="AA69" i="82" s="1"/>
  <c r="AA140" i="105"/>
  <c r="AA311" i="41"/>
  <c r="AA384" i="41" s="1"/>
  <c r="AF194" i="105"/>
  <c r="AF116" i="105"/>
  <c r="M112" i="105"/>
  <c r="N311" i="41"/>
  <c r="N384" i="41" s="1"/>
  <c r="Z341" i="41"/>
  <c r="Z343" i="41" s="1"/>
  <c r="Z385" i="41" s="1"/>
  <c r="Z388" i="41" s="1"/>
  <c r="Z395" i="41" s="1"/>
  <c r="AE102" i="105"/>
  <c r="AA200" i="105"/>
  <c r="N102" i="105"/>
  <c r="X325" i="41"/>
  <c r="X327" i="41" s="1"/>
  <c r="S325" i="41"/>
  <c r="S327" i="41" s="1"/>
  <c r="AL325" i="41"/>
  <c r="AL327" i="41" s="1"/>
  <c r="AO325" i="41"/>
  <c r="AO327" i="41" s="1"/>
  <c r="K325" i="41"/>
  <c r="K327" i="41" s="1"/>
  <c r="AN325" i="41"/>
  <c r="AN327" i="41" s="1"/>
  <c r="AH325" i="41"/>
  <c r="AH327" i="41" s="1"/>
  <c r="AI325" i="41"/>
  <c r="AI327" i="41" s="1"/>
  <c r="AM325" i="41"/>
  <c r="AM327" i="41" s="1"/>
  <c r="AJ325" i="41"/>
  <c r="AJ327" i="41" s="1"/>
  <c r="L325" i="41"/>
  <c r="L327" i="41" s="1"/>
  <c r="R325" i="41"/>
  <c r="R327" i="41" s="1"/>
  <c r="Q325" i="41"/>
  <c r="Q327" i="41" s="1"/>
  <c r="AB325" i="41"/>
  <c r="AB327" i="41" s="1"/>
  <c r="AK325" i="41"/>
  <c r="AK327" i="41" s="1"/>
  <c r="W325" i="41"/>
  <c r="W327" i="41" s="1"/>
  <c r="V189" i="105"/>
  <c r="V309" i="41"/>
  <c r="AF195" i="105"/>
  <c r="AF117" i="105"/>
  <c r="AD307" i="41"/>
  <c r="V308" i="41"/>
  <c r="T112" i="105"/>
  <c r="J193" i="105"/>
  <c r="J200" i="105" s="1"/>
  <c r="J115" i="105"/>
  <c r="J62" i="55"/>
  <c r="A4" i="65"/>
  <c r="Y102" i="105"/>
  <c r="Y115" i="105"/>
  <c r="Y193" i="105"/>
  <c r="AC122" i="105"/>
  <c r="AF307" i="41"/>
  <c r="T189" i="105"/>
  <c r="X195" i="105"/>
  <c r="X117" i="105"/>
  <c r="AC174" i="105"/>
  <c r="AC71" i="82" s="1"/>
  <c r="AC146" i="105"/>
  <c r="AC69" i="82" s="1"/>
  <c r="AC140" i="105"/>
  <c r="AD102" i="105"/>
  <c r="N106" i="105"/>
  <c r="N183" i="105"/>
  <c r="O343" i="41"/>
  <c r="O385" i="41" s="1"/>
  <c r="AC200" i="105"/>
  <c r="AE309" i="41"/>
  <c r="AE193" i="105"/>
  <c r="AE115" i="105"/>
  <c r="AD194" i="105"/>
  <c r="AD116" i="105"/>
  <c r="AF309" i="41"/>
  <c r="AA343" i="41"/>
  <c r="AA385" i="41" s="1"/>
  <c r="Z122" i="105"/>
  <c r="N194" i="105"/>
  <c r="N116" i="105"/>
  <c r="P343" i="41"/>
  <c r="P385" i="41" s="1"/>
  <c r="S115" i="105"/>
  <c r="S193" i="105"/>
  <c r="Z357" i="41"/>
  <c r="Z359" i="41" s="1"/>
  <c r="U357" i="41"/>
  <c r="U359" i="41" s="1"/>
  <c r="J182" i="105"/>
  <c r="J189" i="105" s="1"/>
  <c r="J105" i="105"/>
  <c r="J386" i="41"/>
  <c r="N193" i="105"/>
  <c r="N115" i="105"/>
  <c r="Y195" i="105"/>
  <c r="Y117" i="105"/>
  <c r="P308" i="41"/>
  <c r="V307" i="41"/>
  <c r="AC311" i="41"/>
  <c r="AC384" i="41" s="1"/>
  <c r="AC388" i="41" s="1"/>
  <c r="AC395" i="41" s="1"/>
  <c r="AE117" i="105"/>
  <c r="AE195" i="105"/>
  <c r="AG311" i="41"/>
  <c r="AG384" i="41" s="1"/>
  <c r="S183" i="105"/>
  <c r="S106" i="105"/>
  <c r="Y116" i="105"/>
  <c r="Y194" i="105"/>
  <c r="X307" i="41"/>
  <c r="AE307" i="41"/>
  <c r="P105" i="105"/>
  <c r="P182" i="105"/>
  <c r="U122" i="105"/>
  <c r="Y357" i="41"/>
  <c r="Y359" i="41" s="1"/>
  <c r="Z174" i="105"/>
  <c r="Z71" i="82" s="1"/>
  <c r="Z146" i="105"/>
  <c r="Z69" i="82" s="1"/>
  <c r="Z140" i="105"/>
  <c r="U68" i="82"/>
  <c r="M311" i="41"/>
  <c r="M384" i="41" s="1"/>
  <c r="M388" i="41" s="1"/>
  <c r="M395" i="41" s="1"/>
  <c r="AE194" i="105"/>
  <c r="AE116" i="105"/>
  <c r="S102" i="105"/>
  <c r="Z200" i="105"/>
  <c r="X332" i="41"/>
  <c r="X334" i="41" s="1"/>
  <c r="X336" i="41" s="1"/>
  <c r="S332" i="41"/>
  <c r="S334" i="41" s="1"/>
  <c r="S336" i="41" s="1"/>
  <c r="S105" i="105"/>
  <c r="S182" i="105"/>
  <c r="U200" i="105"/>
  <c r="U207" i="105" s="1"/>
  <c r="U80" i="82" s="1"/>
  <c r="T304" i="41"/>
  <c r="T300" i="41"/>
  <c r="T302" i="41" s="1"/>
  <c r="Y300" i="41"/>
  <c r="Y302" i="41" s="1"/>
  <c r="X102" i="105"/>
  <c r="AA325" i="41"/>
  <c r="AA327" i="41" s="1"/>
  <c r="V325" i="41"/>
  <c r="V327" i="41" s="1"/>
  <c r="M68" i="82"/>
  <c r="M207" i="105"/>
  <c r="M80" i="82" s="1"/>
  <c r="AD195" i="105"/>
  <c r="AD117" i="105"/>
  <c r="X194" i="105"/>
  <c r="X116" i="105"/>
  <c r="N343" i="41"/>
  <c r="N385" i="41" s="1"/>
  <c r="P195" i="105"/>
  <c r="P117" i="105"/>
  <c r="U311" i="41"/>
  <c r="U384" i="41" s="1"/>
  <c r="Y311" i="41"/>
  <c r="Y384" i="41" s="1"/>
  <c r="P193" i="105"/>
  <c r="P115" i="105"/>
  <c r="X311" i="41" l="1"/>
  <c r="X384" i="41" s="1"/>
  <c r="M142" i="105"/>
  <c r="J388" i="41"/>
  <c r="J395" i="41" s="1"/>
  <c r="J400" i="41" s="1"/>
  <c r="AG388" i="41"/>
  <c r="AG395" i="41" s="1"/>
  <c r="AG400" i="41" s="1"/>
  <c r="U147" i="105"/>
  <c r="AD311" i="41"/>
  <c r="AD384" i="41" s="1"/>
  <c r="AD388" i="41" s="1"/>
  <c r="AD395" i="41" s="1"/>
  <c r="AA148" i="105"/>
  <c r="T148" i="105"/>
  <c r="P189" i="105"/>
  <c r="O142" i="105"/>
  <c r="S112" i="105"/>
  <c r="S141" i="105" s="1"/>
  <c r="S189" i="105"/>
  <c r="S200" i="105"/>
  <c r="S122" i="105"/>
  <c r="S142" i="105" s="1"/>
  <c r="U343" i="41"/>
  <c r="U385" i="41" s="1"/>
  <c r="U388" i="41" s="1"/>
  <c r="U395" i="41" s="1"/>
  <c r="U400" i="41" s="1"/>
  <c r="H107" i="105"/>
  <c r="P140" i="105"/>
  <c r="P68" i="82" s="1"/>
  <c r="H119" i="106" a="1"/>
  <c r="H119" i="106" s="1"/>
  <c r="A4" i="106" s="1"/>
  <c r="P174" i="105"/>
  <c r="P71" i="82" s="1"/>
  <c r="Y343" i="41"/>
  <c r="Y385" i="41" s="1"/>
  <c r="Y388" i="41" s="1"/>
  <c r="Y395" i="41" s="1"/>
  <c r="AD200" i="105"/>
  <c r="H117" i="105"/>
  <c r="AD122" i="105"/>
  <c r="AD148" i="105" s="1"/>
  <c r="Y122" i="105"/>
  <c r="Y148" i="105" s="1"/>
  <c r="P112" i="105"/>
  <c r="P147" i="105" s="1"/>
  <c r="H106" i="105"/>
  <c r="T343" i="41"/>
  <c r="T385" i="41" s="1"/>
  <c r="H116" i="105"/>
  <c r="AE311" i="41"/>
  <c r="AE384" i="41" s="1"/>
  <c r="AE388" i="41" s="1"/>
  <c r="AE395" i="41" s="1"/>
  <c r="AE399" i="41" s="1"/>
  <c r="Z400" i="41"/>
  <c r="Z399" i="41"/>
  <c r="Z398" i="41"/>
  <c r="AA68" i="82"/>
  <c r="AA206" i="105"/>
  <c r="AA207" i="105"/>
  <c r="AA80" i="82" s="1"/>
  <c r="T391" i="41"/>
  <c r="T307" i="41"/>
  <c r="T309" i="41"/>
  <c r="T308" i="41"/>
  <c r="Z68" i="82"/>
  <c r="Z207" i="105"/>
  <c r="Z80" i="82" s="1"/>
  <c r="Z206" i="105"/>
  <c r="V141" i="105"/>
  <c r="V147" i="105"/>
  <c r="O68" i="82"/>
  <c r="O206" i="105"/>
  <c r="O79" i="82" s="1"/>
  <c r="O207" i="105"/>
  <c r="O80" i="82" s="1"/>
  <c r="O147" i="105"/>
  <c r="O141" i="105"/>
  <c r="S140" i="105"/>
  <c r="S174" i="105"/>
  <c r="S71" i="82" s="1"/>
  <c r="S146" i="105"/>
  <c r="S69" i="82" s="1"/>
  <c r="AE146" i="105"/>
  <c r="AE69" i="82" s="1"/>
  <c r="AE140" i="105"/>
  <c r="AE174" i="105"/>
  <c r="AE71" i="82" s="1"/>
  <c r="S391" i="41"/>
  <c r="S307" i="41"/>
  <c r="S309" i="41"/>
  <c r="S308" i="41"/>
  <c r="X200" i="105"/>
  <c r="AF311" i="41"/>
  <c r="AF384" i="41" s="1"/>
  <c r="AF388" i="41" s="1"/>
  <c r="AF395" i="41" s="1"/>
  <c r="X122" i="105"/>
  <c r="Y146" i="105"/>
  <c r="Y69" i="82" s="1"/>
  <c r="Y140" i="105"/>
  <c r="Y174" i="105"/>
  <c r="Y71" i="82" s="1"/>
  <c r="V148" i="105"/>
  <c r="V142" i="105"/>
  <c r="AC142" i="105"/>
  <c r="AC148" i="105"/>
  <c r="AF200" i="105"/>
  <c r="V206" i="105"/>
  <c r="V79" i="82" s="1"/>
  <c r="V207" i="105"/>
  <c r="V80" i="82" s="1"/>
  <c r="V68" i="82"/>
  <c r="N388" i="41"/>
  <c r="N395" i="41" s="1"/>
  <c r="AF122" i="105"/>
  <c r="O388" i="41"/>
  <c r="O395" i="41" s="1"/>
  <c r="AF140" i="105"/>
  <c r="AF146" i="105"/>
  <c r="AF69" i="82" s="1"/>
  <c r="AF174" i="105"/>
  <c r="AF71" i="82" s="1"/>
  <c r="AC399" i="41"/>
  <c r="AC400" i="41"/>
  <c r="AC398" i="41"/>
  <c r="N146" i="105"/>
  <c r="N69" i="82" s="1"/>
  <c r="N174" i="105"/>
  <c r="N71" i="82" s="1"/>
  <c r="N140" i="105"/>
  <c r="M141" i="105"/>
  <c r="M147" i="105"/>
  <c r="N112" i="105"/>
  <c r="T68" i="82"/>
  <c r="T207" i="105"/>
  <c r="T80" i="82" s="1"/>
  <c r="T206" i="105"/>
  <c r="T79" i="82" s="1"/>
  <c r="M400" i="41"/>
  <c r="M398" i="41"/>
  <c r="M399" i="41"/>
  <c r="Z142" i="105"/>
  <c r="Z148" i="105"/>
  <c r="AD174" i="105"/>
  <c r="AD71" i="82" s="1"/>
  <c r="AD146" i="105"/>
  <c r="AD69" i="82" s="1"/>
  <c r="AD140" i="105"/>
  <c r="J122" i="105"/>
  <c r="H115" i="105"/>
  <c r="N189" i="105"/>
  <c r="P311" i="41"/>
  <c r="P384" i="41" s="1"/>
  <c r="P388" i="41" s="1"/>
  <c r="P395" i="41" s="1"/>
  <c r="P122" i="105"/>
  <c r="U148" i="105"/>
  <c r="U142" i="105"/>
  <c r="P200" i="105"/>
  <c r="N122" i="105"/>
  <c r="AC68" i="82"/>
  <c r="AC207" i="105"/>
  <c r="AC80" i="82" s="1"/>
  <c r="AC206" i="105"/>
  <c r="X146" i="105"/>
  <c r="X69" i="82" s="1"/>
  <c r="X174" i="105"/>
  <c r="X71" i="82" s="1"/>
  <c r="X140" i="105"/>
  <c r="N200" i="105"/>
  <c r="AE200" i="105"/>
  <c r="T141" i="105"/>
  <c r="T147" i="105"/>
  <c r="AA388" i="41"/>
  <c r="AA395" i="41" s="1"/>
  <c r="H105" i="105"/>
  <c r="J112" i="105"/>
  <c r="S392" i="41"/>
  <c r="S340" i="41"/>
  <c r="S341" i="41"/>
  <c r="X392" i="41"/>
  <c r="X340" i="41"/>
  <c r="X341" i="41"/>
  <c r="AE122" i="105"/>
  <c r="V311" i="41"/>
  <c r="V384" i="41" s="1"/>
  <c r="V388" i="41" s="1"/>
  <c r="V395" i="41" s="1"/>
  <c r="H428" i="41"/>
  <c r="Y200" i="105"/>
  <c r="H95" i="105"/>
  <c r="J102" i="105"/>
  <c r="AG399" i="41" l="1"/>
  <c r="AG398" i="41"/>
  <c r="J398" i="41"/>
  <c r="J399" i="41"/>
  <c r="AD400" i="41"/>
  <c r="AD399" i="41"/>
  <c r="AD398" i="41"/>
  <c r="S147" i="105"/>
  <c r="S148" i="105"/>
  <c r="AD142" i="105"/>
  <c r="P207" i="105"/>
  <c r="P80" i="82" s="1"/>
  <c r="U398" i="41"/>
  <c r="J64" i="55"/>
  <c r="U399" i="41"/>
  <c r="H122" i="105"/>
  <c r="AE398" i="41"/>
  <c r="AE400" i="41"/>
  <c r="P206" i="105"/>
  <c r="P79" i="82" s="1"/>
  <c r="Y142" i="105"/>
  <c r="P141" i="105"/>
  <c r="H112" i="105"/>
  <c r="J422" i="41"/>
  <c r="J426" i="41" s="1"/>
  <c r="AA398" i="41"/>
  <c r="AA399" i="41"/>
  <c r="AA400" i="41"/>
  <c r="T311" i="41"/>
  <c r="T384" i="41" s="1"/>
  <c r="T388" i="41" s="1"/>
  <c r="T395" i="41" s="1"/>
  <c r="O399" i="41"/>
  <c r="O398" i="41"/>
  <c r="O400" i="41"/>
  <c r="N207" i="105"/>
  <c r="N80" i="82" s="1"/>
  <c r="N206" i="105"/>
  <c r="N79" i="82" s="1"/>
  <c r="N68" i="82"/>
  <c r="S311" i="41"/>
  <c r="S384" i="41" s="1"/>
  <c r="N399" i="41"/>
  <c r="N398" i="41"/>
  <c r="N400" i="41"/>
  <c r="Y207" i="105"/>
  <c r="Y80" i="82" s="1"/>
  <c r="Y206" i="105"/>
  <c r="Y68" i="82"/>
  <c r="N147" i="105"/>
  <c r="N141" i="105"/>
  <c r="Y399" i="41"/>
  <c r="Y398" i="41"/>
  <c r="Y400" i="41"/>
  <c r="AE206" i="105"/>
  <c r="AE68" i="82"/>
  <c r="AE207" i="105"/>
  <c r="AE80" i="82" s="1"/>
  <c r="AE142" i="105"/>
  <c r="AE148" i="105"/>
  <c r="M422" i="41"/>
  <c r="M426" i="41" s="1"/>
  <c r="AC422" i="41"/>
  <c r="AC426" i="41" s="1"/>
  <c r="AD207" i="105"/>
  <c r="AD80" i="82" s="1"/>
  <c r="AD68" i="82"/>
  <c r="AD206" i="105"/>
  <c r="Z422" i="41"/>
  <c r="Z426" i="41" s="1"/>
  <c r="P142" i="105"/>
  <c r="P148" i="105"/>
  <c r="AF148" i="105"/>
  <c r="AF142" i="105"/>
  <c r="AF400" i="41"/>
  <c r="AF398" i="41"/>
  <c r="AF399" i="41"/>
  <c r="S343" i="41"/>
  <c r="S385" i="41" s="1"/>
  <c r="V398" i="41"/>
  <c r="V400" i="41"/>
  <c r="V399" i="41"/>
  <c r="J146" i="105"/>
  <c r="J69" i="82" s="1"/>
  <c r="J174" i="105"/>
  <c r="J71" i="82" s="1"/>
  <c r="J140" i="105"/>
  <c r="J141" i="105"/>
  <c r="J147" i="105"/>
  <c r="N142" i="105"/>
  <c r="N148" i="105"/>
  <c r="AG422" i="41"/>
  <c r="AG426" i="41" s="1"/>
  <c r="S206" i="105"/>
  <c r="S79" i="82" s="1"/>
  <c r="S207" i="105"/>
  <c r="S80" i="82" s="1"/>
  <c r="S68" i="82"/>
  <c r="J142" i="105"/>
  <c r="J148" i="105"/>
  <c r="X343" i="41"/>
  <c r="X385" i="41" s="1"/>
  <c r="X388" i="41" s="1"/>
  <c r="X395" i="41" s="1"/>
  <c r="X207" i="105"/>
  <c r="X80" i="82" s="1"/>
  <c r="X206" i="105"/>
  <c r="X68" i="82"/>
  <c r="H102" i="105"/>
  <c r="P399" i="41"/>
  <c r="P398" i="41"/>
  <c r="P400" i="41"/>
  <c r="AF207" i="105"/>
  <c r="AF80" i="82" s="1"/>
  <c r="AF68" i="82"/>
  <c r="AF206" i="105"/>
  <c r="AD422" i="41" l="1"/>
  <c r="AD426" i="41" s="1"/>
  <c r="U422" i="41"/>
  <c r="U426" i="41" s="1"/>
  <c r="AE422" i="41"/>
  <c r="AE426" i="41" s="1"/>
  <c r="H132" i="105"/>
  <c r="H133" i="105" s="1"/>
  <c r="H135" i="105" s="1"/>
  <c r="V422" i="41"/>
  <c r="V426" i="41" s="1"/>
  <c r="N422" i="41"/>
  <c r="N426" i="41" s="1"/>
  <c r="T398" i="41"/>
  <c r="T399" i="41"/>
  <c r="T400" i="41"/>
  <c r="O422" i="41"/>
  <c r="O426" i="41" s="1"/>
  <c r="S388" i="41"/>
  <c r="AF422" i="41"/>
  <c r="AF426" i="41" s="1"/>
  <c r="P422" i="41"/>
  <c r="P426" i="41" s="1"/>
  <c r="Y422" i="41"/>
  <c r="Y426" i="41" s="1"/>
  <c r="J68" i="82"/>
  <c r="H84" i="82" s="1" a="1"/>
  <c r="H84" i="82" s="1"/>
  <c r="J206" i="105"/>
  <c r="J79" i="82" s="1"/>
  <c r="J207" i="105"/>
  <c r="J80" i="82" s="1"/>
  <c r="X400" i="41"/>
  <c r="X398" i="41"/>
  <c r="X399" i="41"/>
  <c r="AA422" i="41"/>
  <c r="AA426" i="41" s="1"/>
  <c r="H136" i="105" l="1"/>
  <c r="H211" i="105" s="1" a="1"/>
  <c r="H211" i="105" s="1"/>
  <c r="A4" i="82"/>
  <c r="J65" i="55"/>
  <c r="X422" i="41"/>
  <c r="X426" i="41" s="1"/>
  <c r="S395" i="41"/>
  <c r="T422" i="41"/>
  <c r="T426" i="41" s="1"/>
  <c r="A4" i="105" l="1"/>
  <c r="J63" i="55"/>
  <c r="S398" i="41"/>
  <c r="S400" i="41"/>
  <c r="S399" i="41"/>
  <c r="S422" i="41" l="1"/>
  <c r="H430" i="41" a="1"/>
  <c r="H430" i="41" s="1"/>
  <c r="S426" i="41" l="1"/>
  <c r="H426" i="41" s="1"/>
  <c r="H432" i="41" s="1"/>
  <c r="H422" i="41"/>
  <c r="A4" i="41" l="1"/>
  <c r="J61" i="55"/>
  <c r="J66" i="55" s="1"/>
  <c r="A4" i="55" s="1"/>
</calcChain>
</file>

<file path=xl/sharedStrings.xml><?xml version="1.0" encoding="utf-8"?>
<sst xmlns="http://schemas.openxmlformats.org/spreadsheetml/2006/main" count="7968" uniqueCount="1182">
  <si>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</si>
  <si>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</si>
  <si>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</si>
  <si>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</si>
  <si>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</si>
  <si>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</si>
  <si>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</si>
  <si>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</si>
  <si>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</si>
  <si>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</si>
  <si>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</si>
  <si>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</si>
  <si>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</si>
  <si>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</si>
  <si>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</si>
  <si>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</si>
  <si>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</si>
  <si>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</si>
  <si>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</si>
  <si>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</si>
  <si>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</si>
  <si>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</si>
  <si>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</si>
  <si>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</si>
  <si>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</si>
  <si>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</si>
  <si>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</si>
  <si>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</si>
  <si>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</si>
  <si>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</si>
  <si>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</si>
  <si>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</si>
  <si>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</si>
  <si>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</si>
  <si>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</si>
  <si>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</si>
  <si>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</si>
  <si>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</si>
  <si>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</si>
  <si>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</si>
  <si>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</si>
  <si>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</si>
  <si>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</si>
  <si>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</si>
  <si>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</si>
  <si>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</si>
  <si>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</si>
  <si>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</si>
  <si>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</si>
  <si>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</si>
  <si>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</si>
  <si>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</si>
  <si>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</si>
  <si>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</si>
  <si>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</si>
  <si>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</si>
  <si>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</si>
  <si>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</si>
  <si>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</si>
  <si>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</si>
  <si>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</si>
  <si>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</si>
  <si>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</si>
  <si>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</si>
  <si>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</si>
  <si>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</si>
  <si>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</si>
  <si>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</si>
  <si>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</si>
  <si>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</si>
  <si>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</si>
  <si>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</si>
  <si>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</si>
  <si>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</si>
  <si>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</si>
  <si>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</si>
  <si>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</si>
  <si>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</si>
  <si>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</si>
  <si>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</si>
  <si>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</si>
  <si>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</si>
  <si>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</si>
  <si>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</si>
  <si>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</si>
  <si>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</si>
  <si>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</si>
  <si>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</si>
  <si>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</si>
  <si>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</si>
  <si>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</si>
  <si>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</si>
  <si>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</si>
  <si>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</si>
  <si>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</si>
  <si>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</si>
  <si>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</si>
  <si>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</si>
  <si>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</si>
  <si>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</si>
  <si>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</si>
  <si>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</si>
  <si>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</si>
  <si>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</si>
  <si>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</si>
  <si>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</si>
  <si>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</si>
  <si>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</si>
  <si>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</si>
  <si>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</si>
  <si>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</si>
  <si>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</si>
  <si>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</si>
  <si>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</si>
  <si>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</si>
  <si>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</si>
  <si>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</si>
  <si>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</si>
  <si>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</si>
  <si>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</si>
  <si>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</si>
  <si>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</si>
  <si>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</si>
  <si>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</si>
  <si>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</si>
  <si>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</si>
  <si>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</si>
  <si>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</si>
  <si>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</si>
  <si>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</si>
  <si>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</si>
  <si>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</si>
  <si>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</si>
  <si>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</si>
  <si>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</si>
  <si>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</si>
  <si>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</si>
  <si>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</si>
  <si>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</si>
  <si>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</si>
  <si>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</si>
  <si>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</si>
  <si>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</si>
  <si>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</si>
  <si>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</si>
  <si>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</si>
  <si>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</si>
  <si>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</si>
  <si>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</si>
  <si>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</si>
  <si>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</si>
  <si>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</si>
  <si>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</si>
  <si>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</si>
  <si>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</si>
  <si>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</si>
  <si>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</si>
  <si>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</si>
  <si>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</si>
  <si>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</si>
  <si>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</si>
  <si>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</si>
  <si>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</si>
  <si>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</si>
  <si>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</si>
  <si>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</si>
  <si>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</si>
  <si>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</si>
  <si>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</si>
  <si>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</si>
  <si>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</si>
  <si>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</si>
  <si>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</si>
  <si>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</si>
  <si>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</si>
  <si>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</si>
  <si>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</si>
  <si>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</si>
  <si>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</si>
  <si>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</si>
  <si>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</si>
  <si>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</si>
  <si>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</si>
  <si>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</si>
  <si>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</si>
  <si>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</si>
  <si>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</si>
  <si>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</si>
  <si>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</si>
  <si>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</si>
  <si>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</si>
  <si>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</si>
  <si>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</si>
  <si>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</si>
  <si>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</si>
  <si>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</si>
  <si>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</si>
  <si>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</si>
  <si>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</si>
  <si>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</si>
  <si>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</si>
  <si>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</si>
  <si>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</si>
  <si>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</si>
  <si>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</si>
  <si>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</si>
  <si>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</si>
  <si>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</si>
  <si>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</si>
  <si>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</si>
  <si>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</si>
  <si>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</si>
  <si>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</si>
  <si>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</si>
  <si>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</si>
  <si>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</si>
  <si>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</si>
  <si>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</si>
  <si>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</si>
  <si>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</si>
  <si>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</si>
  <si>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</si>
  <si>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</si>
  <si>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</si>
  <si>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</si>
  <si>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</si>
  <si>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</si>
  <si>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</si>
  <si>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</si>
  <si>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</si>
  <si>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</si>
  <si>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</si>
  <si>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</si>
  <si>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</si>
  <si>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</si>
  <si>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</si>
  <si>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</si>
  <si>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</si>
  <si>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</si>
  <si>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</si>
  <si>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</si>
  <si>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</si>
  <si>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</si>
  <si>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</si>
  <si>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</si>
  <si>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</si>
  <si>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</si>
  <si>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</si>
  <si>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</si>
  <si>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</si>
  <si>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</si>
  <si>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</si>
  <si>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</si>
  <si>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</si>
  <si>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</si>
  <si>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</si>
  <si>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</si>
  <si>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</si>
  <si>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</si>
  <si>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</si>
  <si>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</si>
  <si>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</si>
  <si>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</si>
  <si>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</si>
  <si>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</si>
  <si>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</si>
  <si>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</si>
  <si>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</si>
  <si>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</si>
  <si>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</si>
  <si>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</si>
  <si>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</si>
  <si>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</si>
  <si>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</si>
  <si>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</si>
  <si>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</si>
  <si>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</si>
  <si>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</si>
  <si>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</si>
  <si>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</si>
  <si>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</si>
  <si>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</si>
  <si>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</si>
  <si>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</si>
  <si>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</si>
  <si>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</si>
  <si>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</si>
  <si>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</si>
  <si>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</si>
  <si>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</si>
  <si>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</si>
  <si>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</si>
  <si>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</si>
  <si>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</si>
  <si>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</si>
  <si>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</si>
  <si>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</si>
  <si>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</si>
  <si>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</si>
  <si>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</si>
  <si>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</si>
  <si>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</si>
  <si>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</si>
  <si>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</si>
  <si>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</si>
  <si>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</si>
  <si>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</si>
  <si>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</si>
  <si>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</si>
  <si>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</si>
  <si>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</si>
  <si>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</si>
  <si>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</si>
  <si>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</si>
  <si>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</si>
  <si>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</si>
  <si>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</si>
  <si>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</si>
  <si>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</si>
  <si>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</si>
  <si>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</si>
  <si>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</si>
  <si>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</si>
  <si>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</si>
  <si>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</si>
  <si>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</si>
  <si>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</si>
  <si>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</si>
  <si>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</si>
  <si>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</si>
  <si>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</si>
  <si>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</si>
  <si>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</si>
  <si>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</si>
  <si>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</si>
  <si>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</si>
  <si>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</si>
  <si>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</si>
  <si>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</si>
  <si>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</si>
  <si>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</si>
  <si>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</si>
  <si>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</si>
  <si>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</si>
  <si>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</si>
  <si>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</si>
  <si>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</si>
  <si>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</si>
  <si>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</si>
  <si>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</si>
  <si>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</si>
  <si>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</si>
  <si>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</si>
  <si>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</si>
  <si>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</si>
  <si>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</si>
  <si>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</si>
  <si>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</si>
  <si>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</si>
  <si>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</si>
  <si>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</si>
  <si>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</si>
  <si>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</si>
  <si>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</si>
  <si>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</si>
  <si>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</si>
  <si>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</si>
  <si>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</si>
  <si>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</si>
  <si>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</si>
  <si>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</si>
  <si>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</si>
  <si>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</si>
  <si>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</si>
  <si>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</si>
  <si>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</si>
  <si>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</si>
  <si>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</si>
  <si>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</si>
  <si>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</si>
  <si>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</si>
  <si>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</si>
  <si>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</si>
  <si>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</si>
  <si>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</si>
  <si>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</si>
  <si>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</si>
  <si>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</si>
  <si>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</si>
  <si>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</si>
  <si>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</si>
  <si>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</si>
  <si>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</si>
  <si>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</si>
  <si>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</si>
  <si>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</si>
  <si>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</si>
  <si>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</si>
  <si>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</si>
  <si>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</si>
  <si>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</si>
  <si>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</si>
  <si>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</si>
  <si>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</si>
  <si>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</si>
  <si>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</si>
  <si>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</si>
  <si>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</si>
  <si>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</si>
  <si>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</si>
  <si>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</si>
  <si>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</si>
  <si>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</si>
  <si>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</si>
  <si>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</si>
  <si>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</si>
  <si>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</si>
  <si>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</si>
  <si>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</si>
  <si>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</si>
  <si>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</si>
  <si>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</si>
  <si>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</si>
  <si>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</si>
  <si>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</si>
  <si>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</si>
  <si>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</si>
  <si>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</si>
  <si>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</si>
  <si>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</si>
  <si>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</si>
  <si>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</si>
  <si>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</si>
  <si>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</si>
  <si>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</si>
  <si>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</si>
  <si>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</si>
  <si>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</si>
  <si>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</si>
  <si>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</si>
  <si>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</si>
  <si>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</si>
  <si>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</si>
  <si>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</si>
  <si>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</si>
  <si>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</si>
  <si>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</si>
  <si>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</si>
  <si>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</si>
  <si>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</si>
  <si>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</si>
  <si>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</si>
  <si>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</si>
  <si>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</si>
  <si>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</si>
  <si>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</si>
  <si>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</si>
  <si>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</si>
  <si>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</si>
  <si>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</si>
  <si>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</si>
  <si>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</si>
  <si>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</si>
  <si>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</si>
  <si>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</si>
  <si>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</si>
  <si>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</si>
  <si>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</si>
  <si>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</si>
  <si>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</si>
  <si>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</si>
  <si>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</si>
  <si>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</si>
  <si>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</si>
  <si>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</si>
  <si>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</si>
  <si>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</si>
  <si>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</si>
  <si>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</si>
  <si>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</si>
  <si>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</si>
  <si>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</si>
  <si>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</si>
  <si>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</si>
  <si>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</si>
  <si>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</si>
  <si>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</si>
  <si>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</si>
  <si>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</si>
  <si>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</si>
  <si>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</si>
  <si>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</si>
  <si>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</si>
  <si>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</si>
  <si>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</si>
  <si>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</si>
  <si>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</si>
  <si>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</si>
  <si>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</si>
  <si>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</si>
  <si>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</si>
  <si>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</si>
  <si>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</si>
  <si>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</si>
  <si>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</si>
  <si>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</si>
  <si>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</si>
  <si>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</si>
  <si>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</si>
  <si>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</si>
  <si>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</si>
  <si>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</si>
  <si>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</si>
  <si>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</si>
  <si>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</si>
  <si>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</si>
  <si>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</si>
  <si>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</si>
  <si>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</si>
  <si>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</si>
  <si>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</si>
  <si>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</si>
  <si>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</si>
  <si>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</si>
  <si>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</si>
  <si>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</si>
  <si>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</si>
  <si>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</si>
  <si>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</si>
  <si>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</si>
  <si>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</si>
  <si>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</si>
  <si>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</si>
  <si>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</si>
  <si>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</si>
  <si>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</si>
  <si>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</si>
  <si>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</si>
  <si>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</si>
  <si>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</si>
  <si>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</si>
  <si>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</si>
  <si>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</si>
  <si>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</si>
  <si>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</si>
  <si>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</si>
  <si>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</si>
  <si>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</si>
  <si>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</si>
  <si>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</si>
  <si>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</si>
  <si>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</si>
  <si>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</si>
  <si>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</si>
  <si>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</si>
  <si>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</si>
  <si>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</si>
  <si>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</si>
  <si>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</si>
  <si>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</si>
  <si>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</si>
  <si>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</si>
  <si>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</si>
  <si>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</si>
  <si>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</si>
  <si>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</si>
  <si>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</si>
  <si>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</si>
  <si>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</si>
  <si>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</si>
  <si>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</si>
  <si>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</si>
  <si>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</si>
  <si>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</si>
  <si>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</si>
  <si>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</si>
  <si>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</si>
  <si>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</si>
  <si>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</si>
  <si>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</si>
  <si>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</si>
  <si>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</si>
  <si>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</si>
  <si>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</si>
  <si>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</si>
  <si>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</si>
  <si>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</si>
  <si>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</si>
  <si>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</si>
  <si>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</si>
  <si>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</si>
  <si>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</si>
  <si>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</si>
  <si>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</si>
  <si>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</si>
  <si>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</si>
  <si>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</si>
  <si>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</si>
  <si>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</si>
  <si>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</si>
  <si>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</si>
  <si>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</si>
  <si>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</si>
  <si>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</si>
  <si>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</si>
  <si>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</si>
  <si>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</si>
  <si>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</si>
  <si>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</si>
  <si>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</si>
  <si>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</si>
  <si>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</si>
  <si>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</si>
  <si>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</si>
  <si>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</si>
  <si>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</si>
  <si>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</si>
  <si>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</si>
  <si>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</si>
  <si>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</si>
  <si>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</si>
  <si>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</si>
  <si>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</si>
  <si>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</si>
  <si>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</si>
  <si>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</si>
  <si>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</si>
  <si>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</si>
  <si>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</si>
  <si>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</si>
  <si>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</si>
  <si>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</si>
  <si>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</si>
  <si>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</si>
  <si>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</si>
  <si>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</si>
  <si>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</si>
  <si>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</si>
  <si>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</si>
  <si>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</si>
  <si>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</si>
  <si>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</si>
  <si>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</si>
  <si>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</si>
  <si>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</si>
  <si>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</si>
  <si>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</si>
  <si>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</si>
  <si>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</si>
  <si>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</si>
  <si>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</si>
  <si>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</si>
  <si>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</si>
  <si>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</si>
  <si>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</si>
  <si>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</si>
  <si>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</si>
  <si>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</si>
  <si>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</si>
  <si>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</si>
  <si>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</si>
  <si>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</si>
  <si>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</si>
  <si>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</si>
  <si>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</si>
  <si>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</si>
  <si>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</si>
  <si>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</si>
  <si>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</si>
  <si>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</si>
  <si>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</si>
  <si>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</si>
  <si>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</si>
  <si>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</si>
  <si>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</si>
  <si>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</si>
  <si>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</si>
  <si>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</si>
  <si>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</si>
  <si>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</si>
  <si>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</si>
  <si>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</si>
  <si>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</si>
  <si>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</si>
  <si>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</si>
  <si>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</si>
  <si>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</si>
  <si>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</si>
  <si>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</si>
  <si>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</si>
  <si>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</si>
  <si>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</si>
  <si>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</si>
  <si>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</si>
  <si>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</si>
  <si>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</si>
  <si>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</si>
  <si>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</si>
  <si>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</si>
  <si>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</si>
  <si>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</si>
  <si>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</si>
  <si>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</si>
  <si>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</si>
  <si>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</si>
  <si>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</si>
  <si>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</si>
  <si>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</si>
  <si>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</si>
  <si>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</si>
  <si>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</si>
  <si>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</si>
  <si>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</si>
  <si>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</si>
  <si>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</si>
  <si>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</si>
  <si>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</si>
  <si>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</si>
  <si>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</si>
  <si>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</si>
  <si>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</si>
  <si>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</si>
  <si>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</si>
  <si>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</si>
  <si>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</si>
  <si>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</si>
  <si>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</si>
  <si>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</si>
  <si>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</si>
  <si>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</si>
  <si>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</si>
  <si>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</si>
  <si>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</si>
  <si>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</si>
  <si>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</si>
  <si>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</si>
  <si>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</si>
  <si>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</si>
  <si>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</si>
  <si>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</si>
  <si>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</si>
  <si>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</si>
  <si>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</si>
  <si>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</si>
  <si>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</si>
  <si>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</si>
  <si>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</si>
  <si>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</si>
  <si>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</si>
  <si>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</si>
  <si>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</si>
  <si>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</si>
  <si>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</si>
  <si>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</si>
  <si>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</si>
  <si>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</si>
  <si>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</si>
  <si>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</si>
  <si>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</si>
  <si>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</si>
  <si>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</si>
  <si>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</si>
  <si>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</si>
  <si>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</si>
  <si>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</si>
  <si>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</si>
  <si>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</si>
  <si>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</si>
  <si>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</si>
  <si>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</si>
  <si>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</si>
  <si>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</si>
  <si>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</si>
  <si>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</si>
  <si>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</si>
  <si>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</si>
  <si>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</si>
  <si>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</si>
  <si>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</si>
  <si>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</si>
  <si>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</si>
  <si>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</si>
  <si>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</si>
  <si>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</si>
  <si>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</si>
  <si>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</si>
  <si>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</si>
  <si>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</si>
  <si>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</si>
  <si>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</si>
  <si>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</si>
  <si>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</si>
  <si>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</si>
  <si>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</si>
  <si>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</si>
  <si>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</si>
  <si>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</si>
  <si>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</si>
  <si>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</si>
  <si>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</si>
  <si>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</si>
  <si>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</si>
  <si>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</si>
  <si>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</si>
  <si>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</si>
  <si>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</si>
  <si>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</si>
  <si>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</si>
  <si>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</si>
  <si>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</si>
  <si>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</si>
  <si>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</si>
  <si>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</si>
  <si>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</si>
  <si>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</si>
  <si>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</si>
  <si>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</si>
  <si>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</si>
  <si>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</si>
  <si>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</si>
  <si>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</si>
  <si>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</si>
  <si>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</si>
  <si>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</si>
  <si>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</si>
  <si>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</si>
  <si>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</si>
  <si>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</si>
  <si>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</si>
  <si>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</si>
  <si>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</si>
  <si>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</si>
  <si>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</si>
  <si>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</si>
  <si>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</si>
  <si>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</si>
  <si>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</si>
  <si>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</si>
  <si>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</si>
  <si>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</si>
  <si>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</si>
  <si>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</si>
  <si>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</si>
  <si>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</si>
  <si>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</si>
  <si>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</si>
  <si>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</si>
  <si>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</si>
  <si>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</si>
  <si>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</si>
  <si>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</si>
  <si>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</si>
  <si>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</si>
  <si>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</si>
  <si>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</si>
  <si>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</si>
  <si>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</si>
  <si>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</si>
  <si>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</si>
  <si>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</si>
  <si>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</si>
  <si>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</si>
  <si>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</si>
  <si>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</si>
  <si>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</si>
  <si>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</si>
  <si>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</si>
  <si>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</si>
  <si>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</si>
  <si>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</si>
  <si>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</si>
  <si>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</si>
  <si>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</si>
  <si>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</si>
  <si>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</si>
  <si>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</si>
  <si>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</si>
  <si>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</si>
  <si>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</si>
  <si>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</si>
  <si>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</si>
  <si>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</si>
  <si>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</si>
  <si>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</si>
  <si>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</si>
  <si>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</si>
  <si>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</si>
  <si>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</si>
  <si>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</si>
  <si>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</si>
  <si>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</si>
  <si>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</si>
  <si>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</si>
  <si>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</si>
  <si>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</si>
  <si>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</si>
  <si>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</si>
  <si>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</si>
  <si>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</si>
  <si>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</si>
  <si>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</si>
  <si>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</si>
  <si>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</si>
  <si>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</si>
  <si>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</si>
  <si>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</si>
  <si>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</si>
  <si>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</si>
  <si>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</si>
  <si>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</si>
  <si>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</si>
  <si>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</si>
  <si>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</si>
  <si>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</si>
  <si>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</si>
  <si>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</si>
  <si>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</si>
  <si>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</si>
  <si>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</si>
  <si>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</si>
  <si>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</si>
  <si>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</si>
  <si>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</si>
  <si>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</si>
  <si>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</si>
  <si>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</si>
  <si>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</si>
  <si>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</si>
  <si>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</si>
  <si>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</si>
  <si>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</si>
  <si>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</si>
  <si>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</si>
  <si>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</si>
  <si>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</si>
  <si>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</si>
  <si>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</si>
  <si>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</si>
  <si>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</si>
  <si>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</si>
  <si>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</si>
  <si>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</si>
  <si>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</si>
  <si>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</si>
  <si>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</si>
  <si>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</si>
  <si>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</si>
  <si>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</si>
  <si>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</si>
  <si>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</si>
  <si>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</si>
  <si>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</si>
  <si>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</si>
  <si>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</si>
  <si>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</si>
  <si>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</si>
  <si>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</si>
  <si>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</si>
  <si>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</si>
  <si>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</si>
  <si>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</si>
  <si>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</si>
  <si>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</si>
  <si>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</si>
  <si>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</si>
  <si>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</si>
  <si>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</si>
  <si>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</si>
  <si>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</si>
  <si>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</si>
  <si>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</si>
  <si>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</si>
  <si>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</si>
  <si>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</si>
  <si>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</si>
  <si>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</si>
  <si>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</si>
  <si>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</si>
  <si>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</si>
  <si>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</si>
  <si>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</si>
  <si>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</si>
  <si>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</si>
  <si>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</si>
  <si>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</si>
  <si>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</si>
  <si>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</si>
  <si>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</si>
  <si>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</si>
  <si>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</si>
  <si>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</si>
  <si>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</si>
  <si>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</si>
  <si>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</si>
  <si>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</si>
  <si>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</si>
  <si>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</si>
  <si>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</si>
  <si>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</si>
  <si>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</si>
  <si>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</si>
  <si>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</si>
  <si>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</si>
  <si>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</si>
  <si>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</si>
  <si>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</si>
  <si>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</si>
  <si>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</si>
  <si>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</si>
  <si>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</si>
  <si>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</si>
  <si>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</si>
  <si>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</si>
  <si>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</si>
  <si>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</si>
  <si>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</si>
  <si>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</si>
  <si>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</si>
  <si>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</si>
  <si>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</si>
  <si>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</si>
  <si>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</si>
  <si>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</si>
  <si>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</si>
  <si>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</si>
  <si>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</si>
  <si>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</si>
  <si>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</si>
  <si>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</si>
  <si>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</si>
  <si>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</si>
  <si>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</si>
  <si>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</si>
  <si>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</si>
  <si>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</si>
  <si>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</si>
  <si>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</si>
  <si>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</si>
  <si>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</si>
  <si>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</si>
  <si>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</si>
  <si>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</si>
  <si>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</si>
  <si>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</si>
  <si>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</si>
  <si>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</si>
  <si>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</si>
  <si>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</si>
  <si>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</si>
  <si>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</si>
  <si>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</si>
  <si>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</si>
  <si>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</si>
  <si>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</si>
  <si>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</si>
  <si>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</si>
  <si>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</si>
  <si>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</si>
  <si>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</si>
  <si>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</si>
  <si>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</si>
  <si>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</si>
  <si>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</si>
  <si>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</si>
  <si>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</si>
  <si>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</si>
  <si>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</si>
  <si>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</si>
  <si>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</si>
  <si>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</si>
  <si>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</si>
  <si>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</si>
  <si>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</si>
  <si>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</si>
  <si>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</si>
  <si>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</si>
  <si>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</si>
  <si>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</si>
  <si>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</si>
  <si>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</si>
  <si>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</si>
  <si>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</si>
  <si>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</si>
  <si>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</si>
  <si>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</si>
  <si>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</si>
  <si>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</si>
  <si>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</si>
  <si>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</si>
  <si>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</si>
  <si>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</si>
  <si>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</si>
  <si>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</si>
  <si>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</si>
  <si>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</si>
  <si>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</si>
  <si>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</si>
  <si>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</si>
  <si>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</si>
  <si>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</si>
  <si>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</si>
  <si>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</si>
  <si>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</si>
  <si>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</si>
  <si>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</si>
  <si>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</si>
  <si>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</si>
  <si>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</si>
  <si>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</si>
  <si>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</si>
  <si>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</si>
  <si>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</si>
  <si>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</si>
  <si>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</si>
  <si>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</si>
  <si>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</si>
  <si>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</si>
  <si>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</si>
  <si>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</si>
  <si>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</si>
  <si>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</si>
  <si>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</si>
  <si>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</si>
  <si>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</si>
  <si>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</si>
  <si>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</si>
  <si>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</si>
  <si>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</si>
  <si>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</si>
  <si>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</si>
  <si>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</si>
  <si>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</si>
  <si>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</si>
  <si>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</si>
  <si>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</si>
  <si>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</si>
  <si>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</si>
  <si>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</si>
  <si>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</si>
  <si>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</si>
  <si>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</si>
  <si>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</si>
  <si>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</si>
  <si>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</si>
  <si>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</si>
  <si>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</si>
  <si>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</si>
  <si>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</si>
  <si>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</si>
  <si>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</si>
  <si>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</si>
  <si>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</si>
  <si>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</si>
  <si>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</si>
  <si>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</si>
  <si>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</si>
  <si>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</si>
  <si>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</si>
  <si>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</si>
  <si>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</si>
  <si>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</si>
  <si>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</si>
  <si>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</si>
  <si>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</si>
  <si>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</si>
  <si>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</si>
  <si>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</si>
  <si>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</si>
  <si>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</si>
  <si>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Other revenue</t>
  </si>
  <si>
    <t>Return Adjustment</t>
  </si>
  <si>
    <t>Nominal calculated revenue (after tax)</t>
  </si>
  <si>
    <t>Total other revenue</t>
  </si>
  <si>
    <t>Revenue raised outside CDCM - EDCM and Certain Interconnector Revenue</t>
  </si>
  <si>
    <t>Release for charge setting including DCP 421.</t>
  </si>
  <si>
    <t>Attachment A_2026-27 Charging Methodologies Pre-Release (shared on 03/10/2024)</t>
  </si>
  <si>
    <t>Release for 2027/28 charge setting</t>
  </si>
  <si>
    <t>2027/28</t>
  </si>
  <si>
    <t>Attachment A_DCUSA Charging Methodologies Pre-Release for 2027-28 (shared on 08/10/2025)</t>
  </si>
  <si>
    <t>Release for charge setting. One legal text reference updated for DCP325.</t>
  </si>
  <si>
    <t>Paragraph 54, Schedule 20 Table 1</t>
  </si>
  <si>
    <t>The contents of this table are defined on the DCUSA website and referenced in Schedule 20 (Appendix A -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</si>
</sst>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000%"/>
    <numFmt numFmtId="183" formatCode="#,##0.0000000000000_ ;\-#,##0.0000000000000\ "/>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4">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0"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0" xfId="51" applyNumberFormat="1" applyBorder="1" applyProtection="1">
      <protection locked="0"/>
    </xf>
    <xf numFmtId="175" fontId="8" fillId="2" borderId="0" xfId="51" applyNumberFormat="1" applyProtection="1">
      <protection locked="0"/>
    </xf>
    <xf numFmtId="9" fontId="8" fillId="2" borderId="2" xfId="51" applyNumberFormat="1" applyBorder="1" applyProtection="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 cent" xfId="62" builtinId="5" hidden="1"/>
    <cellStyle name="Per 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zoomScale="80" zoomScaleNormal="80" workbookViewId="0"/>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1176</v>
      </c>
    </row>
    <row r="5" spans="2:4" ht="15" customHeight="1" x14ac:dyDescent="0.25">
      <c r="D5" s="35"/>
    </row>
    <row r="6" spans="2:4" ht="15" customHeight="1" x14ac:dyDescent="0.25">
      <c r="B6" s="36" t="str">
        <f>'Version control'!F7</f>
        <v>Model date:</v>
      </c>
      <c r="D6" s="37">
        <f>'Version control'!H7</f>
        <v>45967</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A_DCUSA Charging Methodologies Pre-Release for 2027-28 (shared on 08/10/2025)</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1084</v>
      </c>
    </row>
    <row r="17" spans="2:4" x14ac:dyDescent="0.25">
      <c r="D17" s="4" t="s">
        <v>2</v>
      </c>
    </row>
    <row r="18" spans="2:4" x14ac:dyDescent="0.25">
      <c r="D18" s="3"/>
    </row>
    <row r="19" spans="2:4" ht="15" customHeight="1" x14ac:dyDescent="0.25">
      <c r="B19" s="36" t="s">
        <v>3</v>
      </c>
      <c r="D19" s="416" t="s">
        <v>1177</v>
      </c>
    </row>
    <row r="21" spans="2:4" ht="15" customHeight="1" x14ac:dyDescent="0.25">
      <c r="B21" s="36" t="s">
        <v>4</v>
      </c>
      <c r="D21" s="416" t="s">
        <v>5</v>
      </c>
    </row>
    <row r="23" spans="2:4" ht="15" customHeight="1" x14ac:dyDescent="0.25">
      <c r="B23" s="36" t="s">
        <v>6</v>
      </c>
      <c r="D23" s="416" t="s">
        <v>7</v>
      </c>
    </row>
    <row r="25" spans="2:4" ht="30" customHeight="1" x14ac:dyDescent="0.25">
      <c r="B25" s="36" t="s">
        <v>8</v>
      </c>
      <c r="D25" s="416" t="s">
        <v>9</v>
      </c>
    </row>
    <row r="26" spans="2:4" ht="15" customHeight="1" x14ac:dyDescent="0.25">
      <c r="B26" s="36"/>
    </row>
    <row r="27" spans="2:4" ht="15" customHeight="1" x14ac:dyDescent="0.25">
      <c r="B27" s="36" t="s">
        <v>10</v>
      </c>
    </row>
    <row r="28" spans="2:4" ht="15" customHeight="1" x14ac:dyDescent="0.25">
      <c r="B28" s="41" t="s">
        <v>11</v>
      </c>
      <c r="C28" s="42"/>
      <c r="D28" s="42" t="s">
        <v>12</v>
      </c>
    </row>
    <row r="29" spans="2:4" x14ac:dyDescent="0.25">
      <c r="B29" s="43"/>
      <c r="C29" s="44"/>
      <c r="D29" s="44" t="s">
        <v>13</v>
      </c>
    </row>
    <row r="30" spans="2:4" x14ac:dyDescent="0.25">
      <c r="B30" s="16" t="s">
        <v>14</v>
      </c>
      <c r="D30" s="3" t="s">
        <v>15</v>
      </c>
    </row>
    <row r="31" spans="2:4" x14ac:dyDescent="0.25">
      <c r="B31" s="417" t="s">
        <v>14</v>
      </c>
      <c r="D31" s="3" t="s">
        <v>16</v>
      </c>
    </row>
    <row r="32" spans="2:4" x14ac:dyDescent="0.25">
      <c r="B32" s="418" t="s">
        <v>14</v>
      </c>
      <c r="D32" s="3" t="s">
        <v>17</v>
      </c>
    </row>
    <row r="33" spans="2:4" x14ac:dyDescent="0.25">
      <c r="B33" s="45" t="s">
        <v>14</v>
      </c>
      <c r="D33" s="3" t="s">
        <v>18</v>
      </c>
    </row>
    <row r="34" spans="2:4" x14ac:dyDescent="0.25">
      <c r="B34" s="46" t="s">
        <v>14</v>
      </c>
      <c r="D34" s="3" t="s">
        <v>19</v>
      </c>
    </row>
    <row r="35" spans="2:4" x14ac:dyDescent="0.25">
      <c r="B35" s="47" t="s">
        <v>14</v>
      </c>
      <c r="D35" s="3" t="s">
        <v>20</v>
      </c>
    </row>
    <row r="36" spans="2:4" x14ac:dyDescent="0.25">
      <c r="B36" s="48" t="s">
        <v>14</v>
      </c>
      <c r="D36" s="3" t="s">
        <v>21</v>
      </c>
    </row>
    <row r="37" spans="2:4" x14ac:dyDescent="0.25">
      <c r="B37" s="49" t="s">
        <v>22</v>
      </c>
      <c r="D37" s="3" t="s">
        <v>23</v>
      </c>
    </row>
    <row r="38" spans="2:4" ht="15" customHeight="1" x14ac:dyDescent="0.25">
      <c r="B38" s="50" t="s">
        <v>22</v>
      </c>
      <c r="D38" s="3" t="s">
        <v>24</v>
      </c>
    </row>
    <row r="39" spans="2:4" ht="15" customHeight="1" x14ac:dyDescent="0.25">
      <c r="B39" s="42" t="s">
        <v>22</v>
      </c>
      <c r="D39" s="3" t="s">
        <v>25</v>
      </c>
    </row>
    <row r="40" spans="2:4" ht="15" customHeight="1" x14ac:dyDescent="0.25">
      <c r="B40" s="51" t="s">
        <v>22</v>
      </c>
      <c r="D40" s="3" t="s">
        <v>26</v>
      </c>
    </row>
    <row r="41" spans="2:4" ht="15" customHeight="1" x14ac:dyDescent="0.25">
      <c r="B41" s="52" t="s">
        <v>22</v>
      </c>
      <c r="D41" s="3" t="s">
        <v>27</v>
      </c>
    </row>
    <row r="42" spans="2:4" ht="15" customHeight="1" x14ac:dyDescent="0.25">
      <c r="B42" s="53" t="s">
        <v>22</v>
      </c>
      <c r="D42" s="3" t="s">
        <v>28</v>
      </c>
    </row>
    <row r="43" spans="2:4" ht="15" customHeight="1" x14ac:dyDescent="0.25">
      <c r="B43" s="54" t="s">
        <v>29</v>
      </c>
      <c r="D43" s="3" t="s">
        <v>30</v>
      </c>
    </row>
    <row r="44" spans="2:4" ht="15" customHeight="1" x14ac:dyDescent="0.25">
      <c r="B44" s="55" t="s">
        <v>29</v>
      </c>
      <c r="D44" s="3" t="s">
        <v>31</v>
      </c>
    </row>
    <row r="45" spans="2:4" ht="15" customHeight="1" x14ac:dyDescent="0.25">
      <c r="B45" s="56" t="s">
        <v>29</v>
      </c>
      <c r="D45" s="3" t="s">
        <v>32</v>
      </c>
    </row>
    <row r="46" spans="2:4" ht="15" customHeight="1" x14ac:dyDescent="0.25">
      <c r="B46" s="57" t="s">
        <v>29</v>
      </c>
      <c r="C46" s="58"/>
      <c r="D46" s="58" t="s">
        <v>33</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325</v>
      </c>
      <c r="E9"/>
    </row>
    <row r="10" spans="1:27" x14ac:dyDescent="0.25">
      <c r="C10" s="86" t="s">
        <v>326</v>
      </c>
      <c r="E10"/>
    </row>
    <row r="11" spans="1:27" x14ac:dyDescent="0.25">
      <c r="C11" s="86" t="s">
        <v>327</v>
      </c>
      <c r="E11"/>
    </row>
    <row r="12" spans="1:27" x14ac:dyDescent="0.25">
      <c r="C12" s="86" t="s">
        <v>328</v>
      </c>
      <c r="E12"/>
    </row>
    <row r="13" spans="1:27" x14ac:dyDescent="0.25">
      <c r="C13" s="86"/>
      <c r="E13"/>
    </row>
    <row r="14" spans="1:27" x14ac:dyDescent="0.25">
      <c r="C14" s="86" t="s">
        <v>329</v>
      </c>
      <c r="E14"/>
    </row>
    <row r="15" spans="1:27" x14ac:dyDescent="0.25">
      <c r="C15" s="86" t="s">
        <v>330</v>
      </c>
      <c r="E15"/>
    </row>
    <row r="17" spans="2:27" x14ac:dyDescent="0.25">
      <c r="B17" s="85" t="s">
        <v>331</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control'!$H$42:$H$65,MATCH($A$1,'Version control'!$F$42:$F$65,0),1)&amp;"-A: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332</v>
      </c>
      <c r="F21" s="2"/>
    </row>
    <row r="22" spans="2:27" x14ac:dyDescent="0.25">
      <c r="D22" s="105"/>
      <c r="F22" s="2"/>
    </row>
    <row r="23" spans="2:27" x14ac:dyDescent="0.25">
      <c r="D23"/>
      <c r="E23" s="75" t="s">
        <v>333</v>
      </c>
      <c r="F23" s="75"/>
      <c r="I23" t="s">
        <v>155</v>
      </c>
      <c r="AA23" t="s">
        <v>204</v>
      </c>
    </row>
    <row r="24" spans="2:27" x14ac:dyDescent="0.25">
      <c r="D24"/>
      <c r="E24" s="86" t="s">
        <v>334</v>
      </c>
    </row>
    <row r="25" spans="2:27" x14ac:dyDescent="0.25">
      <c r="D25" s="105"/>
      <c r="F25" s="95" t="s">
        <v>190</v>
      </c>
      <c r="G25" s="95" t="s">
        <v>168</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192</v>
      </c>
      <c r="G26" t="s">
        <v>168</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193</v>
      </c>
      <c r="G27" t="s">
        <v>168</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194</v>
      </c>
      <c r="G28" t="s">
        <v>168</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195</v>
      </c>
      <c r="G29" t="s">
        <v>168</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196</v>
      </c>
      <c r="G30" t="s">
        <v>168</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197</v>
      </c>
      <c r="G31" t="s">
        <v>168</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198</v>
      </c>
      <c r="G32" t="s">
        <v>168</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199</v>
      </c>
      <c r="G33" t="s">
        <v>168</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200</v>
      </c>
      <c r="G34" t="s">
        <v>168</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335</v>
      </c>
      <c r="G35" t="s">
        <v>168</v>
      </c>
      <c r="J35" s="100"/>
      <c r="K35" s="100"/>
      <c r="L35" s="100"/>
      <c r="M35" s="100"/>
      <c r="N35" s="100"/>
      <c r="O35" s="100"/>
      <c r="P35" s="100"/>
      <c r="Q35" s="100"/>
      <c r="R35" s="100"/>
      <c r="S35" s="100"/>
      <c r="T35" s="100"/>
      <c r="U35" s="100"/>
      <c r="V35" s="100"/>
      <c r="W35" s="100"/>
      <c r="X35" s="100"/>
      <c r="Y35" s="100"/>
    </row>
    <row r="36" spans="4:27" x14ac:dyDescent="0.25">
      <c r="D36" s="105"/>
      <c r="F36" s="96" t="s">
        <v>336</v>
      </c>
      <c r="G36" s="96" t="s">
        <v>168</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282</v>
      </c>
      <c r="F38" s="2"/>
    </row>
    <row r="39" spans="4:27" x14ac:dyDescent="0.25">
      <c r="D39" s="105"/>
      <c r="E39"/>
      <c r="F39" s="94" t="s">
        <v>282</v>
      </c>
      <c r="G39" s="94" t="s">
        <v>168</v>
      </c>
      <c r="H39" s="155">
        <f>'Inputs by network level'!P17</f>
        <v>0</v>
      </c>
    </row>
    <row r="40" spans="4:27" x14ac:dyDescent="0.25">
      <c r="D40" s="105"/>
      <c r="F40" s="2"/>
    </row>
    <row r="41" spans="4:27" x14ac:dyDescent="0.25">
      <c r="D41"/>
      <c r="E41" s="75" t="s">
        <v>337</v>
      </c>
      <c r="F41" s="75"/>
    </row>
    <row r="42" spans="4:27" x14ac:dyDescent="0.25">
      <c r="D42"/>
      <c r="E42" s="86" t="s">
        <v>338</v>
      </c>
    </row>
    <row r="43" spans="4:27" x14ac:dyDescent="0.25">
      <c r="D43" s="105"/>
      <c r="F43" s="95" t="s">
        <v>190</v>
      </c>
      <c r="G43" s="95" t="s">
        <v>168</v>
      </c>
      <c r="H43" s="95"/>
      <c r="I43" s="95"/>
      <c r="J43" s="99"/>
      <c r="K43" s="99"/>
      <c r="L43" s="99"/>
      <c r="M43" s="99"/>
      <c r="N43" s="99"/>
      <c r="O43" s="99"/>
      <c r="P43" s="99"/>
      <c r="Q43" s="99"/>
      <c r="R43" s="99"/>
      <c r="S43" s="99"/>
      <c r="T43" s="99"/>
      <c r="U43" s="99"/>
      <c r="V43" s="99"/>
      <c r="W43" s="99"/>
      <c r="X43" s="99"/>
      <c r="Y43" s="99"/>
    </row>
    <row r="44" spans="4:27" x14ac:dyDescent="0.25">
      <c r="D44" s="105"/>
      <c r="F44" t="s">
        <v>192</v>
      </c>
      <c r="G44" t="s">
        <v>168</v>
      </c>
      <c r="J44" s="100"/>
      <c r="K44" s="100"/>
      <c r="L44" s="100"/>
      <c r="M44" s="100"/>
      <c r="N44" s="100"/>
      <c r="O44" s="100"/>
      <c r="P44" s="100"/>
      <c r="Q44" s="100"/>
      <c r="R44" s="100"/>
      <c r="S44" s="100"/>
      <c r="T44" s="100"/>
      <c r="U44" s="100"/>
      <c r="V44" s="100"/>
      <c r="W44" s="100"/>
      <c r="X44" s="100"/>
      <c r="Y44" s="100"/>
    </row>
    <row r="45" spans="4:27" x14ac:dyDescent="0.25">
      <c r="D45" s="105"/>
      <c r="F45" s="145" t="s">
        <v>193</v>
      </c>
      <c r="G45" s="145" t="s">
        <v>168</v>
      </c>
      <c r="H45" s="145"/>
      <c r="I45" s="145" t="s">
        <v>155</v>
      </c>
      <c r="J45" s="156">
        <f>IF($H$39 = 0, J27, J29 * $H$39)</f>
        <v>0</v>
      </c>
      <c r="K45" s="156">
        <f t="shared" ref="K45:Q45" si="0">IF($H$39 = 0, K27, K29 * $H$39)</f>
        <v>0</v>
      </c>
      <c r="L45" s="156">
        <f t="shared" si="0"/>
        <v>0</v>
      </c>
      <c r="M45" s="156">
        <f t="shared" si="0"/>
        <v>0</v>
      </c>
      <c r="N45" s="156">
        <f t="shared" si="0"/>
        <v>0</v>
      </c>
      <c r="O45" s="156">
        <f t="shared" si="0"/>
        <v>0</v>
      </c>
      <c r="P45" s="156">
        <f t="shared" si="0"/>
        <v>0</v>
      </c>
      <c r="Q45" s="156">
        <f t="shared" si="0"/>
        <v>0</v>
      </c>
      <c r="R45" s="157"/>
      <c r="S45" s="157"/>
      <c r="T45" s="157"/>
      <c r="U45" s="157"/>
      <c r="V45" s="157"/>
      <c r="W45" s="157"/>
      <c r="X45" s="157"/>
      <c r="Y45" s="157"/>
      <c r="AA45" t="s">
        <v>339</v>
      </c>
    </row>
    <row r="46" spans="4:27" x14ac:dyDescent="0.25">
      <c r="D46" s="105"/>
      <c r="F46" t="s">
        <v>194</v>
      </c>
      <c r="G46" t="s">
        <v>168</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195</v>
      </c>
      <c r="G47" t="s">
        <v>168</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196</v>
      </c>
      <c r="G48" t="s">
        <v>168</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197</v>
      </c>
      <c r="G49" s="145" t="s">
        <v>168</v>
      </c>
      <c r="H49" s="145"/>
      <c r="I49" s="145" t="s">
        <v>155</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340</v>
      </c>
    </row>
    <row r="50" spans="2:27" x14ac:dyDescent="0.25">
      <c r="D50" s="105"/>
      <c r="F50" t="s">
        <v>198</v>
      </c>
      <c r="G50" t="s">
        <v>168</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199</v>
      </c>
      <c r="G51" t="s">
        <v>168</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200</v>
      </c>
      <c r="G52" t="s">
        <v>168</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335</v>
      </c>
      <c r="G53" t="s">
        <v>168</v>
      </c>
      <c r="J53" s="100"/>
      <c r="K53" s="100"/>
      <c r="L53" s="100"/>
      <c r="M53" s="100"/>
      <c r="N53" s="100"/>
      <c r="O53" s="100"/>
      <c r="P53" s="100"/>
      <c r="Q53" s="100"/>
      <c r="R53" s="100"/>
      <c r="S53" s="100"/>
      <c r="T53" s="100"/>
      <c r="U53" s="100"/>
      <c r="V53" s="100"/>
      <c r="W53" s="100"/>
      <c r="X53" s="100"/>
      <c r="Y53" s="100"/>
    </row>
    <row r="54" spans="2:27" x14ac:dyDescent="0.25">
      <c r="D54" s="105"/>
      <c r="F54" s="96" t="s">
        <v>336</v>
      </c>
      <c r="G54" s="96" t="s">
        <v>168</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232</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233</v>
      </c>
      <c r="G58" s="6" t="s">
        <v>57</v>
      </c>
      <c r="H58" s="113">
        <f t="array" ref="H58">SUM(IF(ISERROR(H25:Y54), 1))</f>
        <v>0</v>
      </c>
    </row>
    <row r="59" spans="2:27" x14ac:dyDescent="0.25">
      <c r="D59"/>
      <c r="E59"/>
    </row>
    <row r="60" spans="2:27" x14ac:dyDescent="0.25">
      <c r="B60" s="85" t="s">
        <v>108</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I5" s="161"/>
      <c r="J5" s="107"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25">
      <c r="H6" s="3"/>
      <c r="I6" s="86"/>
      <c r="J6" s="3"/>
      <c r="K6" s="3"/>
      <c r="L6" s="3"/>
      <c r="M6" s="3"/>
      <c r="N6" s="3"/>
      <c r="O6" s="3"/>
      <c r="P6" s="3"/>
      <c r="Q6" s="3"/>
      <c r="R6" s="3"/>
      <c r="S6" s="3"/>
      <c r="T6" s="3"/>
      <c r="U6" s="3"/>
      <c r="W6" s="3"/>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341</v>
      </c>
    </row>
    <row r="10" spans="1:23" x14ac:dyDescent="0.25">
      <c r="C10" s="86" t="s">
        <v>342</v>
      </c>
    </row>
    <row r="11" spans="1:23" x14ac:dyDescent="0.25">
      <c r="C11" s="86" t="s">
        <v>343</v>
      </c>
    </row>
    <row r="13" spans="1:23" x14ac:dyDescent="0.25">
      <c r="B13" s="85" t="s">
        <v>344</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control'!$H$42:$H$65,MATCH($A$1,'Version control'!$F$42:$F$65,0),1)&amp;"-A: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346</v>
      </c>
      <c r="F19" s="162"/>
      <c r="G19" s="61" t="s">
        <v>168</v>
      </c>
      <c r="H19" s="3"/>
      <c r="I19" s="3"/>
      <c r="J19" s="139"/>
      <c r="K19" s="163">
        <f>'Inputs by network level'!K15</f>
        <v>2.1999999999999999E-2</v>
      </c>
      <c r="L19" s="163">
        <f>'Inputs by network level'!L15</f>
        <v>3.1E-2</v>
      </c>
      <c r="M19" s="139"/>
      <c r="N19" s="163">
        <f>'Inputs by network level'!N15</f>
        <v>7.4999999999999997E-2</v>
      </c>
      <c r="O19" s="139"/>
      <c r="P19" s="139"/>
      <c r="Q19" s="163">
        <f>'Inputs by network level'!Q15</f>
        <v>0.37</v>
      </c>
      <c r="R19" s="139"/>
      <c r="S19" s="139"/>
      <c r="T19" s="100"/>
      <c r="U19" s="100"/>
    </row>
    <row r="20" spans="2:23" x14ac:dyDescent="0.25">
      <c r="E20" t="s">
        <v>244</v>
      </c>
      <c r="F20" s="162"/>
      <c r="G20" s="61" t="s">
        <v>168</v>
      </c>
      <c r="H20" s="3"/>
      <c r="I20" s="3"/>
      <c r="J20" s="164">
        <f t="shared" ref="J20" si="0">IF(I20 = "", 1, I20 / (1 + J19))</f>
        <v>1</v>
      </c>
      <c r="K20" s="164">
        <f>IF(J20 = "", 1, J20 / (1 + K19))</f>
        <v>0.97847358121330719</v>
      </c>
      <c r="L20" s="164">
        <f t="shared" ref="L20:S20" si="1">IF(K20 = "", 1, K20 / (1 + L19))</f>
        <v>0.94905294007110308</v>
      </c>
      <c r="M20" s="164">
        <f t="shared" si="1"/>
        <v>0.94905294007110308</v>
      </c>
      <c r="N20" s="164">
        <f t="shared" si="1"/>
        <v>0.88283994425218892</v>
      </c>
      <c r="O20" s="164">
        <f t="shared" si="1"/>
        <v>0.88283994425218892</v>
      </c>
      <c r="P20" s="164">
        <f t="shared" si="1"/>
        <v>0.88283994425218892</v>
      </c>
      <c r="Q20" s="164">
        <f t="shared" si="1"/>
        <v>0.64440871843225467</v>
      </c>
      <c r="R20" s="164">
        <f t="shared" si="1"/>
        <v>0.64440871843225467</v>
      </c>
      <c r="S20" s="164">
        <f t="shared" si="1"/>
        <v>0.64440871843225467</v>
      </c>
      <c r="T20" s="100"/>
      <c r="U20" s="100"/>
    </row>
    <row r="21" spans="2:23" x14ac:dyDescent="0.25">
      <c r="E21" t="s">
        <v>347</v>
      </c>
      <c r="F21" s="162"/>
      <c r="G21" s="61" t="s">
        <v>168</v>
      </c>
      <c r="H21" s="3"/>
      <c r="I21" s="3"/>
      <c r="J21" s="164">
        <f>1 / J20 - 1</f>
        <v>0</v>
      </c>
      <c r="K21" s="164">
        <f t="shared" ref="K21:S21" si="2">1 / K20 - 1</f>
        <v>2.200000000000002E-2</v>
      </c>
      <c r="L21" s="164">
        <f t="shared" si="2"/>
        <v>5.3682000000000007E-2</v>
      </c>
      <c r="M21" s="164">
        <f t="shared" si="2"/>
        <v>5.3682000000000007E-2</v>
      </c>
      <c r="N21" s="164">
        <f t="shared" si="2"/>
        <v>0.13270815000000002</v>
      </c>
      <c r="O21" s="164">
        <f t="shared" si="2"/>
        <v>0.13270815000000002</v>
      </c>
      <c r="P21" s="164">
        <f t="shared" si="2"/>
        <v>0.13270815000000002</v>
      </c>
      <c r="Q21" s="164">
        <f t="shared" si="2"/>
        <v>0.55181016550000006</v>
      </c>
      <c r="R21" s="164">
        <f t="shared" si="2"/>
        <v>0.55181016550000006</v>
      </c>
      <c r="S21" s="164">
        <f t="shared" si="2"/>
        <v>0.55181016550000006</v>
      </c>
      <c r="T21" s="100"/>
      <c r="U21" s="100"/>
    </row>
    <row r="22" spans="2:23" x14ac:dyDescent="0.25">
      <c r="E22" t="s">
        <v>348</v>
      </c>
      <c r="F22" s="162"/>
      <c r="G22" s="61" t="s">
        <v>168</v>
      </c>
      <c r="H22" s="3"/>
      <c r="I22" s="3"/>
      <c r="J22" s="139"/>
      <c r="K22" s="139"/>
      <c r="L22" s="139"/>
      <c r="M22" s="139"/>
      <c r="N22" s="139"/>
      <c r="O22" s="139"/>
      <c r="P22" s="164">
        <f>M21</f>
        <v>5.3682000000000007E-2</v>
      </c>
      <c r="Q22" s="139"/>
      <c r="R22" s="139"/>
      <c r="S22" s="139"/>
      <c r="T22" s="100"/>
      <c r="U22" s="100"/>
    </row>
    <row r="23" spans="2:23" x14ac:dyDescent="0.25">
      <c r="E23" t="s">
        <v>349</v>
      </c>
      <c r="F23" s="162"/>
      <c r="G23" s="61" t="s">
        <v>168</v>
      </c>
      <c r="H23" s="3"/>
      <c r="I23" s="3" t="s">
        <v>155</v>
      </c>
      <c r="J23" s="165">
        <f t="shared" ref="J23:S23" si="3">IF(J22 = "", J21, J22)</f>
        <v>0</v>
      </c>
      <c r="K23" s="165">
        <f t="shared" si="3"/>
        <v>2.200000000000002E-2</v>
      </c>
      <c r="L23" s="165">
        <f t="shared" si="3"/>
        <v>5.3682000000000007E-2</v>
      </c>
      <c r="M23" s="165">
        <f t="shared" si="3"/>
        <v>5.3682000000000007E-2</v>
      </c>
      <c r="N23" s="165">
        <f t="shared" si="3"/>
        <v>0.13270815000000002</v>
      </c>
      <c r="O23" s="165">
        <f t="shared" si="3"/>
        <v>0.13270815000000002</v>
      </c>
      <c r="P23" s="165">
        <f t="shared" si="3"/>
        <v>5.3682000000000007E-2</v>
      </c>
      <c r="Q23" s="165">
        <f t="shared" si="3"/>
        <v>0.55181016550000006</v>
      </c>
      <c r="R23" s="165">
        <f t="shared" si="3"/>
        <v>0.55181016550000006</v>
      </c>
      <c r="S23" s="165">
        <f t="shared" si="3"/>
        <v>0.55181016550000006</v>
      </c>
      <c r="T23" s="100"/>
      <c r="U23" s="100"/>
      <c r="W23" s="97" t="s">
        <v>350</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control'!$H$42:$H$65,MATCH($A$1,'Version control'!$F$42:$F$65,0),1)&amp;"-B: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351</v>
      </c>
      <c r="F27" s="166"/>
      <c r="G27" s="118" t="s">
        <v>284</v>
      </c>
      <c r="H27" s="3"/>
      <c r="I27" s="3"/>
      <c r="J27" s="119"/>
      <c r="K27" s="167">
        <f>'Inputs by network level'!K19</f>
        <v>1</v>
      </c>
      <c r="L27" s="167">
        <f>'Inputs by network level'!L19</f>
        <v>1.0009999999999999</v>
      </c>
      <c r="M27" s="167">
        <f>'Inputs by network level'!M19</f>
        <v>1.0049999999999999</v>
      </c>
      <c r="N27" s="167">
        <f>'Inputs by network level'!N19</f>
        <v>1.012</v>
      </c>
      <c r="O27" s="167">
        <f>'Inputs by network level'!O19</f>
        <v>1.018</v>
      </c>
      <c r="P27" s="119"/>
      <c r="Q27" s="167">
        <f>'Inputs by network level'!Q19</f>
        <v>1.034</v>
      </c>
      <c r="R27" s="167">
        <f>'Inputs by network level'!R19</f>
        <v>1.048</v>
      </c>
      <c r="S27" s="167">
        <f>'Inputs by network level'!S19</f>
        <v>1.0620000000000001</v>
      </c>
      <c r="T27" s="119"/>
      <c r="U27" s="119"/>
    </row>
    <row r="28" spans="2:23" x14ac:dyDescent="0.25">
      <c r="E28" t="s">
        <v>352</v>
      </c>
      <c r="F28" s="166"/>
      <c r="G28" s="118" t="s">
        <v>284</v>
      </c>
      <c r="H28" s="3"/>
      <c r="I28" s="3"/>
      <c r="J28" s="168">
        <f>K27</f>
        <v>1</v>
      </c>
      <c r="K28" s="119"/>
      <c r="L28" s="119"/>
      <c r="M28" s="119"/>
      <c r="N28" s="119"/>
      <c r="O28" s="119"/>
      <c r="P28" s="168">
        <f>O27</f>
        <v>1.018</v>
      </c>
      <c r="Q28" s="119"/>
      <c r="R28" s="119"/>
      <c r="S28" s="119"/>
      <c r="T28" s="119"/>
      <c r="U28" s="119"/>
    </row>
    <row r="29" spans="2:23" x14ac:dyDescent="0.25">
      <c r="E29" t="s">
        <v>353</v>
      </c>
      <c r="F29" s="166"/>
      <c r="G29" s="118" t="s">
        <v>284</v>
      </c>
      <c r="H29" s="3"/>
      <c r="I29" s="3" t="s">
        <v>155</v>
      </c>
      <c r="J29" s="151">
        <f t="shared" ref="J29:S29" si="4">J27 + J28</f>
        <v>1</v>
      </c>
      <c r="K29" s="151">
        <f t="shared" si="4"/>
        <v>1</v>
      </c>
      <c r="L29" s="151">
        <f t="shared" si="4"/>
        <v>1.0009999999999999</v>
      </c>
      <c r="M29" s="151">
        <f t="shared" si="4"/>
        <v>1.0049999999999999</v>
      </c>
      <c r="N29" s="151">
        <f t="shared" si="4"/>
        <v>1.012</v>
      </c>
      <c r="O29" s="151">
        <f t="shared" si="4"/>
        <v>1.018</v>
      </c>
      <c r="P29" s="151">
        <f t="shared" si="4"/>
        <v>1.018</v>
      </c>
      <c r="Q29" s="151">
        <f t="shared" si="4"/>
        <v>1.034</v>
      </c>
      <c r="R29" s="151">
        <f t="shared" si="4"/>
        <v>1.048</v>
      </c>
      <c r="S29" s="151">
        <f t="shared" si="4"/>
        <v>1.0620000000000001</v>
      </c>
      <c r="T29" s="119"/>
      <c r="U29" s="119"/>
      <c r="W29" s="97" t="s">
        <v>285</v>
      </c>
    </row>
    <row r="30" spans="2:23" x14ac:dyDescent="0.25">
      <c r="F30" s="162"/>
      <c r="G30" s="61"/>
      <c r="H30" s="3"/>
      <c r="I30" s="3"/>
      <c r="J30" s="3"/>
      <c r="K30" s="3"/>
      <c r="L30" s="3"/>
      <c r="M30" s="3"/>
      <c r="N30" s="3"/>
      <c r="O30" s="3"/>
      <c r="Q30" s="3"/>
      <c r="R30" s="3"/>
      <c r="S30" s="3"/>
      <c r="T30" s="3"/>
      <c r="U30" s="3"/>
    </row>
    <row r="31" spans="2:23" x14ac:dyDescent="0.25">
      <c r="B31" s="85" t="s">
        <v>354</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355</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control'!$H$42:$H$65,MATCH($A$1,'Version control'!$F$42:$F$65,0),1)&amp;"-C: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197</v>
      </c>
      <c r="F37" s="94"/>
      <c r="G37" s="118" t="s">
        <v>168</v>
      </c>
      <c r="H37" s="163">
        <f>'Inputs by network level'!P17</f>
        <v>0</v>
      </c>
      <c r="I37" s="3"/>
    </row>
    <row r="38" spans="3:23" x14ac:dyDescent="0.25">
      <c r="E38" t="s">
        <v>356</v>
      </c>
      <c r="F38" s="162"/>
      <c r="G38" s="61" t="s">
        <v>168</v>
      </c>
      <c r="H38" s="3"/>
      <c r="I38" s="3"/>
      <c r="J38" s="100"/>
      <c r="K38" s="100"/>
      <c r="L38" s="100"/>
      <c r="M38" s="169">
        <f>1 - $H$37</f>
        <v>1</v>
      </c>
      <c r="N38" s="169">
        <f>1 - $H$37</f>
        <v>1</v>
      </c>
      <c r="O38" s="169">
        <f>1 - $H$37</f>
        <v>1</v>
      </c>
      <c r="P38" s="170">
        <f>H37</f>
        <v>0</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control'!$H$42:$H$65,MATCH($A$1,'Version control'!$F$42:$F$65,0),1)&amp;"-D: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357</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188</v>
      </c>
      <c r="G44" s="61"/>
    </row>
    <row r="45" spans="3:23" x14ac:dyDescent="0.25">
      <c r="E45" s="86" t="s">
        <v>358</v>
      </c>
      <c r="G45" s="61"/>
    </row>
    <row r="46" spans="3:23" x14ac:dyDescent="0.25">
      <c r="F46" s="95" t="s">
        <v>1114</v>
      </c>
      <c r="G46" s="116" t="s">
        <v>191</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786</v>
      </c>
      <c r="G47" s="118" t="s">
        <v>191</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191</v>
      </c>
      <c r="J48" s="167">
        <v>1</v>
      </c>
      <c r="K48" s="167">
        <v>1</v>
      </c>
      <c r="L48" s="167">
        <v>1</v>
      </c>
      <c r="M48" s="167">
        <v>1</v>
      </c>
      <c r="N48" s="167">
        <v>1</v>
      </c>
      <c r="O48" s="167">
        <v>1</v>
      </c>
      <c r="P48" s="167">
        <v>1</v>
      </c>
      <c r="Q48" s="167">
        <v>1</v>
      </c>
      <c r="R48" s="167">
        <v>1</v>
      </c>
      <c r="S48" s="167">
        <v>1</v>
      </c>
      <c r="T48" s="119"/>
      <c r="U48" s="119"/>
    </row>
    <row r="49" spans="5:21" x14ac:dyDescent="0.25">
      <c r="F49" t="s">
        <v>787</v>
      </c>
      <c r="G49" s="118" t="s">
        <v>191</v>
      </c>
      <c r="J49" s="167">
        <v>1</v>
      </c>
      <c r="K49" s="167">
        <v>1</v>
      </c>
      <c r="L49" s="167">
        <v>1</v>
      </c>
      <c r="M49" s="167">
        <v>1</v>
      </c>
      <c r="N49" s="167">
        <v>1</v>
      </c>
      <c r="O49" s="167">
        <v>1</v>
      </c>
      <c r="P49" s="167">
        <v>1</v>
      </c>
      <c r="Q49" s="167">
        <v>1</v>
      </c>
      <c r="R49" s="167">
        <v>1</v>
      </c>
      <c r="S49" s="167">
        <v>1</v>
      </c>
      <c r="T49" s="119"/>
      <c r="U49" s="119"/>
    </row>
    <row r="50" spans="5:21" x14ac:dyDescent="0.25">
      <c r="F50" t="s">
        <v>793</v>
      </c>
      <c r="G50" s="118" t="s">
        <v>191</v>
      </c>
      <c r="J50" s="167">
        <v>1</v>
      </c>
      <c r="K50" s="167">
        <v>1</v>
      </c>
      <c r="L50" s="167">
        <v>1</v>
      </c>
      <c r="M50" s="167">
        <v>1</v>
      </c>
      <c r="N50" s="167">
        <v>1</v>
      </c>
      <c r="O50" s="167">
        <v>1</v>
      </c>
      <c r="P50" s="167">
        <v>1</v>
      </c>
      <c r="Q50" s="167">
        <v>1</v>
      </c>
      <c r="R50" s="167">
        <v>1</v>
      </c>
      <c r="S50" s="167">
        <v>1</v>
      </c>
      <c r="T50" s="119"/>
      <c r="U50" s="119"/>
    </row>
    <row r="51" spans="5:21" x14ac:dyDescent="0.25">
      <c r="F51" t="s">
        <v>794</v>
      </c>
      <c r="G51" s="118" t="s">
        <v>191</v>
      </c>
      <c r="J51" s="167">
        <v>1</v>
      </c>
      <c r="K51" s="167">
        <v>1</v>
      </c>
      <c r="L51" s="167">
        <v>1</v>
      </c>
      <c r="M51" s="167">
        <v>1</v>
      </c>
      <c r="N51" s="167">
        <v>1</v>
      </c>
      <c r="O51" s="167">
        <v>1</v>
      </c>
      <c r="P51" s="167">
        <v>1</v>
      </c>
      <c r="Q51" s="167">
        <v>1</v>
      </c>
      <c r="R51" s="167">
        <v>1</v>
      </c>
      <c r="S51" s="167">
        <v>0</v>
      </c>
      <c r="T51" s="119"/>
      <c r="U51" s="119"/>
    </row>
    <row r="52" spans="5:21" x14ac:dyDescent="0.25">
      <c r="F52" t="s">
        <v>795</v>
      </c>
      <c r="G52" s="118" t="s">
        <v>191</v>
      </c>
      <c r="J52" s="167">
        <v>1</v>
      </c>
      <c r="K52" s="167">
        <v>1</v>
      </c>
      <c r="L52" s="167">
        <v>1</v>
      </c>
      <c r="M52" s="167">
        <v>1</v>
      </c>
      <c r="N52" s="167">
        <v>1</v>
      </c>
      <c r="O52" s="167">
        <v>1</v>
      </c>
      <c r="P52" s="167">
        <v>1</v>
      </c>
      <c r="Q52" s="167">
        <v>1</v>
      </c>
      <c r="R52" s="167">
        <v>0</v>
      </c>
      <c r="S52" s="167">
        <v>0</v>
      </c>
      <c r="T52" s="119"/>
      <c r="U52" s="119"/>
    </row>
    <row r="53" spans="5:21" x14ac:dyDescent="0.25">
      <c r="F53" t="s">
        <v>796</v>
      </c>
      <c r="G53" s="118" t="s">
        <v>191</v>
      </c>
      <c r="J53" s="167">
        <v>1</v>
      </c>
      <c r="K53" s="167">
        <v>1</v>
      </c>
      <c r="L53" s="167">
        <v>1</v>
      </c>
      <c r="M53" s="167">
        <v>1</v>
      </c>
      <c r="N53" s="167">
        <v>1</v>
      </c>
      <c r="O53" s="167">
        <v>1</v>
      </c>
      <c r="P53" s="167">
        <v>1</v>
      </c>
      <c r="Q53" s="167">
        <v>1</v>
      </c>
      <c r="R53" s="167">
        <v>1</v>
      </c>
      <c r="S53" s="167">
        <v>1</v>
      </c>
      <c r="T53" s="119"/>
      <c r="U53" s="119"/>
    </row>
    <row r="54" spans="5:21" x14ac:dyDescent="0.25">
      <c r="F54" t="s">
        <v>788</v>
      </c>
      <c r="G54" s="118" t="s">
        <v>191</v>
      </c>
      <c r="J54" s="167">
        <v>-1</v>
      </c>
      <c r="K54" s="167">
        <v>-1</v>
      </c>
      <c r="L54" s="167">
        <v>-1</v>
      </c>
      <c r="M54" s="167">
        <v>-1</v>
      </c>
      <c r="N54" s="167">
        <v>-1</v>
      </c>
      <c r="O54" s="167">
        <v>-1</v>
      </c>
      <c r="P54" s="167">
        <v>-1</v>
      </c>
      <c r="Q54" s="167">
        <v>-1</v>
      </c>
      <c r="R54" s="167">
        <v>-1</v>
      </c>
      <c r="S54" s="167">
        <v>-1</v>
      </c>
      <c r="T54" s="119"/>
      <c r="U54" s="119"/>
    </row>
    <row r="55" spans="5:21" x14ac:dyDescent="0.25">
      <c r="F55" t="s">
        <v>789</v>
      </c>
      <c r="G55" s="118" t="s">
        <v>191</v>
      </c>
      <c r="J55" s="167">
        <v>-1</v>
      </c>
      <c r="K55" s="167">
        <v>-1</v>
      </c>
      <c r="L55" s="167">
        <v>-1</v>
      </c>
      <c r="M55" s="167">
        <v>-1</v>
      </c>
      <c r="N55" s="167">
        <v>-1</v>
      </c>
      <c r="O55" s="167">
        <v>-1</v>
      </c>
      <c r="P55" s="167">
        <v>-1</v>
      </c>
      <c r="Q55" s="167">
        <v>-1</v>
      </c>
      <c r="R55" s="167">
        <v>-1</v>
      </c>
      <c r="S55" s="167">
        <v>0</v>
      </c>
      <c r="T55" s="119"/>
      <c r="U55" s="119"/>
    </row>
    <row r="56" spans="5:21" x14ac:dyDescent="0.25">
      <c r="F56" t="s">
        <v>790</v>
      </c>
      <c r="G56" s="118" t="s">
        <v>191</v>
      </c>
      <c r="J56" s="167">
        <v>-1</v>
      </c>
      <c r="K56" s="167">
        <v>-1</v>
      </c>
      <c r="L56" s="167">
        <v>-1</v>
      </c>
      <c r="M56" s="167">
        <v>-1</v>
      </c>
      <c r="N56" s="167">
        <v>-1</v>
      </c>
      <c r="O56" s="167">
        <v>-1</v>
      </c>
      <c r="P56" s="167">
        <v>-1</v>
      </c>
      <c r="Q56" s="167">
        <v>-1</v>
      </c>
      <c r="R56" s="167">
        <v>-1</v>
      </c>
      <c r="S56" s="167">
        <v>-1</v>
      </c>
      <c r="T56" s="119"/>
      <c r="U56" s="119"/>
    </row>
    <row r="57" spans="5:21" x14ac:dyDescent="0.25">
      <c r="F57" t="s">
        <v>799</v>
      </c>
      <c r="G57" s="118" t="s">
        <v>191</v>
      </c>
      <c r="J57" s="167">
        <v>-1</v>
      </c>
      <c r="K57" s="167">
        <v>-1</v>
      </c>
      <c r="L57" s="167">
        <v>-1</v>
      </c>
      <c r="M57" s="167">
        <v>-1</v>
      </c>
      <c r="N57" s="167">
        <v>-1</v>
      </c>
      <c r="O57" s="167">
        <v>-1</v>
      </c>
      <c r="P57" s="167">
        <v>-1</v>
      </c>
      <c r="Q57" s="167">
        <v>-1</v>
      </c>
      <c r="R57" s="167">
        <v>-1</v>
      </c>
      <c r="S57" s="167">
        <v>-1</v>
      </c>
      <c r="T57" s="119"/>
      <c r="U57" s="119"/>
    </row>
    <row r="58" spans="5:21" x14ac:dyDescent="0.25">
      <c r="F58" t="s">
        <v>791</v>
      </c>
      <c r="G58" s="118" t="s">
        <v>191</v>
      </c>
      <c r="J58" s="167">
        <v>-1</v>
      </c>
      <c r="K58" s="167">
        <v>-1</v>
      </c>
      <c r="L58" s="167">
        <v>-1</v>
      </c>
      <c r="M58" s="167">
        <v>-1</v>
      </c>
      <c r="N58" s="167">
        <v>-1</v>
      </c>
      <c r="O58" s="167">
        <v>-1</v>
      </c>
      <c r="P58" s="167">
        <v>-1</v>
      </c>
      <c r="Q58" s="167">
        <v>-1</v>
      </c>
      <c r="R58" s="167">
        <v>-1</v>
      </c>
      <c r="S58" s="167">
        <v>0</v>
      </c>
      <c r="T58" s="119"/>
      <c r="U58" s="119"/>
    </row>
    <row r="59" spans="5:21" x14ac:dyDescent="0.25">
      <c r="F59" t="s">
        <v>798</v>
      </c>
      <c r="G59" s="118" t="s">
        <v>191</v>
      </c>
      <c r="J59" s="167">
        <v>-1</v>
      </c>
      <c r="K59" s="167">
        <v>-1</v>
      </c>
      <c r="L59" s="167">
        <v>-1</v>
      </c>
      <c r="M59" s="167">
        <v>-1</v>
      </c>
      <c r="N59" s="167">
        <v>-1</v>
      </c>
      <c r="O59" s="167">
        <v>-1</v>
      </c>
      <c r="P59" s="167">
        <v>-1</v>
      </c>
      <c r="Q59" s="167">
        <v>-1</v>
      </c>
      <c r="R59" s="167">
        <v>-1</v>
      </c>
      <c r="S59" s="167">
        <v>0</v>
      </c>
      <c r="T59" s="119"/>
      <c r="U59" s="119"/>
    </row>
    <row r="60" spans="5:21" x14ac:dyDescent="0.25">
      <c r="F60" t="s">
        <v>792</v>
      </c>
      <c r="G60" s="118" t="s">
        <v>191</v>
      </c>
      <c r="J60" s="167">
        <v>-1</v>
      </c>
      <c r="K60" s="167">
        <v>-1</v>
      </c>
      <c r="L60" s="167">
        <v>-1</v>
      </c>
      <c r="M60" s="167">
        <v>-1</v>
      </c>
      <c r="N60" s="167">
        <v>-1</v>
      </c>
      <c r="O60" s="167">
        <v>-1</v>
      </c>
      <c r="P60" s="167">
        <v>-1</v>
      </c>
      <c r="Q60" s="167">
        <v>-1</v>
      </c>
      <c r="R60" s="167">
        <v>0</v>
      </c>
      <c r="S60" s="167">
        <v>0</v>
      </c>
      <c r="T60" s="119"/>
      <c r="U60" s="119"/>
    </row>
    <row r="61" spans="5:21" x14ac:dyDescent="0.25">
      <c r="F61" s="96" t="s">
        <v>797</v>
      </c>
      <c r="G61" s="120" t="s">
        <v>191</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359</v>
      </c>
      <c r="G63" s="61"/>
      <c r="J63" s="106"/>
      <c r="K63" s="106"/>
      <c r="L63" s="106"/>
      <c r="M63" s="106"/>
      <c r="N63" s="106"/>
      <c r="O63" s="106"/>
      <c r="P63" s="106"/>
      <c r="Q63" s="106"/>
      <c r="R63" s="106"/>
      <c r="S63" s="106"/>
      <c r="T63" s="106"/>
      <c r="U63" s="106"/>
    </row>
    <row r="64" spans="5:21" x14ac:dyDescent="0.25">
      <c r="E64" s="86" t="s">
        <v>360</v>
      </c>
      <c r="G64" s="61"/>
      <c r="J64" s="106"/>
      <c r="K64" s="106"/>
      <c r="L64" s="106"/>
      <c r="M64" s="106"/>
      <c r="N64" s="106"/>
      <c r="O64" s="106"/>
      <c r="P64" s="106"/>
      <c r="Q64" s="106"/>
      <c r="R64" s="106"/>
      <c r="S64" s="106"/>
      <c r="T64" s="106"/>
      <c r="U64" s="106"/>
    </row>
    <row r="65" spans="6:23" x14ac:dyDescent="0.25">
      <c r="F65" s="95" t="s">
        <v>1114</v>
      </c>
      <c r="G65" s="116" t="s">
        <v>191</v>
      </c>
      <c r="H65" s="95"/>
      <c r="I65" s="95"/>
      <c r="J65" s="147">
        <f t="shared" ref="J65:S65" si="5">IF(J$38 = "", J46, J46 * J$38)</f>
        <v>1</v>
      </c>
      <c r="K65" s="147">
        <f t="shared" si="5"/>
        <v>1</v>
      </c>
      <c r="L65" s="147">
        <f t="shared" si="5"/>
        <v>1</v>
      </c>
      <c r="M65" s="147">
        <f t="shared" si="5"/>
        <v>1</v>
      </c>
      <c r="N65" s="147">
        <f t="shared" si="5"/>
        <v>1</v>
      </c>
      <c r="O65" s="147">
        <f t="shared" si="5"/>
        <v>1</v>
      </c>
      <c r="P65" s="147">
        <f t="shared" si="5"/>
        <v>0</v>
      </c>
      <c r="Q65" s="147">
        <f t="shared" si="5"/>
        <v>1</v>
      </c>
      <c r="R65" s="147">
        <f t="shared" si="5"/>
        <v>1</v>
      </c>
      <c r="S65" s="147">
        <f t="shared" si="5"/>
        <v>1</v>
      </c>
      <c r="T65" s="117"/>
      <c r="U65" s="117"/>
      <c r="W65" s="3"/>
    </row>
    <row r="66" spans="6:23" x14ac:dyDescent="0.25">
      <c r="F66" t="s">
        <v>786</v>
      </c>
      <c r="G66" s="118" t="s">
        <v>191</v>
      </c>
      <c r="J66" s="168">
        <f t="shared" ref="J66:S66" si="6">IF(J$38 = "", J47, J47 * J$38)</f>
        <v>1</v>
      </c>
      <c r="K66" s="168">
        <f t="shared" si="6"/>
        <v>1</v>
      </c>
      <c r="L66" s="168">
        <f t="shared" si="6"/>
        <v>1</v>
      </c>
      <c r="M66" s="168">
        <f t="shared" si="6"/>
        <v>1</v>
      </c>
      <c r="N66" s="168">
        <f t="shared" si="6"/>
        <v>1</v>
      </c>
      <c r="O66" s="168">
        <f t="shared" si="6"/>
        <v>1</v>
      </c>
      <c r="P66" s="168">
        <f t="shared" si="6"/>
        <v>0</v>
      </c>
      <c r="Q66" s="168">
        <f t="shared" si="6"/>
        <v>1</v>
      </c>
      <c r="R66" s="168">
        <f t="shared" si="6"/>
        <v>1</v>
      </c>
      <c r="S66" s="168">
        <f t="shared" si="6"/>
        <v>1</v>
      </c>
      <c r="T66" s="119"/>
      <c r="U66" s="119"/>
    </row>
    <row r="67" spans="6:23" x14ac:dyDescent="0.25">
      <c r="F67" t="s">
        <v>1115</v>
      </c>
      <c r="G67" s="118" t="s">
        <v>191</v>
      </c>
      <c r="J67" s="168">
        <f t="shared" ref="J67:S67" si="7">IF(J$38 = "", J48, J48 * J$38)</f>
        <v>1</v>
      </c>
      <c r="K67" s="168">
        <f t="shared" si="7"/>
        <v>1</v>
      </c>
      <c r="L67" s="168">
        <f t="shared" si="7"/>
        <v>1</v>
      </c>
      <c r="M67" s="168">
        <f t="shared" si="7"/>
        <v>1</v>
      </c>
      <c r="N67" s="168">
        <f t="shared" si="7"/>
        <v>1</v>
      </c>
      <c r="O67" s="168">
        <f t="shared" si="7"/>
        <v>1</v>
      </c>
      <c r="P67" s="168">
        <f t="shared" si="7"/>
        <v>0</v>
      </c>
      <c r="Q67" s="168">
        <f t="shared" si="7"/>
        <v>1</v>
      </c>
      <c r="R67" s="168">
        <f t="shared" si="7"/>
        <v>1</v>
      </c>
      <c r="S67" s="168">
        <f t="shared" si="7"/>
        <v>1</v>
      </c>
      <c r="T67" s="119"/>
      <c r="U67" s="119"/>
    </row>
    <row r="68" spans="6:23" x14ac:dyDescent="0.25">
      <c r="F68" t="s">
        <v>787</v>
      </c>
      <c r="G68" s="118" t="s">
        <v>191</v>
      </c>
      <c r="J68" s="168">
        <f t="shared" ref="J68:S68" si="8">IF(J$38 = "", J49, J49 * J$38)</f>
        <v>1</v>
      </c>
      <c r="K68" s="168">
        <f t="shared" si="8"/>
        <v>1</v>
      </c>
      <c r="L68" s="168">
        <f t="shared" si="8"/>
        <v>1</v>
      </c>
      <c r="M68" s="168">
        <f t="shared" si="8"/>
        <v>1</v>
      </c>
      <c r="N68" s="168">
        <f t="shared" si="8"/>
        <v>1</v>
      </c>
      <c r="O68" s="168">
        <f t="shared" si="8"/>
        <v>1</v>
      </c>
      <c r="P68" s="168">
        <f t="shared" si="8"/>
        <v>0</v>
      </c>
      <c r="Q68" s="168">
        <f t="shared" si="8"/>
        <v>1</v>
      </c>
      <c r="R68" s="168">
        <f t="shared" si="8"/>
        <v>1</v>
      </c>
      <c r="S68" s="168">
        <f t="shared" si="8"/>
        <v>1</v>
      </c>
      <c r="T68" s="119"/>
      <c r="U68" s="119"/>
    </row>
    <row r="69" spans="6:23" x14ac:dyDescent="0.25">
      <c r="F69" t="s">
        <v>793</v>
      </c>
      <c r="G69" s="118" t="s">
        <v>191</v>
      </c>
      <c r="J69" s="168">
        <f t="shared" ref="J69:S69" si="9">IF(J$38 = "", J50, J50 * J$38)</f>
        <v>1</v>
      </c>
      <c r="K69" s="168">
        <f t="shared" si="9"/>
        <v>1</v>
      </c>
      <c r="L69" s="168">
        <f t="shared" si="9"/>
        <v>1</v>
      </c>
      <c r="M69" s="168">
        <f t="shared" si="9"/>
        <v>1</v>
      </c>
      <c r="N69" s="168">
        <f t="shared" si="9"/>
        <v>1</v>
      </c>
      <c r="O69" s="168">
        <f t="shared" si="9"/>
        <v>1</v>
      </c>
      <c r="P69" s="168">
        <f t="shared" si="9"/>
        <v>0</v>
      </c>
      <c r="Q69" s="168">
        <f t="shared" si="9"/>
        <v>1</v>
      </c>
      <c r="R69" s="168">
        <f t="shared" si="9"/>
        <v>1</v>
      </c>
      <c r="S69" s="168">
        <f t="shared" si="9"/>
        <v>1</v>
      </c>
      <c r="T69" s="119"/>
      <c r="U69" s="119"/>
    </row>
    <row r="70" spans="6:23" x14ac:dyDescent="0.25">
      <c r="F70" t="s">
        <v>794</v>
      </c>
      <c r="G70" s="118" t="s">
        <v>191</v>
      </c>
      <c r="J70" s="168">
        <f t="shared" ref="J70:S70" si="10">IF(J$38 = "", J51, J51 * J$38)</f>
        <v>1</v>
      </c>
      <c r="K70" s="168">
        <f t="shared" si="10"/>
        <v>1</v>
      </c>
      <c r="L70" s="168">
        <f t="shared" si="10"/>
        <v>1</v>
      </c>
      <c r="M70" s="168">
        <f t="shared" si="10"/>
        <v>1</v>
      </c>
      <c r="N70" s="168">
        <f t="shared" si="10"/>
        <v>1</v>
      </c>
      <c r="O70" s="168">
        <f t="shared" si="10"/>
        <v>1</v>
      </c>
      <c r="P70" s="168">
        <f t="shared" si="10"/>
        <v>0</v>
      </c>
      <c r="Q70" s="168">
        <f t="shared" si="10"/>
        <v>1</v>
      </c>
      <c r="R70" s="168">
        <f t="shared" si="10"/>
        <v>1</v>
      </c>
      <c r="S70" s="168">
        <f t="shared" si="10"/>
        <v>0</v>
      </c>
      <c r="T70" s="119"/>
      <c r="U70" s="119"/>
    </row>
    <row r="71" spans="6:23" x14ac:dyDescent="0.25">
      <c r="F71" t="s">
        <v>795</v>
      </c>
      <c r="G71" s="118" t="s">
        <v>191</v>
      </c>
      <c r="J71" s="168">
        <f t="shared" ref="J71:S71" si="11">IF(J$38 = "", J52, J52 * J$38)</f>
        <v>1</v>
      </c>
      <c r="K71" s="168">
        <f t="shared" si="11"/>
        <v>1</v>
      </c>
      <c r="L71" s="168">
        <f t="shared" si="11"/>
        <v>1</v>
      </c>
      <c r="M71" s="168">
        <f t="shared" si="11"/>
        <v>1</v>
      </c>
      <c r="N71" s="168">
        <f t="shared" si="11"/>
        <v>1</v>
      </c>
      <c r="O71" s="168">
        <f t="shared" si="11"/>
        <v>1</v>
      </c>
      <c r="P71" s="168">
        <f t="shared" si="11"/>
        <v>0</v>
      </c>
      <c r="Q71" s="168">
        <f t="shared" si="11"/>
        <v>1</v>
      </c>
      <c r="R71" s="168">
        <f t="shared" si="11"/>
        <v>0</v>
      </c>
      <c r="S71" s="168">
        <f t="shared" si="11"/>
        <v>0</v>
      </c>
      <c r="T71" s="119"/>
      <c r="U71" s="119"/>
    </row>
    <row r="72" spans="6:23" x14ac:dyDescent="0.25">
      <c r="F72" t="s">
        <v>796</v>
      </c>
      <c r="G72" s="118" t="s">
        <v>191</v>
      </c>
      <c r="J72" s="168">
        <f t="shared" ref="J72:S72" si="12">IF(J$38 = "", J53, J53 * J$38)</f>
        <v>1</v>
      </c>
      <c r="K72" s="168">
        <f t="shared" si="12"/>
        <v>1</v>
      </c>
      <c r="L72" s="168">
        <f t="shared" si="12"/>
        <v>1</v>
      </c>
      <c r="M72" s="168">
        <f t="shared" si="12"/>
        <v>1</v>
      </c>
      <c r="N72" s="168">
        <f t="shared" si="12"/>
        <v>1</v>
      </c>
      <c r="O72" s="168">
        <f t="shared" si="12"/>
        <v>1</v>
      </c>
      <c r="P72" s="168">
        <f t="shared" si="12"/>
        <v>0</v>
      </c>
      <c r="Q72" s="168">
        <f t="shared" si="12"/>
        <v>1</v>
      </c>
      <c r="R72" s="168">
        <f t="shared" si="12"/>
        <v>1</v>
      </c>
      <c r="S72" s="168">
        <f t="shared" si="12"/>
        <v>1</v>
      </c>
      <c r="T72" s="119"/>
      <c r="U72" s="119"/>
    </row>
    <row r="73" spans="6:23" x14ac:dyDescent="0.25">
      <c r="F73" t="s">
        <v>788</v>
      </c>
      <c r="G73" s="118" t="s">
        <v>191</v>
      </c>
      <c r="J73" s="168">
        <f t="shared" ref="J73:S73" si="13">IF(J$38 = "", J54, J54 * J$38)</f>
        <v>-1</v>
      </c>
      <c r="K73" s="168">
        <f t="shared" si="13"/>
        <v>-1</v>
      </c>
      <c r="L73" s="168">
        <f t="shared" si="13"/>
        <v>-1</v>
      </c>
      <c r="M73" s="168">
        <f t="shared" si="13"/>
        <v>-1</v>
      </c>
      <c r="N73" s="168">
        <f t="shared" si="13"/>
        <v>-1</v>
      </c>
      <c r="O73" s="168">
        <f t="shared" si="13"/>
        <v>-1</v>
      </c>
      <c r="P73" s="168">
        <f t="shared" si="13"/>
        <v>0</v>
      </c>
      <c r="Q73" s="168">
        <f t="shared" si="13"/>
        <v>-1</v>
      </c>
      <c r="R73" s="168">
        <f t="shared" si="13"/>
        <v>-1</v>
      </c>
      <c r="S73" s="168">
        <f t="shared" si="13"/>
        <v>-1</v>
      </c>
      <c r="T73" s="119"/>
      <c r="U73" s="119"/>
    </row>
    <row r="74" spans="6:23" x14ac:dyDescent="0.25">
      <c r="F74" t="s">
        <v>789</v>
      </c>
      <c r="G74" s="118" t="s">
        <v>191</v>
      </c>
      <c r="J74" s="168">
        <f t="shared" ref="J74:S74" si="14">IF(J$38 = "", J55, J55 * J$38)</f>
        <v>-1</v>
      </c>
      <c r="K74" s="168">
        <f t="shared" si="14"/>
        <v>-1</v>
      </c>
      <c r="L74" s="168">
        <f t="shared" si="14"/>
        <v>-1</v>
      </c>
      <c r="M74" s="168">
        <f t="shared" si="14"/>
        <v>-1</v>
      </c>
      <c r="N74" s="168">
        <f t="shared" si="14"/>
        <v>-1</v>
      </c>
      <c r="O74" s="168">
        <f t="shared" si="14"/>
        <v>-1</v>
      </c>
      <c r="P74" s="168">
        <f t="shared" si="14"/>
        <v>0</v>
      </c>
      <c r="Q74" s="168">
        <f t="shared" si="14"/>
        <v>-1</v>
      </c>
      <c r="R74" s="168">
        <f t="shared" si="14"/>
        <v>-1</v>
      </c>
      <c r="S74" s="168">
        <f t="shared" si="14"/>
        <v>0</v>
      </c>
      <c r="T74" s="119"/>
      <c r="U74" s="119"/>
    </row>
    <row r="75" spans="6:23" x14ac:dyDescent="0.25">
      <c r="F75" t="s">
        <v>790</v>
      </c>
      <c r="G75" s="118" t="s">
        <v>191</v>
      </c>
      <c r="J75" s="168">
        <f t="shared" ref="J75:S75" si="15">IF(J$38 = "", J56, J56 * J$38)</f>
        <v>-1</v>
      </c>
      <c r="K75" s="168">
        <f t="shared" si="15"/>
        <v>-1</v>
      </c>
      <c r="L75" s="168">
        <f t="shared" si="15"/>
        <v>-1</v>
      </c>
      <c r="M75" s="168">
        <f t="shared" si="15"/>
        <v>-1</v>
      </c>
      <c r="N75" s="168">
        <f t="shared" si="15"/>
        <v>-1</v>
      </c>
      <c r="O75" s="168">
        <f t="shared" si="15"/>
        <v>-1</v>
      </c>
      <c r="P75" s="168">
        <f t="shared" si="15"/>
        <v>0</v>
      </c>
      <c r="Q75" s="168">
        <f t="shared" si="15"/>
        <v>-1</v>
      </c>
      <c r="R75" s="168">
        <f t="shared" si="15"/>
        <v>-1</v>
      </c>
      <c r="S75" s="168">
        <f t="shared" si="15"/>
        <v>-1</v>
      </c>
      <c r="T75" s="119"/>
      <c r="U75" s="119"/>
    </row>
    <row r="76" spans="6:23" x14ac:dyDescent="0.25">
      <c r="F76" t="s">
        <v>799</v>
      </c>
      <c r="G76" s="118" t="s">
        <v>191</v>
      </c>
      <c r="J76" s="168">
        <f t="shared" ref="J76:S76" si="16">IF(J$38 = "", J57, J57 * J$38)</f>
        <v>-1</v>
      </c>
      <c r="K76" s="168">
        <f t="shared" si="16"/>
        <v>-1</v>
      </c>
      <c r="L76" s="168">
        <f t="shared" si="16"/>
        <v>-1</v>
      </c>
      <c r="M76" s="168">
        <f t="shared" si="16"/>
        <v>-1</v>
      </c>
      <c r="N76" s="168">
        <f t="shared" si="16"/>
        <v>-1</v>
      </c>
      <c r="O76" s="168">
        <f t="shared" si="16"/>
        <v>-1</v>
      </c>
      <c r="P76" s="168">
        <f t="shared" si="16"/>
        <v>0</v>
      </c>
      <c r="Q76" s="168">
        <f t="shared" si="16"/>
        <v>-1</v>
      </c>
      <c r="R76" s="168">
        <f t="shared" si="16"/>
        <v>-1</v>
      </c>
      <c r="S76" s="168">
        <f t="shared" si="16"/>
        <v>-1</v>
      </c>
      <c r="T76" s="119"/>
      <c r="U76" s="119"/>
    </row>
    <row r="77" spans="6:23" x14ac:dyDescent="0.25">
      <c r="F77" t="s">
        <v>791</v>
      </c>
      <c r="G77" s="118" t="s">
        <v>191</v>
      </c>
      <c r="J77" s="168">
        <f t="shared" ref="J77:S77" si="17">IF(J$38 = "", J58, J58 * J$38)</f>
        <v>-1</v>
      </c>
      <c r="K77" s="168">
        <f t="shared" si="17"/>
        <v>-1</v>
      </c>
      <c r="L77" s="168">
        <f t="shared" si="17"/>
        <v>-1</v>
      </c>
      <c r="M77" s="168">
        <f t="shared" si="17"/>
        <v>-1</v>
      </c>
      <c r="N77" s="168">
        <f t="shared" si="17"/>
        <v>-1</v>
      </c>
      <c r="O77" s="168">
        <f t="shared" si="17"/>
        <v>-1</v>
      </c>
      <c r="P77" s="168">
        <f t="shared" si="17"/>
        <v>0</v>
      </c>
      <c r="Q77" s="168">
        <f t="shared" si="17"/>
        <v>-1</v>
      </c>
      <c r="R77" s="168">
        <f t="shared" si="17"/>
        <v>-1</v>
      </c>
      <c r="S77" s="168">
        <f t="shared" si="17"/>
        <v>0</v>
      </c>
      <c r="T77" s="119"/>
      <c r="U77" s="119"/>
    </row>
    <row r="78" spans="6:23" x14ac:dyDescent="0.25">
      <c r="F78" t="s">
        <v>798</v>
      </c>
      <c r="G78" s="118" t="s">
        <v>191</v>
      </c>
      <c r="J78" s="168">
        <f t="shared" ref="J78:S78" si="18">IF(J$38 = "", J59, J59 * J$38)</f>
        <v>-1</v>
      </c>
      <c r="K78" s="168">
        <f t="shared" si="18"/>
        <v>-1</v>
      </c>
      <c r="L78" s="168">
        <f t="shared" si="18"/>
        <v>-1</v>
      </c>
      <c r="M78" s="168">
        <f t="shared" si="18"/>
        <v>-1</v>
      </c>
      <c r="N78" s="168">
        <f t="shared" si="18"/>
        <v>-1</v>
      </c>
      <c r="O78" s="168">
        <f t="shared" si="18"/>
        <v>-1</v>
      </c>
      <c r="P78" s="168">
        <f t="shared" si="18"/>
        <v>0</v>
      </c>
      <c r="Q78" s="168">
        <f t="shared" si="18"/>
        <v>-1</v>
      </c>
      <c r="R78" s="168">
        <f t="shared" si="18"/>
        <v>-1</v>
      </c>
      <c r="S78" s="168">
        <f t="shared" si="18"/>
        <v>0</v>
      </c>
      <c r="T78" s="119"/>
      <c r="U78" s="119"/>
    </row>
    <row r="79" spans="6:23" x14ac:dyDescent="0.25">
      <c r="F79" t="s">
        <v>792</v>
      </c>
      <c r="G79" s="118" t="s">
        <v>191</v>
      </c>
      <c r="J79" s="168">
        <f t="shared" ref="J79:S79" si="19">IF(J$38 = "", J60, J60 * J$38)</f>
        <v>-1</v>
      </c>
      <c r="K79" s="168">
        <f t="shared" si="19"/>
        <v>-1</v>
      </c>
      <c r="L79" s="168">
        <f t="shared" si="19"/>
        <v>-1</v>
      </c>
      <c r="M79" s="168">
        <f t="shared" si="19"/>
        <v>-1</v>
      </c>
      <c r="N79" s="168">
        <f t="shared" si="19"/>
        <v>-1</v>
      </c>
      <c r="O79" s="168">
        <f t="shared" si="19"/>
        <v>-1</v>
      </c>
      <c r="P79" s="168">
        <f t="shared" si="19"/>
        <v>0</v>
      </c>
      <c r="Q79" s="168">
        <f t="shared" si="19"/>
        <v>-1</v>
      </c>
      <c r="R79" s="168">
        <f t="shared" si="19"/>
        <v>0</v>
      </c>
      <c r="S79" s="168">
        <f t="shared" si="19"/>
        <v>0</v>
      </c>
      <c r="T79" s="119"/>
      <c r="U79" s="119"/>
    </row>
    <row r="80" spans="6:23" x14ac:dyDescent="0.25">
      <c r="F80" s="96" t="s">
        <v>797</v>
      </c>
      <c r="G80" s="120" t="s">
        <v>191</v>
      </c>
      <c r="H80" s="96"/>
      <c r="I80" s="96"/>
      <c r="J80" s="173">
        <f t="shared" ref="J80:S80" si="20">IF(J$38 = "", J61, J61 * J$38)</f>
        <v>-1</v>
      </c>
      <c r="K80" s="173">
        <f t="shared" si="20"/>
        <v>-1</v>
      </c>
      <c r="L80" s="173">
        <f t="shared" si="20"/>
        <v>-1</v>
      </c>
      <c r="M80" s="173">
        <f t="shared" si="20"/>
        <v>-1</v>
      </c>
      <c r="N80" s="173">
        <f t="shared" si="20"/>
        <v>-1</v>
      </c>
      <c r="O80" s="173">
        <f t="shared" si="20"/>
        <v>-1</v>
      </c>
      <c r="P80" s="173">
        <f t="shared" si="20"/>
        <v>0</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201</v>
      </c>
      <c r="G82" s="61"/>
      <c r="I82" t="s">
        <v>155</v>
      </c>
      <c r="J82" s="106"/>
      <c r="K82" s="106"/>
      <c r="L82" s="106"/>
      <c r="M82" s="106"/>
      <c r="N82" s="106"/>
      <c r="O82" s="106"/>
      <c r="P82" s="106"/>
      <c r="Q82" s="106"/>
      <c r="R82" s="106"/>
      <c r="S82" s="106"/>
      <c r="T82" s="106"/>
      <c r="U82" s="106"/>
      <c r="W82" s="3" t="s">
        <v>361</v>
      </c>
    </row>
    <row r="83" spans="5:23" x14ac:dyDescent="0.25">
      <c r="E83" s="86" t="s">
        <v>203</v>
      </c>
      <c r="G83" s="61"/>
      <c r="J83" s="106"/>
      <c r="K83" s="106"/>
      <c r="L83" s="106"/>
      <c r="M83" s="106"/>
      <c r="N83" s="106"/>
      <c r="O83" s="106"/>
      <c r="P83" s="106"/>
      <c r="Q83" s="106"/>
      <c r="R83" s="106"/>
      <c r="S83" s="106"/>
      <c r="T83" s="106"/>
      <c r="U83" s="106"/>
    </row>
    <row r="84" spans="5:23" x14ac:dyDescent="0.25">
      <c r="F84" s="95" t="s">
        <v>1114</v>
      </c>
      <c r="G84" s="116" t="s">
        <v>177</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786</v>
      </c>
      <c r="G85" s="118" t="s">
        <v>177</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177</v>
      </c>
      <c r="J86" s="167">
        <v>1</v>
      </c>
      <c r="K86" s="167">
        <v>1</v>
      </c>
      <c r="L86" s="167">
        <v>1</v>
      </c>
      <c r="M86" s="167">
        <v>1</v>
      </c>
      <c r="N86" s="167">
        <v>1</v>
      </c>
      <c r="O86" s="167">
        <v>1</v>
      </c>
      <c r="P86" s="167">
        <v>1</v>
      </c>
      <c r="Q86" s="167">
        <v>1</v>
      </c>
      <c r="R86" s="167">
        <v>1</v>
      </c>
      <c r="S86" s="167">
        <v>1</v>
      </c>
      <c r="T86" s="119"/>
      <c r="U86" s="119"/>
    </row>
    <row r="87" spans="5:23" x14ac:dyDescent="0.25">
      <c r="F87" t="s">
        <v>787</v>
      </c>
      <c r="G87" s="118" t="s">
        <v>177</v>
      </c>
      <c r="J87" s="167">
        <v>1</v>
      </c>
      <c r="K87" s="167">
        <v>1</v>
      </c>
      <c r="L87" s="167">
        <v>1</v>
      </c>
      <c r="M87" s="167">
        <v>1</v>
      </c>
      <c r="N87" s="167">
        <v>1</v>
      </c>
      <c r="O87" s="167">
        <v>1</v>
      </c>
      <c r="P87" s="167">
        <v>1</v>
      </c>
      <c r="Q87" s="167">
        <v>1</v>
      </c>
      <c r="R87" s="167">
        <v>1</v>
      </c>
      <c r="S87" s="167">
        <v>1</v>
      </c>
      <c r="T87" s="119"/>
      <c r="U87" s="119"/>
    </row>
    <row r="88" spans="5:23" x14ac:dyDescent="0.25">
      <c r="F88" t="s">
        <v>793</v>
      </c>
      <c r="G88" s="118" t="s">
        <v>177</v>
      </c>
      <c r="J88" s="167">
        <v>1</v>
      </c>
      <c r="K88" s="167">
        <v>1</v>
      </c>
      <c r="L88" s="167">
        <v>1</v>
      </c>
      <c r="M88" s="167">
        <v>1</v>
      </c>
      <c r="N88" s="167">
        <v>1</v>
      </c>
      <c r="O88" s="167">
        <v>1</v>
      </c>
      <c r="P88" s="167">
        <v>1</v>
      </c>
      <c r="Q88" s="167">
        <v>1</v>
      </c>
      <c r="R88" s="167">
        <v>1</v>
      </c>
      <c r="S88" s="167">
        <v>1</v>
      </c>
      <c r="T88" s="119"/>
      <c r="U88" s="119"/>
    </row>
    <row r="89" spans="5:23" x14ac:dyDescent="0.25">
      <c r="F89" t="s">
        <v>794</v>
      </c>
      <c r="G89" s="118" t="s">
        <v>177</v>
      </c>
      <c r="J89" s="167">
        <v>1</v>
      </c>
      <c r="K89" s="167">
        <v>1</v>
      </c>
      <c r="L89" s="167">
        <v>1</v>
      </c>
      <c r="M89" s="167">
        <v>1</v>
      </c>
      <c r="N89" s="167">
        <v>1</v>
      </c>
      <c r="O89" s="167">
        <v>1</v>
      </c>
      <c r="P89" s="167">
        <v>1</v>
      </c>
      <c r="Q89" s="167">
        <v>1</v>
      </c>
      <c r="R89" s="167">
        <v>1</v>
      </c>
      <c r="S89" s="167">
        <v>0</v>
      </c>
      <c r="T89" s="119"/>
      <c r="U89" s="119"/>
    </row>
    <row r="90" spans="5:23" x14ac:dyDescent="0.25">
      <c r="F90" t="s">
        <v>795</v>
      </c>
      <c r="G90" s="118" t="s">
        <v>177</v>
      </c>
      <c r="J90" s="167">
        <v>1</v>
      </c>
      <c r="K90" s="167">
        <v>1</v>
      </c>
      <c r="L90" s="167">
        <v>1</v>
      </c>
      <c r="M90" s="167">
        <v>1</v>
      </c>
      <c r="N90" s="167">
        <v>1</v>
      </c>
      <c r="O90" s="167">
        <v>1</v>
      </c>
      <c r="P90" s="167">
        <v>1</v>
      </c>
      <c r="Q90" s="167">
        <v>1</v>
      </c>
      <c r="R90" s="167">
        <v>0</v>
      </c>
      <c r="S90" s="167">
        <v>0</v>
      </c>
      <c r="T90" s="119"/>
      <c r="U90" s="119"/>
    </row>
    <row r="91" spans="5:23" x14ac:dyDescent="0.25">
      <c r="F91" t="s">
        <v>796</v>
      </c>
      <c r="G91" s="118" t="s">
        <v>177</v>
      </c>
      <c r="J91" s="167">
        <v>1</v>
      </c>
      <c r="K91" s="167">
        <v>1</v>
      </c>
      <c r="L91" s="167">
        <v>1</v>
      </c>
      <c r="M91" s="167">
        <v>1</v>
      </c>
      <c r="N91" s="167">
        <v>1</v>
      </c>
      <c r="O91" s="167">
        <v>1</v>
      </c>
      <c r="P91" s="167">
        <v>1</v>
      </c>
      <c r="Q91" s="167">
        <v>1</v>
      </c>
      <c r="R91" s="167">
        <v>1</v>
      </c>
      <c r="S91" s="167">
        <v>1</v>
      </c>
      <c r="T91" s="119"/>
      <c r="U91" s="119"/>
    </row>
    <row r="92" spans="5:23" x14ac:dyDescent="0.25">
      <c r="F92" t="s">
        <v>788</v>
      </c>
      <c r="G92" s="118" t="s">
        <v>177</v>
      </c>
      <c r="J92" s="167">
        <v>-1</v>
      </c>
      <c r="K92" s="167">
        <v>-1</v>
      </c>
      <c r="L92" s="167">
        <v>-1</v>
      </c>
      <c r="M92" s="167">
        <v>-1</v>
      </c>
      <c r="N92" s="167">
        <v>-1</v>
      </c>
      <c r="O92" s="167">
        <v>-1</v>
      </c>
      <c r="P92" s="167">
        <v>-1</v>
      </c>
      <c r="Q92" s="167">
        <v>-1</v>
      </c>
      <c r="R92" s="167">
        <v>-1</v>
      </c>
      <c r="S92" s="167">
        <v>0</v>
      </c>
      <c r="T92" s="119"/>
      <c r="U92" s="119"/>
    </row>
    <row r="93" spans="5:23" x14ac:dyDescent="0.25">
      <c r="F93" t="s">
        <v>789</v>
      </c>
      <c r="G93" s="118" t="s">
        <v>177</v>
      </c>
      <c r="J93" s="167">
        <v>-1</v>
      </c>
      <c r="K93" s="167">
        <v>-1</v>
      </c>
      <c r="L93" s="167">
        <v>-1</v>
      </c>
      <c r="M93" s="167">
        <v>-1</v>
      </c>
      <c r="N93" s="167">
        <v>-1</v>
      </c>
      <c r="O93" s="167">
        <v>-1</v>
      </c>
      <c r="P93" s="167">
        <v>-1</v>
      </c>
      <c r="Q93" s="167">
        <v>-1</v>
      </c>
      <c r="R93" s="167">
        <v>0</v>
      </c>
      <c r="S93" s="167">
        <v>0</v>
      </c>
      <c r="T93" s="119"/>
      <c r="U93" s="119"/>
    </row>
    <row r="94" spans="5:23" x14ac:dyDescent="0.25">
      <c r="F94" t="s">
        <v>790</v>
      </c>
      <c r="G94" s="118" t="s">
        <v>177</v>
      </c>
      <c r="J94" s="167">
        <v>-1</v>
      </c>
      <c r="K94" s="167">
        <v>-1</v>
      </c>
      <c r="L94" s="167">
        <v>-1</v>
      </c>
      <c r="M94" s="167">
        <v>-1</v>
      </c>
      <c r="N94" s="167">
        <v>-1</v>
      </c>
      <c r="O94" s="167">
        <v>-1</v>
      </c>
      <c r="P94" s="167">
        <v>-1</v>
      </c>
      <c r="Q94" s="167">
        <v>-1</v>
      </c>
      <c r="R94" s="167">
        <v>-1</v>
      </c>
      <c r="S94" s="167">
        <v>0</v>
      </c>
      <c r="T94" s="119"/>
      <c r="U94" s="119"/>
    </row>
    <row r="95" spans="5:23" x14ac:dyDescent="0.25">
      <c r="F95" t="s">
        <v>799</v>
      </c>
      <c r="G95" s="118" t="s">
        <v>177</v>
      </c>
      <c r="J95" s="167">
        <v>-1</v>
      </c>
      <c r="K95" s="167">
        <v>-1</v>
      </c>
      <c r="L95" s="167">
        <v>-1</v>
      </c>
      <c r="M95" s="167">
        <v>-1</v>
      </c>
      <c r="N95" s="167">
        <v>-1</v>
      </c>
      <c r="O95" s="167">
        <v>-1</v>
      </c>
      <c r="P95" s="167">
        <v>-1</v>
      </c>
      <c r="Q95" s="167">
        <v>-1</v>
      </c>
      <c r="R95" s="167">
        <v>-1</v>
      </c>
      <c r="S95" s="167">
        <v>0</v>
      </c>
      <c r="T95" s="119"/>
      <c r="U95" s="119"/>
    </row>
    <row r="96" spans="5:23" x14ac:dyDescent="0.25">
      <c r="F96" t="s">
        <v>791</v>
      </c>
      <c r="G96" s="118" t="s">
        <v>177</v>
      </c>
      <c r="J96" s="167">
        <v>-1</v>
      </c>
      <c r="K96" s="167">
        <v>-1</v>
      </c>
      <c r="L96" s="167">
        <v>-1</v>
      </c>
      <c r="M96" s="167">
        <v>-1</v>
      </c>
      <c r="N96" s="167">
        <v>-1</v>
      </c>
      <c r="O96" s="167">
        <v>-1</v>
      </c>
      <c r="P96" s="167">
        <v>-1</v>
      </c>
      <c r="Q96" s="167">
        <v>-1</v>
      </c>
      <c r="R96" s="167">
        <v>0</v>
      </c>
      <c r="S96" s="167">
        <v>0</v>
      </c>
      <c r="T96" s="119"/>
      <c r="U96" s="119"/>
    </row>
    <row r="97" spans="5:23" x14ac:dyDescent="0.25">
      <c r="F97" t="s">
        <v>798</v>
      </c>
      <c r="G97" s="118" t="s">
        <v>177</v>
      </c>
      <c r="J97" s="167">
        <v>-1</v>
      </c>
      <c r="K97" s="167">
        <v>-1</v>
      </c>
      <c r="L97" s="167">
        <v>-1</v>
      </c>
      <c r="M97" s="167">
        <v>-1</v>
      </c>
      <c r="N97" s="167">
        <v>-1</v>
      </c>
      <c r="O97" s="167">
        <v>-1</v>
      </c>
      <c r="P97" s="167">
        <v>-1</v>
      </c>
      <c r="Q97" s="167">
        <v>-1</v>
      </c>
      <c r="R97" s="167">
        <v>0</v>
      </c>
      <c r="S97" s="167">
        <v>0</v>
      </c>
      <c r="T97" s="119"/>
      <c r="U97" s="119"/>
    </row>
    <row r="98" spans="5:23" x14ac:dyDescent="0.25">
      <c r="F98" t="s">
        <v>792</v>
      </c>
      <c r="G98" s="118" t="s">
        <v>177</v>
      </c>
      <c r="J98" s="167">
        <v>-1</v>
      </c>
      <c r="K98" s="167">
        <v>-1</v>
      </c>
      <c r="L98" s="167">
        <v>-1</v>
      </c>
      <c r="M98" s="167">
        <v>-1</v>
      </c>
      <c r="N98" s="167">
        <v>-1</v>
      </c>
      <c r="O98" s="167">
        <v>-1</v>
      </c>
      <c r="P98" s="167">
        <v>-1</v>
      </c>
      <c r="Q98" s="167">
        <v>0</v>
      </c>
      <c r="R98" s="167">
        <v>0</v>
      </c>
      <c r="S98" s="167">
        <v>0</v>
      </c>
      <c r="T98" s="119"/>
      <c r="U98" s="119"/>
    </row>
    <row r="99" spans="5:23" x14ac:dyDescent="0.25">
      <c r="F99" s="96" t="s">
        <v>797</v>
      </c>
      <c r="G99" s="120" t="s">
        <v>177</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362</v>
      </c>
      <c r="G101" s="61"/>
      <c r="I101" t="s">
        <v>155</v>
      </c>
      <c r="J101" s="106"/>
      <c r="K101" s="106"/>
      <c r="L101" s="106"/>
      <c r="M101" s="106"/>
      <c r="N101" s="106"/>
      <c r="O101" s="106"/>
      <c r="P101" s="106"/>
      <c r="Q101" s="106"/>
      <c r="R101" s="106"/>
      <c r="S101" s="106"/>
      <c r="T101" s="106"/>
      <c r="U101" s="106"/>
      <c r="W101" s="3" t="s">
        <v>361</v>
      </c>
    </row>
    <row r="102" spans="5:23" x14ac:dyDescent="0.25">
      <c r="E102" s="86" t="s">
        <v>203</v>
      </c>
      <c r="G102" s="61"/>
      <c r="J102" s="106"/>
      <c r="K102" s="106"/>
      <c r="L102" s="106"/>
      <c r="M102" s="106"/>
      <c r="N102" s="106"/>
      <c r="O102" s="106"/>
      <c r="P102" s="106"/>
      <c r="Q102" s="106"/>
      <c r="R102" s="106"/>
      <c r="S102" s="106"/>
      <c r="T102" s="106"/>
      <c r="U102" s="106"/>
    </row>
    <row r="103" spans="5:23" x14ac:dyDescent="0.25">
      <c r="E103" s="86" t="s">
        <v>360</v>
      </c>
      <c r="G103" s="61"/>
      <c r="J103" s="106"/>
      <c r="K103" s="106"/>
      <c r="L103" s="106"/>
      <c r="M103" s="106"/>
      <c r="N103" s="106"/>
      <c r="O103" s="106"/>
      <c r="P103" s="106"/>
      <c r="Q103" s="106"/>
      <c r="R103" s="106"/>
      <c r="S103" s="106"/>
      <c r="T103" s="106"/>
      <c r="U103" s="106"/>
    </row>
    <row r="104" spans="5:23" x14ac:dyDescent="0.25">
      <c r="F104" s="95" t="s">
        <v>1114</v>
      </c>
      <c r="G104" s="116" t="s">
        <v>177</v>
      </c>
      <c r="H104" s="95"/>
      <c r="I104" s="95"/>
      <c r="J104" s="147">
        <f t="shared" ref="J104:S104" si="21">IF(J$38 = "", J84, J84 * J$38)</f>
        <v>1</v>
      </c>
      <c r="K104" s="147">
        <f t="shared" si="21"/>
        <v>1</v>
      </c>
      <c r="L104" s="147">
        <f t="shared" si="21"/>
        <v>1</v>
      </c>
      <c r="M104" s="147">
        <f t="shared" si="21"/>
        <v>1</v>
      </c>
      <c r="N104" s="147">
        <f t="shared" si="21"/>
        <v>1</v>
      </c>
      <c r="O104" s="147">
        <f t="shared" si="21"/>
        <v>1</v>
      </c>
      <c r="P104" s="147">
        <f t="shared" si="21"/>
        <v>0</v>
      </c>
      <c r="Q104" s="147">
        <f t="shared" si="21"/>
        <v>1</v>
      </c>
      <c r="R104" s="147">
        <f t="shared" si="21"/>
        <v>1</v>
      </c>
      <c r="S104" s="147">
        <f t="shared" si="21"/>
        <v>1</v>
      </c>
      <c r="T104" s="117"/>
      <c r="U104" s="117"/>
    </row>
    <row r="105" spans="5:23" x14ac:dyDescent="0.25">
      <c r="F105" t="s">
        <v>786</v>
      </c>
      <c r="G105" s="118" t="s">
        <v>177</v>
      </c>
      <c r="J105" s="168">
        <f t="shared" ref="J105:S105" si="22">IF(J$38 = "", J85, J85 * J$38)</f>
        <v>1</v>
      </c>
      <c r="K105" s="168">
        <f t="shared" si="22"/>
        <v>1</v>
      </c>
      <c r="L105" s="168">
        <f t="shared" si="22"/>
        <v>1</v>
      </c>
      <c r="M105" s="168">
        <f t="shared" si="22"/>
        <v>1</v>
      </c>
      <c r="N105" s="168">
        <f t="shared" si="22"/>
        <v>1</v>
      </c>
      <c r="O105" s="168">
        <f t="shared" si="22"/>
        <v>1</v>
      </c>
      <c r="P105" s="168">
        <f t="shared" si="22"/>
        <v>0</v>
      </c>
      <c r="Q105" s="168">
        <f t="shared" si="22"/>
        <v>1</v>
      </c>
      <c r="R105" s="168">
        <f t="shared" si="22"/>
        <v>1</v>
      </c>
      <c r="S105" s="168">
        <f t="shared" si="22"/>
        <v>1</v>
      </c>
      <c r="T105" s="119"/>
      <c r="U105" s="119"/>
    </row>
    <row r="106" spans="5:23" x14ac:dyDescent="0.25">
      <c r="F106" t="s">
        <v>1115</v>
      </c>
      <c r="G106" s="118" t="s">
        <v>177</v>
      </c>
      <c r="J106" s="168">
        <f t="shared" ref="J106:S106" si="23">IF(J$38 = "", J86, J86 * J$38)</f>
        <v>1</v>
      </c>
      <c r="K106" s="168">
        <f t="shared" si="23"/>
        <v>1</v>
      </c>
      <c r="L106" s="168">
        <f t="shared" si="23"/>
        <v>1</v>
      </c>
      <c r="M106" s="168">
        <f t="shared" si="23"/>
        <v>1</v>
      </c>
      <c r="N106" s="168">
        <f t="shared" si="23"/>
        <v>1</v>
      </c>
      <c r="O106" s="168">
        <f t="shared" si="23"/>
        <v>1</v>
      </c>
      <c r="P106" s="168">
        <f t="shared" si="23"/>
        <v>0</v>
      </c>
      <c r="Q106" s="168">
        <f t="shared" si="23"/>
        <v>1</v>
      </c>
      <c r="R106" s="168">
        <f t="shared" si="23"/>
        <v>1</v>
      </c>
      <c r="S106" s="168">
        <f t="shared" si="23"/>
        <v>1</v>
      </c>
      <c r="T106" s="119"/>
      <c r="U106" s="119"/>
    </row>
    <row r="107" spans="5:23" x14ac:dyDescent="0.25">
      <c r="F107" t="s">
        <v>787</v>
      </c>
      <c r="G107" s="118" t="s">
        <v>177</v>
      </c>
      <c r="J107" s="168">
        <f t="shared" ref="J107:S107" si="24">IF(J$38 = "", J87, J87 * J$38)</f>
        <v>1</v>
      </c>
      <c r="K107" s="168">
        <f t="shared" si="24"/>
        <v>1</v>
      </c>
      <c r="L107" s="168">
        <f t="shared" si="24"/>
        <v>1</v>
      </c>
      <c r="M107" s="168">
        <f t="shared" si="24"/>
        <v>1</v>
      </c>
      <c r="N107" s="168">
        <f t="shared" si="24"/>
        <v>1</v>
      </c>
      <c r="O107" s="168">
        <f t="shared" si="24"/>
        <v>1</v>
      </c>
      <c r="P107" s="168">
        <f t="shared" si="24"/>
        <v>0</v>
      </c>
      <c r="Q107" s="168">
        <f t="shared" si="24"/>
        <v>1</v>
      </c>
      <c r="R107" s="168">
        <f t="shared" si="24"/>
        <v>1</v>
      </c>
      <c r="S107" s="168">
        <f t="shared" si="24"/>
        <v>1</v>
      </c>
      <c r="T107" s="119"/>
      <c r="U107" s="119"/>
    </row>
    <row r="108" spans="5:23" x14ac:dyDescent="0.25">
      <c r="F108" t="s">
        <v>793</v>
      </c>
      <c r="G108" s="118" t="s">
        <v>177</v>
      </c>
      <c r="J108" s="168">
        <f t="shared" ref="J108:S108" si="25">IF(J$38 = "", J88, J88 * J$38)</f>
        <v>1</v>
      </c>
      <c r="K108" s="168">
        <f t="shared" si="25"/>
        <v>1</v>
      </c>
      <c r="L108" s="168">
        <f t="shared" si="25"/>
        <v>1</v>
      </c>
      <c r="M108" s="168">
        <f t="shared" si="25"/>
        <v>1</v>
      </c>
      <c r="N108" s="168">
        <f t="shared" si="25"/>
        <v>1</v>
      </c>
      <c r="O108" s="168">
        <f t="shared" si="25"/>
        <v>1</v>
      </c>
      <c r="P108" s="168">
        <f t="shared" si="25"/>
        <v>0</v>
      </c>
      <c r="Q108" s="168">
        <f t="shared" si="25"/>
        <v>1</v>
      </c>
      <c r="R108" s="168">
        <f t="shared" si="25"/>
        <v>1</v>
      </c>
      <c r="S108" s="168">
        <f t="shared" si="25"/>
        <v>1</v>
      </c>
      <c r="T108" s="119"/>
      <c r="U108" s="119"/>
    </row>
    <row r="109" spans="5:23" x14ac:dyDescent="0.25">
      <c r="F109" t="s">
        <v>794</v>
      </c>
      <c r="G109" s="118" t="s">
        <v>177</v>
      </c>
      <c r="J109" s="168">
        <f t="shared" ref="J109:S109" si="26">IF(J$38 = "", J89, J89 * J$38)</f>
        <v>1</v>
      </c>
      <c r="K109" s="168">
        <f t="shared" si="26"/>
        <v>1</v>
      </c>
      <c r="L109" s="168">
        <f t="shared" si="26"/>
        <v>1</v>
      </c>
      <c r="M109" s="168">
        <f t="shared" si="26"/>
        <v>1</v>
      </c>
      <c r="N109" s="168">
        <f t="shared" si="26"/>
        <v>1</v>
      </c>
      <c r="O109" s="168">
        <f t="shared" si="26"/>
        <v>1</v>
      </c>
      <c r="P109" s="168">
        <f t="shared" si="26"/>
        <v>0</v>
      </c>
      <c r="Q109" s="168">
        <f t="shared" si="26"/>
        <v>1</v>
      </c>
      <c r="R109" s="168">
        <f t="shared" si="26"/>
        <v>1</v>
      </c>
      <c r="S109" s="168">
        <f t="shared" si="26"/>
        <v>0</v>
      </c>
      <c r="T109" s="119"/>
      <c r="U109" s="119"/>
    </row>
    <row r="110" spans="5:23" x14ac:dyDescent="0.25">
      <c r="F110" t="s">
        <v>795</v>
      </c>
      <c r="G110" s="118" t="s">
        <v>177</v>
      </c>
      <c r="J110" s="168">
        <f t="shared" ref="J110:S110" si="27">IF(J$38 = "", J90, J90 * J$38)</f>
        <v>1</v>
      </c>
      <c r="K110" s="168">
        <f t="shared" si="27"/>
        <v>1</v>
      </c>
      <c r="L110" s="168">
        <f t="shared" si="27"/>
        <v>1</v>
      </c>
      <c r="M110" s="168">
        <f t="shared" si="27"/>
        <v>1</v>
      </c>
      <c r="N110" s="168">
        <f t="shared" si="27"/>
        <v>1</v>
      </c>
      <c r="O110" s="168">
        <f t="shared" si="27"/>
        <v>1</v>
      </c>
      <c r="P110" s="168">
        <f t="shared" si="27"/>
        <v>0</v>
      </c>
      <c r="Q110" s="168">
        <f t="shared" si="27"/>
        <v>1</v>
      </c>
      <c r="R110" s="168">
        <f t="shared" si="27"/>
        <v>0</v>
      </c>
      <c r="S110" s="168">
        <f t="shared" si="27"/>
        <v>0</v>
      </c>
      <c r="T110" s="119"/>
      <c r="U110" s="119"/>
    </row>
    <row r="111" spans="5:23" x14ac:dyDescent="0.25">
      <c r="F111" t="s">
        <v>796</v>
      </c>
      <c r="G111" s="118" t="s">
        <v>177</v>
      </c>
      <c r="J111" s="168">
        <f t="shared" ref="J111:S111" si="28">IF(J$38 = "", J91, J91 * J$38)</f>
        <v>1</v>
      </c>
      <c r="K111" s="168">
        <f t="shared" si="28"/>
        <v>1</v>
      </c>
      <c r="L111" s="168">
        <f t="shared" si="28"/>
        <v>1</v>
      </c>
      <c r="M111" s="168">
        <f t="shared" si="28"/>
        <v>1</v>
      </c>
      <c r="N111" s="168">
        <f t="shared" si="28"/>
        <v>1</v>
      </c>
      <c r="O111" s="168">
        <f t="shared" si="28"/>
        <v>1</v>
      </c>
      <c r="P111" s="168">
        <f t="shared" si="28"/>
        <v>0</v>
      </c>
      <c r="Q111" s="168">
        <f t="shared" si="28"/>
        <v>1</v>
      </c>
      <c r="R111" s="168">
        <f t="shared" si="28"/>
        <v>1</v>
      </c>
      <c r="S111" s="168">
        <f t="shared" si="28"/>
        <v>1</v>
      </c>
      <c r="T111" s="119"/>
      <c r="U111" s="119"/>
    </row>
    <row r="112" spans="5:23" x14ac:dyDescent="0.25">
      <c r="F112" t="s">
        <v>788</v>
      </c>
      <c r="G112" s="118" t="s">
        <v>177</v>
      </c>
      <c r="J112" s="168">
        <f t="shared" ref="J112:S112" si="29">IF(J$38 = "", J92, J92 * J$38)</f>
        <v>-1</v>
      </c>
      <c r="K112" s="168">
        <f t="shared" si="29"/>
        <v>-1</v>
      </c>
      <c r="L112" s="168">
        <f t="shared" si="29"/>
        <v>-1</v>
      </c>
      <c r="M112" s="168">
        <f t="shared" si="29"/>
        <v>-1</v>
      </c>
      <c r="N112" s="168">
        <f t="shared" si="29"/>
        <v>-1</v>
      </c>
      <c r="O112" s="168">
        <f t="shared" si="29"/>
        <v>-1</v>
      </c>
      <c r="P112" s="168">
        <f t="shared" si="29"/>
        <v>0</v>
      </c>
      <c r="Q112" s="168">
        <f t="shared" si="29"/>
        <v>-1</v>
      </c>
      <c r="R112" s="168">
        <f t="shared" si="29"/>
        <v>-1</v>
      </c>
      <c r="S112" s="168">
        <f t="shared" si="29"/>
        <v>0</v>
      </c>
      <c r="T112" s="119"/>
      <c r="U112" s="119"/>
    </row>
    <row r="113" spans="3:23" x14ac:dyDescent="0.25">
      <c r="F113" t="s">
        <v>789</v>
      </c>
      <c r="G113" s="118" t="s">
        <v>177</v>
      </c>
      <c r="J113" s="168">
        <f t="shared" ref="J113:S113" si="30">IF(J$38 = "", J93, J93 * J$38)</f>
        <v>-1</v>
      </c>
      <c r="K113" s="168">
        <f t="shared" si="30"/>
        <v>-1</v>
      </c>
      <c r="L113" s="168">
        <f t="shared" si="30"/>
        <v>-1</v>
      </c>
      <c r="M113" s="168">
        <f t="shared" si="30"/>
        <v>-1</v>
      </c>
      <c r="N113" s="168">
        <f t="shared" si="30"/>
        <v>-1</v>
      </c>
      <c r="O113" s="168">
        <f t="shared" si="30"/>
        <v>-1</v>
      </c>
      <c r="P113" s="168">
        <f t="shared" si="30"/>
        <v>0</v>
      </c>
      <c r="Q113" s="168">
        <f t="shared" si="30"/>
        <v>-1</v>
      </c>
      <c r="R113" s="168">
        <f t="shared" si="30"/>
        <v>0</v>
      </c>
      <c r="S113" s="168">
        <f t="shared" si="30"/>
        <v>0</v>
      </c>
      <c r="T113" s="119"/>
      <c r="U113" s="119"/>
    </row>
    <row r="114" spans="3:23" x14ac:dyDescent="0.25">
      <c r="F114" t="s">
        <v>790</v>
      </c>
      <c r="G114" s="118" t="s">
        <v>177</v>
      </c>
      <c r="J114" s="168">
        <f t="shared" ref="J114:S114" si="31">IF(J$38 = "", J94, J94 * J$38)</f>
        <v>-1</v>
      </c>
      <c r="K114" s="168">
        <f t="shared" si="31"/>
        <v>-1</v>
      </c>
      <c r="L114" s="168">
        <f t="shared" si="31"/>
        <v>-1</v>
      </c>
      <c r="M114" s="168">
        <f t="shared" si="31"/>
        <v>-1</v>
      </c>
      <c r="N114" s="168">
        <f t="shared" si="31"/>
        <v>-1</v>
      </c>
      <c r="O114" s="168">
        <f t="shared" si="31"/>
        <v>-1</v>
      </c>
      <c r="P114" s="168">
        <f t="shared" si="31"/>
        <v>0</v>
      </c>
      <c r="Q114" s="168">
        <f t="shared" si="31"/>
        <v>-1</v>
      </c>
      <c r="R114" s="168">
        <f t="shared" si="31"/>
        <v>-1</v>
      </c>
      <c r="S114" s="168">
        <f t="shared" si="31"/>
        <v>0</v>
      </c>
      <c r="T114" s="119"/>
      <c r="U114" s="119"/>
    </row>
    <row r="115" spans="3:23" x14ac:dyDescent="0.25">
      <c r="F115" t="s">
        <v>799</v>
      </c>
      <c r="G115" s="118" t="s">
        <v>177</v>
      </c>
      <c r="J115" s="168">
        <f t="shared" ref="J115:S115" si="32">IF(J$38 = "", J95, J95 * J$38)</f>
        <v>-1</v>
      </c>
      <c r="K115" s="168">
        <f t="shared" si="32"/>
        <v>-1</v>
      </c>
      <c r="L115" s="168">
        <f t="shared" si="32"/>
        <v>-1</v>
      </c>
      <c r="M115" s="168">
        <f t="shared" si="32"/>
        <v>-1</v>
      </c>
      <c r="N115" s="168">
        <f t="shared" si="32"/>
        <v>-1</v>
      </c>
      <c r="O115" s="168">
        <f t="shared" si="32"/>
        <v>-1</v>
      </c>
      <c r="P115" s="168">
        <f t="shared" si="32"/>
        <v>0</v>
      </c>
      <c r="Q115" s="168">
        <f t="shared" si="32"/>
        <v>-1</v>
      </c>
      <c r="R115" s="168">
        <f t="shared" si="32"/>
        <v>-1</v>
      </c>
      <c r="S115" s="168">
        <f t="shared" si="32"/>
        <v>0</v>
      </c>
      <c r="T115" s="119"/>
      <c r="U115" s="119"/>
    </row>
    <row r="116" spans="3:23" x14ac:dyDescent="0.25">
      <c r="F116" t="s">
        <v>791</v>
      </c>
      <c r="G116" s="118" t="s">
        <v>177</v>
      </c>
      <c r="J116" s="168">
        <f t="shared" ref="J116:S116" si="33">IF(J$38 = "", J96, J96 * J$38)</f>
        <v>-1</v>
      </c>
      <c r="K116" s="168">
        <f t="shared" si="33"/>
        <v>-1</v>
      </c>
      <c r="L116" s="168">
        <f t="shared" si="33"/>
        <v>-1</v>
      </c>
      <c r="M116" s="168">
        <f t="shared" si="33"/>
        <v>-1</v>
      </c>
      <c r="N116" s="168">
        <f t="shared" si="33"/>
        <v>-1</v>
      </c>
      <c r="O116" s="168">
        <f t="shared" si="33"/>
        <v>-1</v>
      </c>
      <c r="P116" s="168">
        <f t="shared" si="33"/>
        <v>0</v>
      </c>
      <c r="Q116" s="168">
        <f t="shared" si="33"/>
        <v>-1</v>
      </c>
      <c r="R116" s="168">
        <f t="shared" si="33"/>
        <v>0</v>
      </c>
      <c r="S116" s="168">
        <f t="shared" si="33"/>
        <v>0</v>
      </c>
      <c r="T116" s="119"/>
      <c r="U116" s="119"/>
    </row>
    <row r="117" spans="3:23" x14ac:dyDescent="0.25">
      <c r="F117" t="s">
        <v>798</v>
      </c>
      <c r="G117" s="118" t="s">
        <v>177</v>
      </c>
      <c r="J117" s="168">
        <f t="shared" ref="J117:S117" si="34">IF(J$38 = "", J97, J97 * J$38)</f>
        <v>-1</v>
      </c>
      <c r="K117" s="168">
        <f t="shared" si="34"/>
        <v>-1</v>
      </c>
      <c r="L117" s="168">
        <f t="shared" si="34"/>
        <v>-1</v>
      </c>
      <c r="M117" s="168">
        <f t="shared" si="34"/>
        <v>-1</v>
      </c>
      <c r="N117" s="168">
        <f t="shared" si="34"/>
        <v>-1</v>
      </c>
      <c r="O117" s="168">
        <f t="shared" si="34"/>
        <v>-1</v>
      </c>
      <c r="P117" s="168">
        <f t="shared" si="34"/>
        <v>0</v>
      </c>
      <c r="Q117" s="168">
        <f t="shared" si="34"/>
        <v>-1</v>
      </c>
      <c r="R117" s="168">
        <f t="shared" si="34"/>
        <v>0</v>
      </c>
      <c r="S117" s="168">
        <f t="shared" si="34"/>
        <v>0</v>
      </c>
      <c r="T117" s="119"/>
      <c r="U117" s="119"/>
    </row>
    <row r="118" spans="3:23" x14ac:dyDescent="0.25">
      <c r="F118" t="s">
        <v>792</v>
      </c>
      <c r="G118" s="118" t="s">
        <v>177</v>
      </c>
      <c r="J118" s="168">
        <f t="shared" ref="J118:S118" si="35">IF(J$38 = "", J98, J98 * J$38)</f>
        <v>-1</v>
      </c>
      <c r="K118" s="168">
        <f t="shared" si="35"/>
        <v>-1</v>
      </c>
      <c r="L118" s="168">
        <f t="shared" si="35"/>
        <v>-1</v>
      </c>
      <c r="M118" s="168">
        <f t="shared" si="35"/>
        <v>-1</v>
      </c>
      <c r="N118" s="168">
        <f t="shared" si="35"/>
        <v>-1</v>
      </c>
      <c r="O118" s="168">
        <f t="shared" si="35"/>
        <v>-1</v>
      </c>
      <c r="P118" s="168">
        <f t="shared" si="35"/>
        <v>0</v>
      </c>
      <c r="Q118" s="168">
        <f t="shared" si="35"/>
        <v>0</v>
      </c>
      <c r="R118" s="168">
        <f t="shared" si="35"/>
        <v>0</v>
      </c>
      <c r="S118" s="168">
        <f t="shared" si="35"/>
        <v>0</v>
      </c>
      <c r="T118" s="119"/>
      <c r="U118" s="119"/>
    </row>
    <row r="119" spans="3:23" x14ac:dyDescent="0.25">
      <c r="F119" s="96" t="s">
        <v>797</v>
      </c>
      <c r="G119" s="120" t="s">
        <v>177</v>
      </c>
      <c r="H119" s="96"/>
      <c r="I119" s="96"/>
      <c r="J119" s="173">
        <f t="shared" ref="J119:S119" si="36">IF(J$38 = "", J99, J99 * J$38)</f>
        <v>-1</v>
      </c>
      <c r="K119" s="173">
        <f t="shared" si="36"/>
        <v>-1</v>
      </c>
      <c r="L119" s="173">
        <f t="shared" si="36"/>
        <v>-1</v>
      </c>
      <c r="M119" s="173">
        <f t="shared" si="36"/>
        <v>-1</v>
      </c>
      <c r="N119" s="173">
        <f t="shared" si="36"/>
        <v>-1</v>
      </c>
      <c r="O119" s="173">
        <f t="shared" si="36"/>
        <v>-1</v>
      </c>
      <c r="P119" s="173">
        <f t="shared" si="36"/>
        <v>0</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control'!$H$42:$H$65,MATCH($A$1,'Version control'!$F$42:$F$65,0),1)&amp;"-E: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363</v>
      </c>
      <c r="G123" s="61"/>
      <c r="J123" s="106"/>
      <c r="K123" s="106"/>
      <c r="L123" s="106"/>
      <c r="M123" s="106"/>
      <c r="N123" s="106"/>
      <c r="O123" s="106"/>
      <c r="P123" s="106"/>
      <c r="Q123" s="106"/>
      <c r="R123" s="106"/>
      <c r="S123" s="106"/>
      <c r="T123" s="106"/>
      <c r="U123" s="106"/>
      <c r="W123" s="3"/>
    </row>
    <row r="124" spans="3:23" x14ac:dyDescent="0.25">
      <c r="E124" s="86" t="s">
        <v>364</v>
      </c>
      <c r="G124" s="61"/>
      <c r="J124" s="106"/>
      <c r="K124" s="106"/>
      <c r="L124" s="106"/>
      <c r="M124" s="106"/>
      <c r="N124" s="106"/>
      <c r="O124" s="106"/>
      <c r="P124" s="106"/>
      <c r="Q124" s="106"/>
      <c r="R124" s="106"/>
      <c r="S124" s="106"/>
      <c r="T124" s="106"/>
      <c r="U124" s="106"/>
    </row>
    <row r="125" spans="3:23" x14ac:dyDescent="0.25">
      <c r="E125" s="86" t="s">
        <v>365</v>
      </c>
      <c r="G125" s="61"/>
      <c r="H125" s="175" t="s">
        <v>366</v>
      </c>
      <c r="J125" s="106"/>
      <c r="K125" s="106"/>
      <c r="L125" s="106"/>
      <c r="M125" s="106"/>
      <c r="N125" s="106"/>
      <c r="O125" s="106"/>
      <c r="P125" s="106"/>
      <c r="Q125" s="106"/>
      <c r="R125" s="106"/>
      <c r="S125" s="106"/>
      <c r="T125" s="106"/>
      <c r="U125" s="106"/>
    </row>
    <row r="126" spans="3:23" x14ac:dyDescent="0.25">
      <c r="F126" s="95" t="s">
        <v>1114</v>
      </c>
      <c r="G126" s="116" t="s">
        <v>284</v>
      </c>
      <c r="H126" s="147">
        <f t="shared" ref="H126:H141" si="37">MAX(J126:S126)</f>
        <v>1.0620000000000001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1.0620000000000001</v>
      </c>
      <c r="T126" s="117"/>
      <c r="U126" s="117"/>
      <c r="W126" s="3"/>
    </row>
    <row r="127" spans="3:23" x14ac:dyDescent="0.25">
      <c r="F127" t="s">
        <v>786</v>
      </c>
      <c r="G127" s="118" t="s">
        <v>284</v>
      </c>
      <c r="H127" s="168">
        <f t="shared" si="37"/>
        <v>1.0620000000000001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1.0620000000000001</v>
      </c>
      <c r="T127" s="119"/>
      <c r="U127" s="119"/>
      <c r="W127" s="3"/>
    </row>
    <row r="128" spans="3:23" x14ac:dyDescent="0.25">
      <c r="F128" t="s">
        <v>1115</v>
      </c>
      <c r="G128" s="118" t="s">
        <v>284</v>
      </c>
      <c r="H128" s="168">
        <f t="shared" si="37"/>
        <v>1.0620000000000001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1.0620000000000001</v>
      </c>
      <c r="T128" s="119"/>
      <c r="U128" s="119"/>
      <c r="W128" s="3"/>
    </row>
    <row r="129" spans="5:23" x14ac:dyDescent="0.25">
      <c r="F129" t="s">
        <v>787</v>
      </c>
      <c r="G129" s="118" t="s">
        <v>284</v>
      </c>
      <c r="H129" s="168">
        <f t="shared" si="37"/>
        <v>1.0620000000000001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1.0620000000000001</v>
      </c>
      <c r="T129" s="119"/>
      <c r="U129" s="119"/>
    </row>
    <row r="130" spans="5:23" x14ac:dyDescent="0.25">
      <c r="F130" t="s">
        <v>793</v>
      </c>
      <c r="G130" s="118" t="s">
        <v>284</v>
      </c>
      <c r="H130" s="168">
        <f t="shared" si="37"/>
        <v>1.0620000000000001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1.0620000000000001</v>
      </c>
      <c r="T130" s="119"/>
      <c r="U130" s="119"/>
    </row>
    <row r="131" spans="5:23" x14ac:dyDescent="0.25">
      <c r="F131" t="s">
        <v>794</v>
      </c>
      <c r="G131" s="118" t="s">
        <v>284</v>
      </c>
      <c r="H131" s="168">
        <f t="shared" si="37"/>
        <v>1.048</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1.048</v>
      </c>
      <c r="S131" s="168">
        <f>OR(SUM(S70:$S70) = 1, SUM(S70:$S70) = -1) * S$29</f>
        <v>0</v>
      </c>
      <c r="T131" s="119"/>
      <c r="U131" s="119"/>
    </row>
    <row r="132" spans="5:23" x14ac:dyDescent="0.25">
      <c r="F132" t="s">
        <v>795</v>
      </c>
      <c r="G132" s="118" t="s">
        <v>284</v>
      </c>
      <c r="H132" s="168">
        <f t="shared" si="37"/>
        <v>1.034</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1.018</v>
      </c>
      <c r="Q132" s="168">
        <f>OR(SUM(Q71:$S71) = 1, SUM(Q71:$S71) = -1) * Q$29</f>
        <v>1.034</v>
      </c>
      <c r="R132" s="168">
        <f>OR(SUM(R71:$S71) = 1, SUM(R71:$S71) = -1) * R$29</f>
        <v>0</v>
      </c>
      <c r="S132" s="168">
        <f>OR(SUM(S71:$S71) = 1, SUM(S71:$S71) = -1) * S$29</f>
        <v>0</v>
      </c>
      <c r="T132" s="119"/>
      <c r="U132" s="119"/>
    </row>
    <row r="133" spans="5:23" x14ac:dyDescent="0.25">
      <c r="F133" t="s">
        <v>796</v>
      </c>
      <c r="G133" s="118" t="s">
        <v>284</v>
      </c>
      <c r="H133" s="168">
        <f t="shared" si="37"/>
        <v>1.0620000000000001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1.0620000000000001</v>
      </c>
      <c r="T133" s="119"/>
      <c r="U133" s="119"/>
    </row>
    <row r="134" spans="5:23" x14ac:dyDescent="0.25">
      <c r="F134" t="s">
        <v>788</v>
      </c>
      <c r="G134" s="118" t="s">
        <v>284</v>
      </c>
      <c r="H134" s="168">
        <f t="shared" si="37"/>
        <v>1.0620000000000001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1.0620000000000001</v>
      </c>
      <c r="T134" s="119"/>
      <c r="U134" s="119"/>
    </row>
    <row r="135" spans="5:23" x14ac:dyDescent="0.25">
      <c r="F135" t="s">
        <v>789</v>
      </c>
      <c r="G135" s="118" t="s">
        <v>284</v>
      </c>
      <c r="H135" s="168">
        <f t="shared" si="37"/>
        <v>1.048</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1.048</v>
      </c>
      <c r="S135" s="168">
        <f>OR(SUM(S74:$S74) = 1, SUM(S74:$S74) = -1) * S$29</f>
        <v>0</v>
      </c>
      <c r="T135" s="119"/>
      <c r="U135" s="119"/>
    </row>
    <row r="136" spans="5:23" x14ac:dyDescent="0.25">
      <c r="F136" t="s">
        <v>790</v>
      </c>
      <c r="G136" s="118" t="s">
        <v>284</v>
      </c>
      <c r="H136" s="168">
        <f t="shared" si="37"/>
        <v>1.0620000000000001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1.0620000000000001</v>
      </c>
      <c r="T136" s="119"/>
      <c r="U136" s="119"/>
    </row>
    <row r="137" spans="5:23" x14ac:dyDescent="0.25">
      <c r="F137" t="s">
        <v>799</v>
      </c>
      <c r="G137" s="118" t="s">
        <v>284</v>
      </c>
      <c r="H137" s="168">
        <f t="shared" si="37"/>
        <v>1.0620000000000001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1.0620000000000001</v>
      </c>
      <c r="T137" s="119"/>
      <c r="U137" s="119"/>
    </row>
    <row r="138" spans="5:23" x14ac:dyDescent="0.25">
      <c r="F138" t="s">
        <v>791</v>
      </c>
      <c r="G138" s="118" t="s">
        <v>284</v>
      </c>
      <c r="H138" s="168">
        <f t="shared" si="37"/>
        <v>1.048</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1.048</v>
      </c>
      <c r="S138" s="168">
        <f>OR(SUM(S77:$S77) = 1, SUM(S77:$S77) = -1) * S$29</f>
        <v>0</v>
      </c>
      <c r="T138" s="119"/>
      <c r="U138" s="119"/>
    </row>
    <row r="139" spans="5:23" x14ac:dyDescent="0.25">
      <c r="F139" t="s">
        <v>798</v>
      </c>
      <c r="G139" s="118" t="s">
        <v>284</v>
      </c>
      <c r="H139" s="168">
        <f t="shared" si="37"/>
        <v>1.048</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1.048</v>
      </c>
      <c r="S139" s="168">
        <f>OR(SUM(S78:$S78) = 1, SUM(S78:$S78) = -1) * S$29</f>
        <v>0</v>
      </c>
      <c r="T139" s="119"/>
      <c r="U139" s="119"/>
    </row>
    <row r="140" spans="5:23" x14ac:dyDescent="0.25">
      <c r="F140" t="s">
        <v>792</v>
      </c>
      <c r="G140" s="118" t="s">
        <v>284</v>
      </c>
      <c r="H140" s="168">
        <f t="shared" si="37"/>
        <v>1.034</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1.018</v>
      </c>
      <c r="Q140" s="168">
        <f>OR(SUM(Q79:$S79) = 1, SUM(Q79:$S79) = -1) * Q$29</f>
        <v>1.034</v>
      </c>
      <c r="R140" s="168">
        <f>OR(SUM(R79:$S79) = 1, SUM(R79:$S79) = -1) * R$29</f>
        <v>0</v>
      </c>
      <c r="S140" s="168">
        <f>OR(SUM(S79:$S79) = 1, SUM(S79:$S79) = -1) * S$29</f>
        <v>0</v>
      </c>
      <c r="T140" s="119"/>
      <c r="U140" s="119"/>
    </row>
    <row r="141" spans="5:23" x14ac:dyDescent="0.25">
      <c r="F141" s="96" t="s">
        <v>797</v>
      </c>
      <c r="G141" s="120" t="s">
        <v>284</v>
      </c>
      <c r="H141" s="173">
        <f t="shared" si="37"/>
        <v>1.034</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1.018</v>
      </c>
      <c r="Q141" s="173">
        <f>OR(SUM(Q80:$S80) = 1, SUM(Q80:$S80) = -1) * Q$29</f>
        <v>1.034</v>
      </c>
      <c r="R141" s="173">
        <f>OR(SUM(R80:$S80) = 1, SUM(R80:$S80) = -1) * R$29</f>
        <v>0</v>
      </c>
      <c r="S141" s="173">
        <f>OR(SUM(S80:$S80) = 1, SUM(S80:$S80) = -1) * S$29</f>
        <v>0</v>
      </c>
      <c r="T141" s="121"/>
      <c r="U141" s="121"/>
    </row>
    <row r="142" spans="5:23" x14ac:dyDescent="0.25">
      <c r="G142" s="61"/>
    </row>
    <row r="143" spans="5:23" x14ac:dyDescent="0.25">
      <c r="E143" s="75" t="s">
        <v>367</v>
      </c>
      <c r="G143" s="61"/>
      <c r="I143" t="s">
        <v>155</v>
      </c>
      <c r="W143" s="3" t="s">
        <v>368</v>
      </c>
    </row>
    <row r="144" spans="5:23" x14ac:dyDescent="0.25">
      <c r="E144" s="86" t="s">
        <v>360</v>
      </c>
      <c r="G144" s="61"/>
    </row>
    <row r="145" spans="6:23" x14ac:dyDescent="0.25">
      <c r="F145" s="95" t="s">
        <v>1114</v>
      </c>
      <c r="G145" s="116" t="s">
        <v>284</v>
      </c>
      <c r="H145" s="176"/>
      <c r="I145" s="95"/>
      <c r="J145" s="149">
        <f t="shared" ref="J145:S145" si="38">$H126 * J104</f>
        <v>1.0620000000000001</v>
      </c>
      <c r="K145" s="149">
        <f t="shared" si="38"/>
        <v>1.0620000000000001</v>
      </c>
      <c r="L145" s="149">
        <f t="shared" si="38"/>
        <v>1.0620000000000001</v>
      </c>
      <c r="M145" s="149">
        <f t="shared" si="38"/>
        <v>1.0620000000000001</v>
      </c>
      <c r="N145" s="149">
        <f t="shared" si="38"/>
        <v>1.0620000000000001</v>
      </c>
      <c r="O145" s="149">
        <f t="shared" si="38"/>
        <v>1.0620000000000001</v>
      </c>
      <c r="P145" s="149">
        <f t="shared" si="38"/>
        <v>0</v>
      </c>
      <c r="Q145" s="149">
        <f t="shared" si="38"/>
        <v>1.0620000000000001</v>
      </c>
      <c r="R145" s="149">
        <f t="shared" si="38"/>
        <v>1.0620000000000001</v>
      </c>
      <c r="S145" s="149">
        <f t="shared" si="38"/>
        <v>1.0620000000000001</v>
      </c>
      <c r="T145" s="117"/>
      <c r="U145" s="117"/>
    </row>
    <row r="146" spans="6:23" x14ac:dyDescent="0.25">
      <c r="F146" t="s">
        <v>786</v>
      </c>
      <c r="G146" s="118" t="s">
        <v>284</v>
      </c>
      <c r="H146" s="97"/>
      <c r="J146" s="151">
        <f t="shared" ref="J146:S146" si="39">$H127 * J105</f>
        <v>1.0620000000000001</v>
      </c>
      <c r="K146" s="151">
        <f t="shared" si="39"/>
        <v>1.0620000000000001</v>
      </c>
      <c r="L146" s="151">
        <f t="shared" si="39"/>
        <v>1.0620000000000001</v>
      </c>
      <c r="M146" s="151">
        <f t="shared" si="39"/>
        <v>1.0620000000000001</v>
      </c>
      <c r="N146" s="151">
        <f t="shared" si="39"/>
        <v>1.0620000000000001</v>
      </c>
      <c r="O146" s="151">
        <f t="shared" si="39"/>
        <v>1.0620000000000001</v>
      </c>
      <c r="P146" s="151">
        <f t="shared" si="39"/>
        <v>0</v>
      </c>
      <c r="Q146" s="151">
        <f t="shared" si="39"/>
        <v>1.0620000000000001</v>
      </c>
      <c r="R146" s="151">
        <f t="shared" si="39"/>
        <v>1.0620000000000001</v>
      </c>
      <c r="S146" s="151">
        <f t="shared" si="39"/>
        <v>1.0620000000000001</v>
      </c>
      <c r="T146" s="119"/>
      <c r="U146" s="119"/>
      <c r="W146" s="3"/>
    </row>
    <row r="147" spans="6:23" x14ac:dyDescent="0.25">
      <c r="F147" t="s">
        <v>1115</v>
      </c>
      <c r="G147" s="118" t="s">
        <v>284</v>
      </c>
      <c r="H147" s="97"/>
      <c r="J147" s="151">
        <f t="shared" ref="J147:S147" si="40">$H128 * J106</f>
        <v>1.0620000000000001</v>
      </c>
      <c r="K147" s="151">
        <f t="shared" si="40"/>
        <v>1.0620000000000001</v>
      </c>
      <c r="L147" s="151">
        <f t="shared" si="40"/>
        <v>1.0620000000000001</v>
      </c>
      <c r="M147" s="151">
        <f t="shared" si="40"/>
        <v>1.0620000000000001</v>
      </c>
      <c r="N147" s="151">
        <f t="shared" si="40"/>
        <v>1.0620000000000001</v>
      </c>
      <c r="O147" s="151">
        <f t="shared" si="40"/>
        <v>1.0620000000000001</v>
      </c>
      <c r="P147" s="151">
        <f t="shared" si="40"/>
        <v>0</v>
      </c>
      <c r="Q147" s="151">
        <f t="shared" si="40"/>
        <v>1.0620000000000001</v>
      </c>
      <c r="R147" s="151">
        <f t="shared" si="40"/>
        <v>1.0620000000000001</v>
      </c>
      <c r="S147" s="151">
        <f t="shared" si="40"/>
        <v>1.0620000000000001</v>
      </c>
      <c r="T147" s="119"/>
      <c r="U147" s="119"/>
      <c r="W147" s="3"/>
    </row>
    <row r="148" spans="6:23" x14ac:dyDescent="0.25">
      <c r="F148" t="s">
        <v>787</v>
      </c>
      <c r="G148" s="118" t="s">
        <v>284</v>
      </c>
      <c r="H148" s="97"/>
      <c r="J148" s="151">
        <f t="shared" ref="J148:S148" si="41">$H129 * J107</f>
        <v>1.0620000000000001</v>
      </c>
      <c r="K148" s="151">
        <f t="shared" si="41"/>
        <v>1.0620000000000001</v>
      </c>
      <c r="L148" s="151">
        <f t="shared" si="41"/>
        <v>1.0620000000000001</v>
      </c>
      <c r="M148" s="151">
        <f t="shared" si="41"/>
        <v>1.0620000000000001</v>
      </c>
      <c r="N148" s="151">
        <f t="shared" si="41"/>
        <v>1.0620000000000001</v>
      </c>
      <c r="O148" s="151">
        <f t="shared" si="41"/>
        <v>1.0620000000000001</v>
      </c>
      <c r="P148" s="151">
        <f t="shared" si="41"/>
        <v>0</v>
      </c>
      <c r="Q148" s="151">
        <f t="shared" si="41"/>
        <v>1.0620000000000001</v>
      </c>
      <c r="R148" s="151">
        <f t="shared" si="41"/>
        <v>1.0620000000000001</v>
      </c>
      <c r="S148" s="151">
        <f t="shared" si="41"/>
        <v>1.0620000000000001</v>
      </c>
      <c r="T148" s="119"/>
      <c r="U148" s="119"/>
    </row>
    <row r="149" spans="6:23" x14ac:dyDescent="0.25">
      <c r="F149" t="s">
        <v>793</v>
      </c>
      <c r="G149" s="118" t="s">
        <v>284</v>
      </c>
      <c r="H149" s="97"/>
      <c r="J149" s="151">
        <f t="shared" ref="J149:S149" si="42">$H130 * J108</f>
        <v>1.0620000000000001</v>
      </c>
      <c r="K149" s="151">
        <f t="shared" si="42"/>
        <v>1.0620000000000001</v>
      </c>
      <c r="L149" s="151">
        <f t="shared" si="42"/>
        <v>1.0620000000000001</v>
      </c>
      <c r="M149" s="151">
        <f t="shared" si="42"/>
        <v>1.0620000000000001</v>
      </c>
      <c r="N149" s="151">
        <f t="shared" si="42"/>
        <v>1.0620000000000001</v>
      </c>
      <c r="O149" s="151">
        <f t="shared" si="42"/>
        <v>1.0620000000000001</v>
      </c>
      <c r="P149" s="151">
        <f t="shared" si="42"/>
        <v>0</v>
      </c>
      <c r="Q149" s="151">
        <f t="shared" si="42"/>
        <v>1.0620000000000001</v>
      </c>
      <c r="R149" s="151">
        <f t="shared" si="42"/>
        <v>1.0620000000000001</v>
      </c>
      <c r="S149" s="151">
        <f t="shared" si="42"/>
        <v>1.0620000000000001</v>
      </c>
      <c r="T149" s="119"/>
      <c r="U149" s="119"/>
    </row>
    <row r="150" spans="6:23" x14ac:dyDescent="0.25">
      <c r="F150" t="s">
        <v>794</v>
      </c>
      <c r="G150" s="118" t="s">
        <v>284</v>
      </c>
      <c r="H150" s="97"/>
      <c r="J150" s="151">
        <f t="shared" ref="J150:S150" si="43">$H131 * J109</f>
        <v>1.048</v>
      </c>
      <c r="K150" s="151">
        <f t="shared" si="43"/>
        <v>1.048</v>
      </c>
      <c r="L150" s="151">
        <f t="shared" si="43"/>
        <v>1.048</v>
      </c>
      <c r="M150" s="151">
        <f t="shared" si="43"/>
        <v>1.048</v>
      </c>
      <c r="N150" s="151">
        <f t="shared" si="43"/>
        <v>1.048</v>
      </c>
      <c r="O150" s="151">
        <f t="shared" si="43"/>
        <v>1.048</v>
      </c>
      <c r="P150" s="151">
        <f t="shared" si="43"/>
        <v>0</v>
      </c>
      <c r="Q150" s="151">
        <f t="shared" si="43"/>
        <v>1.048</v>
      </c>
      <c r="R150" s="151">
        <f t="shared" si="43"/>
        <v>1.048</v>
      </c>
      <c r="S150" s="151">
        <f t="shared" si="43"/>
        <v>0</v>
      </c>
      <c r="T150" s="119"/>
      <c r="U150" s="119"/>
    </row>
    <row r="151" spans="6:23" x14ac:dyDescent="0.25">
      <c r="F151" t="s">
        <v>795</v>
      </c>
      <c r="G151" s="118" t="s">
        <v>284</v>
      </c>
      <c r="H151" s="97"/>
      <c r="J151" s="151">
        <f t="shared" ref="J151:S151" si="44">$H132 * J110</f>
        <v>1.034</v>
      </c>
      <c r="K151" s="151">
        <f t="shared" si="44"/>
        <v>1.034</v>
      </c>
      <c r="L151" s="151">
        <f t="shared" si="44"/>
        <v>1.034</v>
      </c>
      <c r="M151" s="151">
        <f t="shared" si="44"/>
        <v>1.034</v>
      </c>
      <c r="N151" s="151">
        <f t="shared" si="44"/>
        <v>1.034</v>
      </c>
      <c r="O151" s="151">
        <f t="shared" si="44"/>
        <v>1.034</v>
      </c>
      <c r="P151" s="151">
        <f t="shared" si="44"/>
        <v>0</v>
      </c>
      <c r="Q151" s="151">
        <f t="shared" si="44"/>
        <v>1.034</v>
      </c>
      <c r="R151" s="151">
        <f t="shared" si="44"/>
        <v>0</v>
      </c>
      <c r="S151" s="151">
        <f t="shared" si="44"/>
        <v>0</v>
      </c>
      <c r="T151" s="119"/>
      <c r="U151" s="119"/>
    </row>
    <row r="152" spans="6:23" x14ac:dyDescent="0.25">
      <c r="F152" t="s">
        <v>796</v>
      </c>
      <c r="G152" s="118" t="s">
        <v>284</v>
      </c>
      <c r="H152" s="97"/>
      <c r="J152" s="151">
        <f t="shared" ref="J152:S152" si="45">$H133 * J111</f>
        <v>1.0620000000000001</v>
      </c>
      <c r="K152" s="151">
        <f t="shared" si="45"/>
        <v>1.0620000000000001</v>
      </c>
      <c r="L152" s="151">
        <f t="shared" si="45"/>
        <v>1.0620000000000001</v>
      </c>
      <c r="M152" s="151">
        <f t="shared" si="45"/>
        <v>1.0620000000000001</v>
      </c>
      <c r="N152" s="151">
        <f t="shared" si="45"/>
        <v>1.0620000000000001</v>
      </c>
      <c r="O152" s="151">
        <f t="shared" si="45"/>
        <v>1.0620000000000001</v>
      </c>
      <c r="P152" s="151">
        <f t="shared" si="45"/>
        <v>0</v>
      </c>
      <c r="Q152" s="151">
        <f t="shared" si="45"/>
        <v>1.0620000000000001</v>
      </c>
      <c r="R152" s="151">
        <f t="shared" si="45"/>
        <v>1.0620000000000001</v>
      </c>
      <c r="S152" s="151">
        <f t="shared" si="45"/>
        <v>1.0620000000000001</v>
      </c>
      <c r="T152" s="119"/>
      <c r="U152" s="119"/>
    </row>
    <row r="153" spans="6:23" x14ac:dyDescent="0.25">
      <c r="F153" t="s">
        <v>788</v>
      </c>
      <c r="G153" s="118" t="s">
        <v>284</v>
      </c>
      <c r="H153" s="97"/>
      <c r="J153" s="151">
        <f t="shared" ref="J153:S153" si="46">$H134 * J112</f>
        <v>-1.0620000000000001</v>
      </c>
      <c r="K153" s="151">
        <f t="shared" si="46"/>
        <v>-1.0620000000000001</v>
      </c>
      <c r="L153" s="151">
        <f t="shared" si="46"/>
        <v>-1.0620000000000001</v>
      </c>
      <c r="M153" s="151">
        <f t="shared" si="46"/>
        <v>-1.0620000000000001</v>
      </c>
      <c r="N153" s="151">
        <f t="shared" si="46"/>
        <v>-1.0620000000000001</v>
      </c>
      <c r="O153" s="151">
        <f t="shared" si="46"/>
        <v>-1.0620000000000001</v>
      </c>
      <c r="P153" s="151">
        <f t="shared" si="46"/>
        <v>0</v>
      </c>
      <c r="Q153" s="151">
        <f t="shared" si="46"/>
        <v>-1.0620000000000001</v>
      </c>
      <c r="R153" s="151">
        <f t="shared" si="46"/>
        <v>-1.0620000000000001</v>
      </c>
      <c r="S153" s="151">
        <f t="shared" si="46"/>
        <v>0</v>
      </c>
      <c r="T153" s="119"/>
      <c r="U153" s="119"/>
    </row>
    <row r="154" spans="6:23" x14ac:dyDescent="0.25">
      <c r="F154" t="s">
        <v>789</v>
      </c>
      <c r="G154" s="118" t="s">
        <v>284</v>
      </c>
      <c r="H154" s="97"/>
      <c r="J154" s="151">
        <f t="shared" ref="J154:S154" si="47">$H135 * J113</f>
        <v>-1.048</v>
      </c>
      <c r="K154" s="151">
        <f t="shared" si="47"/>
        <v>-1.048</v>
      </c>
      <c r="L154" s="151">
        <f t="shared" si="47"/>
        <v>-1.048</v>
      </c>
      <c r="M154" s="151">
        <f t="shared" si="47"/>
        <v>-1.048</v>
      </c>
      <c r="N154" s="151">
        <f t="shared" si="47"/>
        <v>-1.048</v>
      </c>
      <c r="O154" s="151">
        <f t="shared" si="47"/>
        <v>-1.048</v>
      </c>
      <c r="P154" s="151">
        <f t="shared" si="47"/>
        <v>0</v>
      </c>
      <c r="Q154" s="151">
        <f t="shared" si="47"/>
        <v>-1.048</v>
      </c>
      <c r="R154" s="151">
        <f t="shared" si="47"/>
        <v>0</v>
      </c>
      <c r="S154" s="151">
        <f t="shared" si="47"/>
        <v>0</v>
      </c>
      <c r="T154" s="119"/>
      <c r="U154" s="119"/>
    </row>
    <row r="155" spans="6:23" x14ac:dyDescent="0.25">
      <c r="F155" t="s">
        <v>790</v>
      </c>
      <c r="G155" s="118" t="s">
        <v>284</v>
      </c>
      <c r="H155" s="97"/>
      <c r="J155" s="151">
        <f t="shared" ref="J155:S155" si="48">$H136 * J114</f>
        <v>-1.0620000000000001</v>
      </c>
      <c r="K155" s="151">
        <f t="shared" si="48"/>
        <v>-1.0620000000000001</v>
      </c>
      <c r="L155" s="151">
        <f t="shared" si="48"/>
        <v>-1.0620000000000001</v>
      </c>
      <c r="M155" s="151">
        <f t="shared" si="48"/>
        <v>-1.0620000000000001</v>
      </c>
      <c r="N155" s="151">
        <f t="shared" si="48"/>
        <v>-1.0620000000000001</v>
      </c>
      <c r="O155" s="151">
        <f t="shared" si="48"/>
        <v>-1.0620000000000001</v>
      </c>
      <c r="P155" s="151">
        <f t="shared" si="48"/>
        <v>0</v>
      </c>
      <c r="Q155" s="151">
        <f t="shared" si="48"/>
        <v>-1.0620000000000001</v>
      </c>
      <c r="R155" s="151">
        <f t="shared" si="48"/>
        <v>-1.0620000000000001</v>
      </c>
      <c r="S155" s="151">
        <f t="shared" si="48"/>
        <v>0</v>
      </c>
      <c r="T155" s="119"/>
      <c r="U155" s="119"/>
    </row>
    <row r="156" spans="6:23" x14ac:dyDescent="0.25">
      <c r="F156" t="s">
        <v>799</v>
      </c>
      <c r="G156" s="118" t="s">
        <v>284</v>
      </c>
      <c r="H156" s="97"/>
      <c r="J156" s="151">
        <f t="shared" ref="J156:S156" si="49">$H137 * J115</f>
        <v>-1.0620000000000001</v>
      </c>
      <c r="K156" s="151">
        <f t="shared" si="49"/>
        <v>-1.0620000000000001</v>
      </c>
      <c r="L156" s="151">
        <f t="shared" si="49"/>
        <v>-1.0620000000000001</v>
      </c>
      <c r="M156" s="151">
        <f t="shared" si="49"/>
        <v>-1.0620000000000001</v>
      </c>
      <c r="N156" s="151">
        <f t="shared" si="49"/>
        <v>-1.0620000000000001</v>
      </c>
      <c r="O156" s="151">
        <f t="shared" si="49"/>
        <v>-1.0620000000000001</v>
      </c>
      <c r="P156" s="151">
        <f t="shared" si="49"/>
        <v>0</v>
      </c>
      <c r="Q156" s="151">
        <f t="shared" si="49"/>
        <v>-1.0620000000000001</v>
      </c>
      <c r="R156" s="151">
        <f t="shared" si="49"/>
        <v>-1.0620000000000001</v>
      </c>
      <c r="S156" s="151">
        <f t="shared" si="49"/>
        <v>0</v>
      </c>
      <c r="T156" s="119"/>
      <c r="U156" s="119"/>
    </row>
    <row r="157" spans="6:23" x14ac:dyDescent="0.25">
      <c r="F157" t="s">
        <v>791</v>
      </c>
      <c r="G157" s="118" t="s">
        <v>284</v>
      </c>
      <c r="H157" s="97"/>
      <c r="J157" s="151">
        <f t="shared" ref="J157:S157" si="50">$H138 * J116</f>
        <v>-1.048</v>
      </c>
      <c r="K157" s="151">
        <f t="shared" si="50"/>
        <v>-1.048</v>
      </c>
      <c r="L157" s="151">
        <f t="shared" si="50"/>
        <v>-1.048</v>
      </c>
      <c r="M157" s="151">
        <f t="shared" si="50"/>
        <v>-1.048</v>
      </c>
      <c r="N157" s="151">
        <f t="shared" si="50"/>
        <v>-1.048</v>
      </c>
      <c r="O157" s="151">
        <f t="shared" si="50"/>
        <v>-1.048</v>
      </c>
      <c r="P157" s="151">
        <f t="shared" si="50"/>
        <v>0</v>
      </c>
      <c r="Q157" s="151">
        <f t="shared" si="50"/>
        <v>-1.048</v>
      </c>
      <c r="R157" s="151">
        <f t="shared" si="50"/>
        <v>0</v>
      </c>
      <c r="S157" s="151">
        <f t="shared" si="50"/>
        <v>0</v>
      </c>
      <c r="T157" s="119"/>
      <c r="U157" s="119"/>
    </row>
    <row r="158" spans="6:23" x14ac:dyDescent="0.25">
      <c r="F158" t="s">
        <v>798</v>
      </c>
      <c r="G158" s="118" t="s">
        <v>284</v>
      </c>
      <c r="H158" s="97"/>
      <c r="J158" s="151">
        <f t="shared" ref="J158:S158" si="51">$H139 * J117</f>
        <v>-1.048</v>
      </c>
      <c r="K158" s="151">
        <f t="shared" si="51"/>
        <v>-1.048</v>
      </c>
      <c r="L158" s="151">
        <f t="shared" si="51"/>
        <v>-1.048</v>
      </c>
      <c r="M158" s="151">
        <f t="shared" si="51"/>
        <v>-1.048</v>
      </c>
      <c r="N158" s="151">
        <f t="shared" si="51"/>
        <v>-1.048</v>
      </c>
      <c r="O158" s="151">
        <f t="shared" si="51"/>
        <v>-1.048</v>
      </c>
      <c r="P158" s="151">
        <f t="shared" si="51"/>
        <v>0</v>
      </c>
      <c r="Q158" s="151">
        <f t="shared" si="51"/>
        <v>-1.048</v>
      </c>
      <c r="R158" s="151">
        <f t="shared" si="51"/>
        <v>0</v>
      </c>
      <c r="S158" s="151">
        <f t="shared" si="51"/>
        <v>0</v>
      </c>
      <c r="T158" s="119"/>
      <c r="U158" s="119"/>
    </row>
    <row r="159" spans="6:23" x14ac:dyDescent="0.25">
      <c r="F159" t="s">
        <v>792</v>
      </c>
      <c r="G159" s="118" t="s">
        <v>284</v>
      </c>
      <c r="H159" s="97"/>
      <c r="J159" s="151">
        <f t="shared" ref="J159:S159" si="52">$H140 * J118</f>
        <v>-1.034</v>
      </c>
      <c r="K159" s="151">
        <f t="shared" si="52"/>
        <v>-1.034</v>
      </c>
      <c r="L159" s="151">
        <f t="shared" si="52"/>
        <v>-1.034</v>
      </c>
      <c r="M159" s="151">
        <f t="shared" si="52"/>
        <v>-1.034</v>
      </c>
      <c r="N159" s="151">
        <f t="shared" si="52"/>
        <v>-1.034</v>
      </c>
      <c r="O159" s="151">
        <f t="shared" si="52"/>
        <v>-1.034</v>
      </c>
      <c r="P159" s="151">
        <f t="shared" si="52"/>
        <v>0</v>
      </c>
      <c r="Q159" s="151">
        <f t="shared" si="52"/>
        <v>0</v>
      </c>
      <c r="R159" s="151">
        <f t="shared" si="52"/>
        <v>0</v>
      </c>
      <c r="S159" s="151">
        <f t="shared" si="52"/>
        <v>0</v>
      </c>
      <c r="T159" s="119"/>
      <c r="U159" s="119"/>
    </row>
    <row r="160" spans="6:23" x14ac:dyDescent="0.25">
      <c r="F160" s="96" t="s">
        <v>797</v>
      </c>
      <c r="G160" s="120" t="s">
        <v>284</v>
      </c>
      <c r="H160" s="177"/>
      <c r="I160" s="96"/>
      <c r="J160" s="150">
        <f t="shared" ref="J160:S160" si="53">$H141 * J119</f>
        <v>-1.034</v>
      </c>
      <c r="K160" s="150">
        <f t="shared" si="53"/>
        <v>-1.034</v>
      </c>
      <c r="L160" s="150">
        <f t="shared" si="53"/>
        <v>-1.034</v>
      </c>
      <c r="M160" s="150">
        <f t="shared" si="53"/>
        <v>-1.034</v>
      </c>
      <c r="N160" s="150">
        <f t="shared" si="53"/>
        <v>-1.034</v>
      </c>
      <c r="O160" s="150">
        <f t="shared" si="53"/>
        <v>-1.034</v>
      </c>
      <c r="P160" s="150">
        <f t="shared" si="53"/>
        <v>0</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363</v>
      </c>
      <c r="G162" s="61"/>
      <c r="I162" t="s">
        <v>155</v>
      </c>
      <c r="J162" s="106"/>
      <c r="K162" s="106"/>
      <c r="L162" s="106"/>
      <c r="M162" s="106"/>
      <c r="N162" s="106"/>
      <c r="O162" s="106"/>
      <c r="P162" s="106"/>
      <c r="Q162" s="106"/>
      <c r="R162" s="106"/>
      <c r="S162" s="106"/>
      <c r="T162" s="106"/>
      <c r="U162" s="106"/>
      <c r="W162" s="3" t="s">
        <v>368</v>
      </c>
    </row>
    <row r="163" spans="5:23" x14ac:dyDescent="0.25">
      <c r="E163" s="86" t="s">
        <v>360</v>
      </c>
      <c r="G163" s="61"/>
      <c r="J163" s="106"/>
      <c r="K163" s="106"/>
      <c r="L163" s="106"/>
      <c r="M163" s="106"/>
      <c r="N163" s="106"/>
      <c r="O163" s="106"/>
      <c r="P163" s="106"/>
      <c r="Q163" s="106"/>
      <c r="R163" s="106"/>
      <c r="S163" s="106"/>
      <c r="T163" s="106"/>
      <c r="U163" s="106"/>
    </row>
    <row r="164" spans="5:23" x14ac:dyDescent="0.25">
      <c r="F164" s="95" t="s">
        <v>1114</v>
      </c>
      <c r="G164" s="116" t="s">
        <v>284</v>
      </c>
      <c r="H164" s="176"/>
      <c r="I164" s="95"/>
      <c r="J164" s="117"/>
      <c r="K164" s="117"/>
      <c r="L164" s="117"/>
      <c r="M164" s="117"/>
      <c r="N164" s="117"/>
      <c r="O164" s="117"/>
      <c r="P164" s="117"/>
      <c r="Q164" s="117"/>
      <c r="R164" s="117"/>
      <c r="S164" s="117"/>
      <c r="T164" s="117"/>
      <c r="U164" s="117"/>
    </row>
    <row r="165" spans="5:23" x14ac:dyDescent="0.25">
      <c r="F165" t="s">
        <v>786</v>
      </c>
      <c r="G165" s="118" t="s">
        <v>284</v>
      </c>
      <c r="H165" s="97"/>
      <c r="J165" s="119"/>
      <c r="K165" s="119"/>
      <c r="L165" s="119"/>
      <c r="M165" s="119"/>
      <c r="N165" s="119"/>
      <c r="O165" s="119"/>
      <c r="P165" s="119"/>
      <c r="Q165" s="119"/>
      <c r="R165" s="119"/>
      <c r="S165" s="119"/>
      <c r="T165" s="119"/>
      <c r="U165" s="119"/>
      <c r="W165" s="3"/>
    </row>
    <row r="166" spans="5:23" x14ac:dyDescent="0.25">
      <c r="F166" t="s">
        <v>1115</v>
      </c>
      <c r="G166" s="118" t="s">
        <v>284</v>
      </c>
      <c r="H166" s="97"/>
      <c r="J166" s="119"/>
      <c r="K166" s="119"/>
      <c r="L166" s="119"/>
      <c r="M166" s="119"/>
      <c r="N166" s="119"/>
      <c r="O166" s="119"/>
      <c r="P166" s="119"/>
      <c r="Q166" s="119"/>
      <c r="R166" s="119"/>
      <c r="S166" s="119"/>
      <c r="T166" s="119"/>
      <c r="U166" s="119"/>
      <c r="W166" s="3"/>
    </row>
    <row r="167" spans="5:23" x14ac:dyDescent="0.25">
      <c r="F167" t="s">
        <v>787</v>
      </c>
      <c r="G167" s="118" t="s">
        <v>284</v>
      </c>
      <c r="H167" s="97"/>
      <c r="J167" s="119"/>
      <c r="K167" s="119"/>
      <c r="L167" s="119"/>
      <c r="M167" s="119"/>
      <c r="N167" s="119"/>
      <c r="O167" s="119"/>
      <c r="P167" s="119"/>
      <c r="Q167" s="119"/>
      <c r="R167" s="119"/>
      <c r="S167" s="119"/>
      <c r="T167" s="119"/>
      <c r="U167" s="119"/>
    </row>
    <row r="168" spans="5:23" x14ac:dyDescent="0.25">
      <c r="F168" t="s">
        <v>793</v>
      </c>
      <c r="G168" s="118" t="s">
        <v>284</v>
      </c>
      <c r="H168" s="97"/>
      <c r="J168" s="119"/>
      <c r="K168" s="119"/>
      <c r="L168" s="119"/>
      <c r="M168" s="119"/>
      <c r="N168" s="119"/>
      <c r="O168" s="119"/>
      <c r="P168" s="119"/>
      <c r="Q168" s="119"/>
      <c r="R168" s="119"/>
      <c r="S168" s="119"/>
      <c r="T168" s="119"/>
      <c r="U168" s="119"/>
    </row>
    <row r="169" spans="5:23" x14ac:dyDescent="0.25">
      <c r="F169" t="s">
        <v>794</v>
      </c>
      <c r="G169" s="118" t="s">
        <v>284</v>
      </c>
      <c r="H169" s="97"/>
      <c r="J169" s="119"/>
      <c r="K169" s="119"/>
      <c r="L169" s="119"/>
      <c r="M169" s="119"/>
      <c r="N169" s="119"/>
      <c r="O169" s="119"/>
      <c r="P169" s="119"/>
      <c r="Q169" s="119"/>
      <c r="R169" s="119"/>
      <c r="S169" s="119"/>
      <c r="T169" s="119"/>
      <c r="U169" s="119"/>
    </row>
    <row r="170" spans="5:23" x14ac:dyDescent="0.25">
      <c r="F170" t="s">
        <v>795</v>
      </c>
      <c r="G170" s="118" t="s">
        <v>284</v>
      </c>
      <c r="H170" s="97"/>
      <c r="J170" s="119"/>
      <c r="K170" s="119"/>
      <c r="L170" s="119"/>
      <c r="M170" s="119"/>
      <c r="N170" s="119"/>
      <c r="O170" s="119"/>
      <c r="P170" s="119"/>
      <c r="Q170" s="119"/>
      <c r="R170" s="119"/>
      <c r="S170" s="119"/>
      <c r="T170" s="119"/>
      <c r="U170" s="119"/>
    </row>
    <row r="171" spans="5:23" x14ac:dyDescent="0.25">
      <c r="F171" t="s">
        <v>796</v>
      </c>
      <c r="G171" s="118" t="s">
        <v>284</v>
      </c>
      <c r="H171" s="97"/>
      <c r="J171" s="119"/>
      <c r="K171" s="119"/>
      <c r="L171" s="119"/>
      <c r="M171" s="119"/>
      <c r="N171" s="119"/>
      <c r="O171" s="119"/>
      <c r="P171" s="119"/>
      <c r="Q171" s="119"/>
      <c r="R171" s="119"/>
      <c r="S171" s="119"/>
      <c r="T171" s="119"/>
      <c r="U171" s="119"/>
    </row>
    <row r="172" spans="5:23" x14ac:dyDescent="0.25">
      <c r="F172" t="s">
        <v>788</v>
      </c>
      <c r="G172" s="118" t="s">
        <v>284</v>
      </c>
      <c r="H172" s="97"/>
      <c r="J172" s="151">
        <f t="shared" ref="J172:S172" si="54">$H134 * J73</f>
        <v>-1.0620000000000001</v>
      </c>
      <c r="K172" s="151">
        <f t="shared" si="54"/>
        <v>-1.0620000000000001</v>
      </c>
      <c r="L172" s="151">
        <f t="shared" si="54"/>
        <v>-1.0620000000000001</v>
      </c>
      <c r="M172" s="151">
        <f t="shared" si="54"/>
        <v>-1.0620000000000001</v>
      </c>
      <c r="N172" s="151">
        <f t="shared" si="54"/>
        <v>-1.0620000000000001</v>
      </c>
      <c r="O172" s="151">
        <f t="shared" si="54"/>
        <v>-1.0620000000000001</v>
      </c>
      <c r="P172" s="151">
        <f t="shared" si="54"/>
        <v>0</v>
      </c>
      <c r="Q172" s="151">
        <f t="shared" si="54"/>
        <v>-1.0620000000000001</v>
      </c>
      <c r="R172" s="151">
        <f t="shared" si="54"/>
        <v>-1.0620000000000001</v>
      </c>
      <c r="S172" s="151">
        <f t="shared" si="54"/>
        <v>-1.0620000000000001</v>
      </c>
      <c r="T172" s="119"/>
      <c r="U172" s="119"/>
    </row>
    <row r="173" spans="5:23" x14ac:dyDescent="0.25">
      <c r="F173" t="s">
        <v>789</v>
      </c>
      <c r="G173" s="118" t="s">
        <v>284</v>
      </c>
      <c r="H173" s="97"/>
      <c r="J173" s="151">
        <f t="shared" ref="J173:S173" si="55">$H135 * J74</f>
        <v>-1.048</v>
      </c>
      <c r="K173" s="151">
        <f t="shared" si="55"/>
        <v>-1.048</v>
      </c>
      <c r="L173" s="151">
        <f t="shared" si="55"/>
        <v>-1.048</v>
      </c>
      <c r="M173" s="151">
        <f t="shared" si="55"/>
        <v>-1.048</v>
      </c>
      <c r="N173" s="151">
        <f t="shared" si="55"/>
        <v>-1.048</v>
      </c>
      <c r="O173" s="151">
        <f t="shared" si="55"/>
        <v>-1.048</v>
      </c>
      <c r="P173" s="151">
        <f t="shared" si="55"/>
        <v>0</v>
      </c>
      <c r="Q173" s="151">
        <f t="shared" si="55"/>
        <v>-1.048</v>
      </c>
      <c r="R173" s="151">
        <f t="shared" si="55"/>
        <v>-1.048</v>
      </c>
      <c r="S173" s="151">
        <f t="shared" si="55"/>
        <v>0</v>
      </c>
      <c r="T173" s="119"/>
      <c r="U173" s="119"/>
    </row>
    <row r="174" spans="5:23" x14ac:dyDescent="0.25">
      <c r="F174" t="s">
        <v>790</v>
      </c>
      <c r="G174" s="118" t="s">
        <v>284</v>
      </c>
      <c r="H174" s="97"/>
      <c r="J174" s="151">
        <f t="shared" ref="J174:S174" si="56">$H136 * J75</f>
        <v>-1.0620000000000001</v>
      </c>
      <c r="K174" s="151">
        <f t="shared" si="56"/>
        <v>-1.0620000000000001</v>
      </c>
      <c r="L174" s="151">
        <f t="shared" si="56"/>
        <v>-1.0620000000000001</v>
      </c>
      <c r="M174" s="151">
        <f t="shared" si="56"/>
        <v>-1.0620000000000001</v>
      </c>
      <c r="N174" s="151">
        <f t="shared" si="56"/>
        <v>-1.0620000000000001</v>
      </c>
      <c r="O174" s="151">
        <f t="shared" si="56"/>
        <v>-1.0620000000000001</v>
      </c>
      <c r="P174" s="151">
        <f t="shared" si="56"/>
        <v>0</v>
      </c>
      <c r="Q174" s="151">
        <f t="shared" si="56"/>
        <v>-1.0620000000000001</v>
      </c>
      <c r="R174" s="151">
        <f t="shared" si="56"/>
        <v>-1.0620000000000001</v>
      </c>
      <c r="S174" s="151">
        <f t="shared" si="56"/>
        <v>-1.0620000000000001</v>
      </c>
      <c r="T174" s="119"/>
      <c r="U174" s="119"/>
    </row>
    <row r="175" spans="5:23" x14ac:dyDescent="0.25">
      <c r="F175" t="s">
        <v>799</v>
      </c>
      <c r="G175" s="118" t="s">
        <v>284</v>
      </c>
      <c r="H175" s="97"/>
      <c r="J175" s="151">
        <f t="shared" ref="J175:S175" si="57">$H137 * J76</f>
        <v>-1.0620000000000001</v>
      </c>
      <c r="K175" s="151">
        <f t="shared" si="57"/>
        <v>-1.0620000000000001</v>
      </c>
      <c r="L175" s="151">
        <f t="shared" si="57"/>
        <v>-1.0620000000000001</v>
      </c>
      <c r="M175" s="151">
        <f t="shared" si="57"/>
        <v>-1.0620000000000001</v>
      </c>
      <c r="N175" s="151">
        <f t="shared" si="57"/>
        <v>-1.0620000000000001</v>
      </c>
      <c r="O175" s="151">
        <f t="shared" si="57"/>
        <v>-1.0620000000000001</v>
      </c>
      <c r="P175" s="151">
        <f t="shared" si="57"/>
        <v>0</v>
      </c>
      <c r="Q175" s="151">
        <f t="shared" si="57"/>
        <v>-1.0620000000000001</v>
      </c>
      <c r="R175" s="151">
        <f t="shared" si="57"/>
        <v>-1.0620000000000001</v>
      </c>
      <c r="S175" s="151">
        <f t="shared" si="57"/>
        <v>-1.0620000000000001</v>
      </c>
      <c r="T175" s="119"/>
      <c r="U175" s="119"/>
    </row>
    <row r="176" spans="5:23" x14ac:dyDescent="0.25">
      <c r="F176" t="s">
        <v>791</v>
      </c>
      <c r="G176" s="118" t="s">
        <v>284</v>
      </c>
      <c r="H176" s="97"/>
      <c r="J176" s="151">
        <f t="shared" ref="J176:S176" si="58">$H138 * J77</f>
        <v>-1.048</v>
      </c>
      <c r="K176" s="151">
        <f t="shared" si="58"/>
        <v>-1.048</v>
      </c>
      <c r="L176" s="151">
        <f t="shared" si="58"/>
        <v>-1.048</v>
      </c>
      <c r="M176" s="151">
        <f t="shared" si="58"/>
        <v>-1.048</v>
      </c>
      <c r="N176" s="151">
        <f t="shared" si="58"/>
        <v>-1.048</v>
      </c>
      <c r="O176" s="151">
        <f t="shared" si="58"/>
        <v>-1.048</v>
      </c>
      <c r="P176" s="151">
        <f t="shared" si="58"/>
        <v>0</v>
      </c>
      <c r="Q176" s="151">
        <f t="shared" si="58"/>
        <v>-1.048</v>
      </c>
      <c r="R176" s="151">
        <f t="shared" si="58"/>
        <v>-1.048</v>
      </c>
      <c r="S176" s="151">
        <f t="shared" si="58"/>
        <v>0</v>
      </c>
      <c r="T176" s="119"/>
      <c r="U176" s="119"/>
    </row>
    <row r="177" spans="2:23" x14ac:dyDescent="0.25">
      <c r="F177" t="s">
        <v>798</v>
      </c>
      <c r="G177" s="118" t="s">
        <v>284</v>
      </c>
      <c r="H177" s="97"/>
      <c r="J177" s="151">
        <f t="shared" ref="J177:S177" si="59">$H139 * J78</f>
        <v>-1.048</v>
      </c>
      <c r="K177" s="151">
        <f t="shared" si="59"/>
        <v>-1.048</v>
      </c>
      <c r="L177" s="151">
        <f t="shared" si="59"/>
        <v>-1.048</v>
      </c>
      <c r="M177" s="151">
        <f t="shared" si="59"/>
        <v>-1.048</v>
      </c>
      <c r="N177" s="151">
        <f t="shared" si="59"/>
        <v>-1.048</v>
      </c>
      <c r="O177" s="151">
        <f t="shared" si="59"/>
        <v>-1.048</v>
      </c>
      <c r="P177" s="151">
        <f t="shared" si="59"/>
        <v>0</v>
      </c>
      <c r="Q177" s="151">
        <f t="shared" si="59"/>
        <v>-1.048</v>
      </c>
      <c r="R177" s="151">
        <f t="shared" si="59"/>
        <v>-1.048</v>
      </c>
      <c r="S177" s="151">
        <f t="shared" si="59"/>
        <v>0</v>
      </c>
      <c r="T177" s="119"/>
      <c r="U177" s="119"/>
    </row>
    <row r="178" spans="2:23" x14ac:dyDescent="0.25">
      <c r="F178" t="s">
        <v>792</v>
      </c>
      <c r="G178" s="118" t="s">
        <v>284</v>
      </c>
      <c r="H178" s="97"/>
      <c r="J178" s="151">
        <f t="shared" ref="J178:S178" si="60">$H140 * J79</f>
        <v>-1.034</v>
      </c>
      <c r="K178" s="151">
        <f t="shared" si="60"/>
        <v>-1.034</v>
      </c>
      <c r="L178" s="151">
        <f t="shared" si="60"/>
        <v>-1.034</v>
      </c>
      <c r="M178" s="151">
        <f t="shared" si="60"/>
        <v>-1.034</v>
      </c>
      <c r="N178" s="151">
        <f t="shared" si="60"/>
        <v>-1.034</v>
      </c>
      <c r="O178" s="151">
        <f t="shared" si="60"/>
        <v>-1.034</v>
      </c>
      <c r="P178" s="151">
        <f t="shared" si="60"/>
        <v>0</v>
      </c>
      <c r="Q178" s="151">
        <f t="shared" si="60"/>
        <v>-1.034</v>
      </c>
      <c r="R178" s="151">
        <f t="shared" si="60"/>
        <v>0</v>
      </c>
      <c r="S178" s="151">
        <f t="shared" si="60"/>
        <v>0</v>
      </c>
      <c r="T178" s="119"/>
      <c r="U178" s="119"/>
    </row>
    <row r="179" spans="2:23" x14ac:dyDescent="0.25">
      <c r="F179" s="96" t="s">
        <v>797</v>
      </c>
      <c r="G179" s="120" t="s">
        <v>284</v>
      </c>
      <c r="H179" s="177"/>
      <c r="I179" s="96"/>
      <c r="J179" s="150">
        <f t="shared" ref="J179:S179" si="61">$H141 * J80</f>
        <v>-1.034</v>
      </c>
      <c r="K179" s="150">
        <f t="shared" si="61"/>
        <v>-1.034</v>
      </c>
      <c r="L179" s="150">
        <f t="shared" si="61"/>
        <v>-1.034</v>
      </c>
      <c r="M179" s="150">
        <f t="shared" si="61"/>
        <v>-1.034</v>
      </c>
      <c r="N179" s="150">
        <f t="shared" si="61"/>
        <v>-1.034</v>
      </c>
      <c r="O179" s="150">
        <f t="shared" si="61"/>
        <v>-1.034</v>
      </c>
      <c r="P179" s="150">
        <f t="shared" si="61"/>
        <v>0</v>
      </c>
      <c r="Q179" s="150">
        <f t="shared" si="61"/>
        <v>-1.034</v>
      </c>
      <c r="R179" s="150">
        <f t="shared" si="61"/>
        <v>0</v>
      </c>
      <c r="S179" s="150">
        <f t="shared" si="61"/>
        <v>0</v>
      </c>
      <c r="T179" s="121"/>
      <c r="U179" s="121"/>
    </row>
    <row r="180" spans="2:23" x14ac:dyDescent="0.25">
      <c r="G180" s="61"/>
    </row>
    <row r="181" spans="2:23" x14ac:dyDescent="0.25">
      <c r="B181" s="85" t="s">
        <v>232</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233</v>
      </c>
      <c r="G183" s="6" t="s">
        <v>57</v>
      </c>
      <c r="H183" s="113">
        <f t="array" ref="H183">SUM(IF(ISERROR(H19:W181), 1))</f>
        <v>0</v>
      </c>
    </row>
    <row r="185" spans="2:23" x14ac:dyDescent="0.25">
      <c r="B185" s="85" t="s">
        <v>108</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45" activePane="bottomRight" state="frozen"/>
      <selection pane="topRight"/>
      <selection pane="bottomLeft"/>
      <selection pane="bottomRight" activeCell="L46" sqref="L4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W5" s="91" t="s">
        <v>146</v>
      </c>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369</v>
      </c>
    </row>
    <row r="10" spans="1:23" x14ac:dyDescent="0.25">
      <c r="C10" s="86" t="s">
        <v>1113</v>
      </c>
    </row>
    <row r="12" spans="1:23" x14ac:dyDescent="0.25">
      <c r="B12" s="85" t="s">
        <v>68</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370</v>
      </c>
    </row>
    <row r="16" spans="1:23" x14ac:dyDescent="0.25">
      <c r="C16" s="93" t="str">
        <f ca="1">INDEX('Version control'!$H$42:$H$65,MATCH($A$1,'Version control'!$F$42:$F$65,0),1)&amp;"-A: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181</v>
      </c>
      <c r="H18" s="3"/>
      <c r="I18" s="3" t="s">
        <v>155</v>
      </c>
      <c r="J18" s="3"/>
      <c r="K18" s="3"/>
      <c r="L18" s="3"/>
      <c r="M18" s="3"/>
      <c r="N18" s="3"/>
      <c r="O18" s="3"/>
      <c r="P18" s="3"/>
      <c r="Q18" s="3"/>
      <c r="R18" s="3"/>
      <c r="S18" s="3"/>
      <c r="T18" s="3"/>
      <c r="U18" s="3"/>
      <c r="W18" s="3" t="s">
        <v>182</v>
      </c>
    </row>
    <row r="19" spans="5:23" x14ac:dyDescent="0.25">
      <c r="E19" s="86" t="s">
        <v>183</v>
      </c>
      <c r="H19" s="3"/>
      <c r="I19" s="3"/>
      <c r="J19" s="3"/>
      <c r="K19" s="3"/>
      <c r="L19" s="3"/>
      <c r="M19" s="3"/>
      <c r="N19" s="3"/>
      <c r="O19" s="3"/>
      <c r="P19" s="3"/>
      <c r="Q19" s="3"/>
      <c r="R19" s="3"/>
      <c r="S19" s="3"/>
      <c r="T19" s="3"/>
      <c r="U19" s="3"/>
      <c r="W19" s="3"/>
    </row>
    <row r="20" spans="5:23" x14ac:dyDescent="0.25">
      <c r="F20" s="180"/>
      <c r="G20" s="180"/>
      <c r="H20" s="181"/>
      <c r="I20" s="181"/>
      <c r="J20" s="182" t="s">
        <v>184</v>
      </c>
      <c r="K20" s="182" t="s">
        <v>185</v>
      </c>
      <c r="L20" s="182" t="s">
        <v>186</v>
      </c>
      <c r="M20" s="182" t="s">
        <v>187</v>
      </c>
      <c r="O20" s="3"/>
      <c r="P20" s="3"/>
      <c r="Q20" s="3"/>
      <c r="R20" s="3"/>
      <c r="S20" s="3"/>
      <c r="T20" s="3"/>
      <c r="U20" s="3"/>
    </row>
    <row r="21" spans="5:23" x14ac:dyDescent="0.25">
      <c r="F21" s="94" t="s">
        <v>1114</v>
      </c>
      <c r="G21" s="61" t="s">
        <v>177</v>
      </c>
      <c r="H21" s="3"/>
      <c r="I21" s="3"/>
      <c r="J21" s="183">
        <f t="array" ref="J21:M36">TRANSPOSE('Fixed inputs'!J54:Y57)</f>
        <v>0</v>
      </c>
      <c r="K21" s="183">
        <v>0</v>
      </c>
      <c r="L21" s="183">
        <v>0</v>
      </c>
      <c r="M21" s="183">
        <v>1</v>
      </c>
      <c r="S21" s="3"/>
      <c r="T21" s="3"/>
      <c r="U21" s="3"/>
      <c r="W21" s="3"/>
    </row>
    <row r="22" spans="5:23" x14ac:dyDescent="0.25">
      <c r="F22" s="94" t="s">
        <v>786</v>
      </c>
      <c r="G22" s="61" t="s">
        <v>177</v>
      </c>
      <c r="H22" s="3"/>
      <c r="I22" s="3"/>
      <c r="J22" s="183">
        <v>0</v>
      </c>
      <c r="K22" s="183">
        <v>0</v>
      </c>
      <c r="L22" s="183">
        <v>0</v>
      </c>
      <c r="M22" s="183">
        <v>1</v>
      </c>
      <c r="S22" s="3"/>
      <c r="T22" s="3"/>
      <c r="U22" s="3"/>
      <c r="W22" s="3"/>
    </row>
    <row r="23" spans="5:23" x14ac:dyDescent="0.25">
      <c r="F23" s="94" t="s">
        <v>1115</v>
      </c>
      <c r="G23" s="61" t="s">
        <v>177</v>
      </c>
      <c r="H23" s="3"/>
      <c r="I23" s="3"/>
      <c r="J23" s="183">
        <v>0</v>
      </c>
      <c r="K23" s="183">
        <v>0</v>
      </c>
      <c r="L23" s="183">
        <v>0</v>
      </c>
      <c r="M23" s="183">
        <v>1</v>
      </c>
      <c r="S23" s="3"/>
      <c r="T23" s="3"/>
      <c r="U23" s="3"/>
      <c r="W23" s="3"/>
    </row>
    <row r="24" spans="5:23" x14ac:dyDescent="0.25">
      <c r="F24" s="94" t="s">
        <v>787</v>
      </c>
      <c r="G24" s="61" t="s">
        <v>177</v>
      </c>
      <c r="H24" s="3"/>
      <c r="I24" s="3"/>
      <c r="J24" s="183">
        <v>0</v>
      </c>
      <c r="K24" s="183">
        <v>0</v>
      </c>
      <c r="L24" s="183">
        <v>0</v>
      </c>
      <c r="M24" s="183">
        <v>1</v>
      </c>
      <c r="S24" s="3"/>
      <c r="T24" s="3"/>
      <c r="U24" s="3"/>
      <c r="W24" s="3"/>
    </row>
    <row r="25" spans="5:23" x14ac:dyDescent="0.25">
      <c r="F25" s="94" t="s">
        <v>793</v>
      </c>
      <c r="G25" s="61" t="s">
        <v>177</v>
      </c>
      <c r="H25" s="3"/>
      <c r="I25" s="3"/>
      <c r="J25" s="183">
        <v>0</v>
      </c>
      <c r="K25" s="183">
        <v>0</v>
      </c>
      <c r="L25" s="183">
        <v>0</v>
      </c>
      <c r="M25" s="183">
        <v>1</v>
      </c>
      <c r="S25" s="3"/>
      <c r="T25" s="3"/>
      <c r="U25" s="3"/>
      <c r="W25" s="3"/>
    </row>
    <row r="26" spans="5:23" x14ac:dyDescent="0.25">
      <c r="F26" s="94" t="s">
        <v>794</v>
      </c>
      <c r="G26" s="61" t="s">
        <v>177</v>
      </c>
      <c r="H26" s="3"/>
      <c r="I26" s="3"/>
      <c r="J26" s="183">
        <v>0</v>
      </c>
      <c r="K26" s="183">
        <v>0</v>
      </c>
      <c r="L26" s="183">
        <v>1</v>
      </c>
      <c r="M26" s="183">
        <v>0</v>
      </c>
      <c r="S26" s="3"/>
      <c r="T26" s="3"/>
      <c r="U26" s="3"/>
      <c r="W26" s="3"/>
    </row>
    <row r="27" spans="5:23" x14ac:dyDescent="0.25">
      <c r="F27" s="94" t="s">
        <v>795</v>
      </c>
      <c r="G27" s="61" t="s">
        <v>177</v>
      </c>
      <c r="H27" s="3"/>
      <c r="I27" s="3"/>
      <c r="J27" s="183">
        <v>0</v>
      </c>
      <c r="K27" s="183">
        <v>1</v>
      </c>
      <c r="L27" s="183">
        <v>0</v>
      </c>
      <c r="M27" s="183">
        <v>0</v>
      </c>
      <c r="S27" s="3"/>
      <c r="T27" s="3"/>
      <c r="U27" s="3"/>
      <c r="W27" s="3"/>
    </row>
    <row r="28" spans="5:23" x14ac:dyDescent="0.25">
      <c r="F28" s="94" t="s">
        <v>796</v>
      </c>
      <c r="G28" s="61" t="s">
        <v>177</v>
      </c>
      <c r="H28" s="3"/>
      <c r="I28" s="3"/>
      <c r="J28" s="183">
        <v>0</v>
      </c>
      <c r="K28" s="183">
        <v>0</v>
      </c>
      <c r="L28" s="183">
        <v>0</v>
      </c>
      <c r="M28" s="183">
        <v>1</v>
      </c>
      <c r="S28" s="3"/>
      <c r="T28" s="3"/>
      <c r="U28" s="3"/>
      <c r="W28" s="3"/>
    </row>
    <row r="29" spans="5:23" x14ac:dyDescent="0.25">
      <c r="F29" s="94" t="s">
        <v>788</v>
      </c>
      <c r="G29" s="61" t="s">
        <v>177</v>
      </c>
      <c r="H29" s="3"/>
      <c r="I29" s="3"/>
      <c r="J29" s="183">
        <v>0</v>
      </c>
      <c r="K29" s="183">
        <v>0</v>
      </c>
      <c r="L29" s="183">
        <v>0</v>
      </c>
      <c r="M29" s="183">
        <v>1</v>
      </c>
      <c r="S29" s="3"/>
      <c r="T29" s="3"/>
      <c r="U29" s="3"/>
      <c r="W29" s="3"/>
    </row>
    <row r="30" spans="5:23" x14ac:dyDescent="0.25">
      <c r="F30" s="94" t="s">
        <v>789</v>
      </c>
      <c r="G30" s="61" t="s">
        <v>177</v>
      </c>
      <c r="H30" s="3"/>
      <c r="I30" s="3"/>
      <c r="J30" s="183">
        <v>0</v>
      </c>
      <c r="K30" s="183">
        <v>0</v>
      </c>
      <c r="L30" s="183">
        <v>1</v>
      </c>
      <c r="M30" s="183">
        <v>0</v>
      </c>
      <c r="S30" s="3"/>
      <c r="T30" s="3"/>
      <c r="U30" s="3"/>
      <c r="W30" s="3"/>
    </row>
    <row r="31" spans="5:23" x14ac:dyDescent="0.25">
      <c r="F31" s="94" t="s">
        <v>790</v>
      </c>
      <c r="G31" s="61" t="s">
        <v>177</v>
      </c>
      <c r="H31" s="3"/>
      <c r="I31" s="3"/>
      <c r="J31" s="183">
        <v>0</v>
      </c>
      <c r="K31" s="183">
        <v>0</v>
      </c>
      <c r="L31" s="183">
        <v>0</v>
      </c>
      <c r="M31" s="183">
        <v>1</v>
      </c>
      <c r="S31" s="3"/>
      <c r="T31" s="3"/>
      <c r="U31" s="3"/>
      <c r="W31" s="3"/>
    </row>
    <row r="32" spans="5:23" x14ac:dyDescent="0.25">
      <c r="F32" s="94" t="s">
        <v>799</v>
      </c>
      <c r="G32" s="61" t="s">
        <v>177</v>
      </c>
      <c r="H32" s="3"/>
      <c r="I32" s="3"/>
      <c r="J32" s="183">
        <v>0</v>
      </c>
      <c r="K32" s="183">
        <v>0</v>
      </c>
      <c r="L32" s="183">
        <v>0</v>
      </c>
      <c r="M32" s="183">
        <v>1</v>
      </c>
      <c r="S32" s="3"/>
      <c r="T32" s="3"/>
      <c r="U32" s="3"/>
      <c r="W32" s="3"/>
    </row>
    <row r="33" spans="3:23" x14ac:dyDescent="0.25">
      <c r="F33" s="94" t="s">
        <v>791</v>
      </c>
      <c r="G33" s="61" t="s">
        <v>177</v>
      </c>
      <c r="H33" s="3"/>
      <c r="I33" s="3"/>
      <c r="J33" s="183">
        <v>0</v>
      </c>
      <c r="K33" s="183">
        <v>0</v>
      </c>
      <c r="L33" s="183">
        <v>1</v>
      </c>
      <c r="M33" s="183">
        <v>0</v>
      </c>
      <c r="S33" s="3"/>
      <c r="T33" s="3"/>
      <c r="U33" s="3"/>
      <c r="W33" s="3"/>
    </row>
    <row r="34" spans="3:23" x14ac:dyDescent="0.25">
      <c r="F34" s="94" t="s">
        <v>798</v>
      </c>
      <c r="G34" s="61" t="s">
        <v>177</v>
      </c>
      <c r="H34" s="3"/>
      <c r="I34" s="3"/>
      <c r="J34" s="183">
        <v>0</v>
      </c>
      <c r="K34" s="183">
        <v>0</v>
      </c>
      <c r="L34" s="183">
        <v>1</v>
      </c>
      <c r="M34" s="183">
        <v>0</v>
      </c>
      <c r="S34" s="3"/>
      <c r="T34" s="3"/>
      <c r="U34" s="3"/>
      <c r="W34" s="3"/>
    </row>
    <row r="35" spans="3:23" x14ac:dyDescent="0.25">
      <c r="F35" s="94" t="s">
        <v>792</v>
      </c>
      <c r="G35" s="61" t="s">
        <v>177</v>
      </c>
      <c r="H35" s="3"/>
      <c r="I35" s="3"/>
      <c r="J35" s="183">
        <v>0</v>
      </c>
      <c r="K35" s="183">
        <v>1</v>
      </c>
      <c r="L35" s="183">
        <v>0</v>
      </c>
      <c r="M35" s="183">
        <v>0</v>
      </c>
      <c r="S35" s="3"/>
      <c r="T35" s="3"/>
      <c r="U35" s="3"/>
      <c r="W35" s="3"/>
    </row>
    <row r="36" spans="3:23" x14ac:dyDescent="0.25">
      <c r="F36" s="101" t="s">
        <v>797</v>
      </c>
      <c r="G36" s="144" t="s">
        <v>177</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control'!$H$42:$H$65,MATCH($A$1,'Version control'!$F$42:$F$65,0),1)&amp;"-B: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371</v>
      </c>
      <c r="H40" s="3"/>
      <c r="I40" s="3" t="s">
        <v>155</v>
      </c>
      <c r="J40" s="3"/>
      <c r="K40" s="3"/>
      <c r="L40" s="3"/>
      <c r="M40" s="3"/>
      <c r="N40" s="3"/>
      <c r="O40" s="3"/>
      <c r="P40" s="3"/>
      <c r="Q40" s="3"/>
      <c r="R40" s="3"/>
      <c r="S40" s="3"/>
      <c r="T40" s="3"/>
      <c r="U40" s="3"/>
      <c r="W40" s="3" t="s">
        <v>372</v>
      </c>
    </row>
    <row r="41" spans="3:23" x14ac:dyDescent="0.25">
      <c r="E41" s="86" t="s">
        <v>373</v>
      </c>
      <c r="H41" s="3"/>
      <c r="I41" s="3"/>
      <c r="J41" s="3"/>
      <c r="K41" s="3"/>
      <c r="L41" s="3"/>
      <c r="M41" s="3"/>
      <c r="N41" s="3"/>
      <c r="O41" s="3"/>
      <c r="P41" s="3"/>
      <c r="Q41" s="3"/>
      <c r="R41" s="3"/>
      <c r="S41" s="3"/>
      <c r="T41" s="3"/>
      <c r="U41" s="3"/>
      <c r="W41" s="3"/>
    </row>
    <row r="42" spans="3:23" x14ac:dyDescent="0.25">
      <c r="E42" s="75"/>
      <c r="F42" s="185"/>
      <c r="G42" s="185"/>
      <c r="H42" s="185"/>
      <c r="I42" s="185"/>
      <c r="J42" s="185" t="s">
        <v>190</v>
      </c>
      <c r="K42" s="186" t="s">
        <v>192</v>
      </c>
      <c r="L42" s="186" t="s">
        <v>193</v>
      </c>
      <c r="M42" s="186" t="s">
        <v>194</v>
      </c>
      <c r="N42" s="186" t="s">
        <v>195</v>
      </c>
      <c r="O42" s="186" t="s">
        <v>196</v>
      </c>
      <c r="P42" s="186" t="s">
        <v>197</v>
      </c>
      <c r="Q42" s="186" t="s">
        <v>198</v>
      </c>
      <c r="R42" s="186" t="s">
        <v>199</v>
      </c>
      <c r="S42" s="186" t="s">
        <v>200</v>
      </c>
      <c r="T42" s="186" t="s">
        <v>335</v>
      </c>
      <c r="U42" s="186" t="s">
        <v>336</v>
      </c>
    </row>
    <row r="43" spans="3:23" x14ac:dyDescent="0.25">
      <c r="F43" s="94" t="s">
        <v>187</v>
      </c>
      <c r="G43" s="118" t="s">
        <v>168</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186</v>
      </c>
      <c r="G44" s="118" t="s">
        <v>168</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185</v>
      </c>
      <c r="G45" s="118" t="s">
        <v>168</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184</v>
      </c>
      <c r="G46" s="120" t="s">
        <v>168</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374</v>
      </c>
      <c r="H48" s="61"/>
      <c r="I48" s="3"/>
      <c r="J48" s="3"/>
      <c r="K48" s="3"/>
      <c r="L48" s="3"/>
      <c r="M48" s="3"/>
      <c r="N48" s="3"/>
      <c r="O48" s="3"/>
      <c r="P48" s="3"/>
      <c r="Q48" s="3"/>
      <c r="R48" s="3"/>
      <c r="S48" s="3"/>
      <c r="T48" s="3"/>
      <c r="U48" s="3"/>
      <c r="W48" s="3"/>
    </row>
    <row r="49" spans="5:23" x14ac:dyDescent="0.25">
      <c r="E49" s="86" t="s">
        <v>375</v>
      </c>
      <c r="H49" s="61"/>
      <c r="I49" s="3"/>
      <c r="J49" s="3"/>
      <c r="K49" s="3"/>
      <c r="L49" s="3"/>
      <c r="M49" s="3"/>
      <c r="N49" s="3"/>
      <c r="O49" s="3"/>
      <c r="P49" s="3"/>
      <c r="Q49" s="3"/>
      <c r="R49" s="3"/>
      <c r="S49" s="3"/>
      <c r="T49" s="3"/>
      <c r="U49" s="3"/>
      <c r="W49" s="3"/>
    </row>
    <row r="50" spans="5:23" x14ac:dyDescent="0.25">
      <c r="F50" s="185"/>
      <c r="G50" s="185"/>
      <c r="H50" s="188"/>
      <c r="I50" s="185"/>
      <c r="J50" s="185" t="s">
        <v>190</v>
      </c>
      <c r="K50" s="186" t="s">
        <v>192</v>
      </c>
      <c r="L50" s="186" t="s">
        <v>193</v>
      </c>
      <c r="M50" s="186" t="s">
        <v>194</v>
      </c>
      <c r="N50" s="186" t="s">
        <v>195</v>
      </c>
      <c r="O50" s="186" t="s">
        <v>196</v>
      </c>
      <c r="P50" s="186" t="s">
        <v>197</v>
      </c>
      <c r="Q50" s="186" t="s">
        <v>198</v>
      </c>
      <c r="R50" s="186" t="s">
        <v>199</v>
      </c>
      <c r="S50" s="186" t="s">
        <v>200</v>
      </c>
      <c r="T50" s="186" t="s">
        <v>335</v>
      </c>
      <c r="U50" s="186" t="s">
        <v>336</v>
      </c>
      <c r="W50" s="3"/>
    </row>
    <row r="51" spans="5:23" x14ac:dyDescent="0.25">
      <c r="F51" s="94" t="s">
        <v>1114</v>
      </c>
      <c r="G51" s="94"/>
      <c r="H51" s="118" t="s">
        <v>168</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786</v>
      </c>
      <c r="G52" s="94"/>
      <c r="H52" s="118" t="s">
        <v>168</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168</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787</v>
      </c>
      <c r="G54" s="94"/>
      <c r="H54" s="118" t="s">
        <v>168</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793</v>
      </c>
      <c r="G55" s="94"/>
      <c r="H55" s="118" t="s">
        <v>168</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794</v>
      </c>
      <c r="G56" s="94"/>
      <c r="H56" s="118" t="s">
        <v>168</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795</v>
      </c>
      <c r="G57" s="94"/>
      <c r="H57" s="118" t="s">
        <v>168</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796</v>
      </c>
      <c r="G58" s="94"/>
      <c r="H58" s="118" t="s">
        <v>168</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788</v>
      </c>
      <c r="G59" s="94"/>
      <c r="H59" s="118" t="s">
        <v>168</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789</v>
      </c>
      <c r="G60" s="94"/>
      <c r="H60" s="118" t="s">
        <v>168</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790</v>
      </c>
      <c r="G61" s="94"/>
      <c r="H61" s="118" t="s">
        <v>168</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799</v>
      </c>
      <c r="G62" s="94"/>
      <c r="H62" s="118" t="s">
        <v>168</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791</v>
      </c>
      <c r="G63" s="94"/>
      <c r="H63" s="118" t="s">
        <v>168</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798</v>
      </c>
      <c r="G64" s="94"/>
      <c r="H64" s="118" t="s">
        <v>168</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792</v>
      </c>
      <c r="G65" s="94"/>
      <c r="H65" s="118" t="s">
        <v>168</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797</v>
      </c>
      <c r="G66" s="101"/>
      <c r="H66" s="120" t="s">
        <v>168</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232</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233</v>
      </c>
      <c r="G70" s="6" t="s">
        <v>57</v>
      </c>
      <c r="H70" s="113">
        <f t="array" ref="H70">SUM(IF(ISERROR(H21:U66), 1))</f>
        <v>0</v>
      </c>
    </row>
    <row r="72" spans="2:23" x14ac:dyDescent="0.25">
      <c r="B72" s="85" t="s">
        <v>108</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376</v>
      </c>
    </row>
    <row r="10" spans="1:43" x14ac:dyDescent="0.25">
      <c r="C10" s="86" t="s">
        <v>377</v>
      </c>
    </row>
    <row r="11" spans="1:43" x14ac:dyDescent="0.25">
      <c r="C11" s="86" t="s">
        <v>378</v>
      </c>
    </row>
    <row r="13" spans="1:43" x14ac:dyDescent="0.25">
      <c r="B13" s="85" t="s">
        <v>379</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control'!$H$42:$H$65,MATCH($A$1,'Version control'!$F$42:$F$65,0),1)&amp;"-A: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380</v>
      </c>
    </row>
    <row r="18" spans="4:43" x14ac:dyDescent="0.25">
      <c r="D18" s="86" t="s">
        <v>381</v>
      </c>
    </row>
    <row r="19" spans="4:43" x14ac:dyDescent="0.25">
      <c r="D19" s="86"/>
    </row>
    <row r="20" spans="4:43" x14ac:dyDescent="0.25">
      <c r="E20" s="105" t="s">
        <v>382</v>
      </c>
      <c r="I20" t="s">
        <v>155</v>
      </c>
      <c r="J20" s="97"/>
      <c r="K20" s="97"/>
      <c r="L20" s="97"/>
      <c r="M20" s="97"/>
      <c r="N20" s="97"/>
      <c r="O20" s="97"/>
      <c r="P20" s="97"/>
      <c r="Q20" s="97"/>
      <c r="R20" s="97"/>
      <c r="S20" s="97"/>
      <c r="T20" s="97"/>
      <c r="U20" s="97"/>
      <c r="V20" s="97"/>
      <c r="W20" s="97"/>
      <c r="X20" s="97"/>
      <c r="Y20" s="97"/>
    </row>
    <row r="21" spans="4:43" x14ac:dyDescent="0.25">
      <c r="E21" s="86" t="s">
        <v>383</v>
      </c>
      <c r="AA21" t="s">
        <v>384</v>
      </c>
    </row>
    <row r="22" spans="4:43" x14ac:dyDescent="0.25">
      <c r="F22" s="95" t="s">
        <v>176</v>
      </c>
      <c r="G22" s="95" t="s">
        <v>168</v>
      </c>
      <c r="H22" s="154">
        <f>'General inputs'!H30</f>
        <v>0.40616372981393162</v>
      </c>
      <c r="AQ22" s="3"/>
    </row>
    <row r="23" spans="4:43" x14ac:dyDescent="0.25">
      <c r="F23" t="s">
        <v>178</v>
      </c>
      <c r="G23" t="s">
        <v>168</v>
      </c>
      <c r="H23" s="155">
        <f>'General inputs'!H31</f>
        <v>0.60195264388674885</v>
      </c>
      <c r="AQ23" s="3"/>
    </row>
    <row r="24" spans="4:43" x14ac:dyDescent="0.25">
      <c r="F24" t="s">
        <v>179</v>
      </c>
      <c r="G24" t="s">
        <v>168</v>
      </c>
      <c r="H24" s="155">
        <f>'General inputs'!H32</f>
        <v>0.31001856356310609</v>
      </c>
      <c r="AQ24" s="3"/>
    </row>
    <row r="25" spans="4:43" x14ac:dyDescent="0.25">
      <c r="F25" s="96" t="s">
        <v>180</v>
      </c>
      <c r="G25" s="96" t="s">
        <v>168</v>
      </c>
      <c r="H25" s="187">
        <f>'General inputs'!H33</f>
        <v>0.18036070704437224</v>
      </c>
      <c r="AQ25" s="3"/>
    </row>
    <row r="27" spans="4:43" x14ac:dyDescent="0.25">
      <c r="E27" s="75" t="s">
        <v>385</v>
      </c>
      <c r="I27" t="s">
        <v>155</v>
      </c>
      <c r="AA27" t="s">
        <v>386</v>
      </c>
      <c r="AQ27" s="3"/>
    </row>
    <row r="28" spans="4:43" x14ac:dyDescent="0.25">
      <c r="E28" s="86" t="s">
        <v>387</v>
      </c>
    </row>
    <row r="29" spans="4:43" x14ac:dyDescent="0.25">
      <c r="E29" s="86" t="s">
        <v>388</v>
      </c>
    </row>
    <row r="30" spans="4:43" x14ac:dyDescent="0.25">
      <c r="F30" s="95" t="s">
        <v>176</v>
      </c>
      <c r="G30" s="95" t="s">
        <v>177</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178</v>
      </c>
      <c r="G31" t="s">
        <v>177</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179</v>
      </c>
      <c r="G32" t="s">
        <v>177</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180</v>
      </c>
      <c r="G33" s="96" t="s">
        <v>177</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389</v>
      </c>
      <c r="G34" s="94" t="s">
        <v>168</v>
      </c>
      <c r="J34" s="191">
        <f t="shared" ref="J34:Y34" si="0">J30 * $H$22</f>
        <v>0.40616372981393162</v>
      </c>
      <c r="K34" s="191">
        <f t="shared" si="0"/>
        <v>0.40616372981393162</v>
      </c>
      <c r="L34" s="191">
        <f t="shared" si="0"/>
        <v>0.40616372981393162</v>
      </c>
      <c r="M34" s="191">
        <f t="shared" si="0"/>
        <v>0.40616372981393162</v>
      </c>
      <c r="N34" s="191">
        <f t="shared" si="0"/>
        <v>0.40616372981393162</v>
      </c>
      <c r="O34" s="191">
        <f t="shared" si="0"/>
        <v>0</v>
      </c>
      <c r="P34" s="191">
        <f t="shared" si="0"/>
        <v>0</v>
      </c>
      <c r="Q34" s="191">
        <f t="shared" si="0"/>
        <v>0.40616372981393162</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390</v>
      </c>
      <c r="G35" s="94" t="s">
        <v>168</v>
      </c>
      <c r="J35" s="191">
        <f t="shared" ref="J35:Y35" si="1">SUMPRODUCT(J31:J33,$H$23:$H$25)</f>
        <v>0.60195264388674885</v>
      </c>
      <c r="K35" s="191">
        <f t="shared" si="1"/>
        <v>0.60195264388674885</v>
      </c>
      <c r="L35" s="191">
        <f t="shared" si="1"/>
        <v>0.60195264388674885</v>
      </c>
      <c r="M35" s="191">
        <f t="shared" si="1"/>
        <v>0.60195264388674885</v>
      </c>
      <c r="N35" s="191">
        <f t="shared" si="1"/>
        <v>0.60195264388674885</v>
      </c>
      <c r="O35" s="191">
        <f t="shared" si="1"/>
        <v>0.31001856356310609</v>
      </c>
      <c r="P35" s="191">
        <f t="shared" si="1"/>
        <v>0.18036070704437224</v>
      </c>
      <c r="Q35" s="191">
        <f t="shared" si="1"/>
        <v>0.60195264388674885</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391</v>
      </c>
      <c r="I37" t="s">
        <v>155</v>
      </c>
      <c r="AA37" t="s">
        <v>386</v>
      </c>
      <c r="AQ37" s="3"/>
    </row>
    <row r="38" spans="4:43" x14ac:dyDescent="0.25">
      <c r="E38" s="86" t="s">
        <v>392</v>
      </c>
    </row>
    <row r="39" spans="4:43" x14ac:dyDescent="0.25">
      <c r="F39" s="94" t="s">
        <v>393</v>
      </c>
      <c r="G39" s="94" t="s">
        <v>210</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394</v>
      </c>
      <c r="G40" s="94" t="s">
        <v>210</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395</v>
      </c>
      <c r="G41" s="94" t="s">
        <v>210</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396</v>
      </c>
      <c r="G42" s="94" t="s">
        <v>210</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397</v>
      </c>
      <c r="G43" s="94" t="s">
        <v>210</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398</v>
      </c>
      <c r="G45" s="94" t="s">
        <v>168</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399</v>
      </c>
      <c r="G46" s="94" t="s">
        <v>168</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400</v>
      </c>
      <c r="G47" s="94" t="s">
        <v>168</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401</v>
      </c>
      <c r="G48" s="94" t="s">
        <v>168</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402</v>
      </c>
      <c r="G49" s="94" t="s">
        <v>168</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403</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control'!$H$42:$H$65,MATCH($A$1,'Version control'!$F$42:$F$65,0),1)&amp;"-B: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908</v>
      </c>
      <c r="AQ55" s="3"/>
    </row>
    <row r="56" spans="2:43" x14ac:dyDescent="0.25">
      <c r="C56" s="86"/>
      <c r="AQ56" s="3"/>
    </row>
    <row r="57" spans="2:43" x14ac:dyDescent="0.25">
      <c r="C57" s="86"/>
      <c r="E57" s="75" t="s">
        <v>859</v>
      </c>
      <c r="G57" s="61"/>
      <c r="I57" t="s">
        <v>155</v>
      </c>
      <c r="AQ57" s="3"/>
    </row>
    <row r="58" spans="2:43" x14ac:dyDescent="0.25">
      <c r="C58" s="86"/>
      <c r="E58" s="75"/>
      <c r="F58" s="116" t="s">
        <v>248</v>
      </c>
      <c r="G58" s="116" t="s">
        <v>208</v>
      </c>
      <c r="H58" s="95"/>
      <c r="I58" s="95"/>
      <c r="J58" s="117"/>
      <c r="K58" s="171">
        <f>'Inputs by customer type'!K23</f>
        <v>36.928307828276772</v>
      </c>
      <c r="L58" s="171">
        <f>'Inputs by customer type'!L23</f>
        <v>50.358703853308725</v>
      </c>
      <c r="M58" s="171">
        <f>'Inputs by customer type'!M23</f>
        <v>26.004708483632935</v>
      </c>
      <c r="N58" s="171">
        <f>'Inputs by customer type'!N23</f>
        <v>125.49138254410158</v>
      </c>
      <c r="O58" s="171">
        <f>'Inputs by customer type'!O23</f>
        <v>39.501171005630091</v>
      </c>
      <c r="P58" s="171">
        <f>'Inputs by customer type'!P23</f>
        <v>471.94648344763874</v>
      </c>
      <c r="Q58" s="117"/>
      <c r="R58" s="171">
        <f>'Inputs by customer type'!R23</f>
        <v>10587.587865436757</v>
      </c>
      <c r="S58" s="171">
        <f>'Inputs by customer type'!S23</f>
        <v>1296.193700379747</v>
      </c>
      <c r="T58" s="171">
        <f>'Inputs by customer type'!T23</f>
        <v>4431.5548953009256</v>
      </c>
      <c r="U58" s="171">
        <f>'Inputs by customer type'!U23</f>
        <v>0</v>
      </c>
      <c r="V58" s="171">
        <f>'Inputs by customer type'!V23</f>
        <v>0</v>
      </c>
      <c r="W58" s="171">
        <f>'Inputs by customer type'!W23</f>
        <v>0</v>
      </c>
      <c r="X58" s="171">
        <f>'Inputs by customer type'!X23</f>
        <v>57918.120807023566</v>
      </c>
      <c r="Y58" s="171">
        <f>'Inputs by customer type'!Y23</f>
        <v>0</v>
      </c>
      <c r="AQ58" s="3"/>
    </row>
    <row r="59" spans="2:43" x14ac:dyDescent="0.25">
      <c r="E59" s="75"/>
      <c r="F59" s="118" t="s">
        <v>249</v>
      </c>
      <c r="G59" s="118" t="s">
        <v>208</v>
      </c>
      <c r="J59" s="126"/>
      <c r="K59" s="193">
        <f>'Inputs by customer type'!K24</f>
        <v>2889.7541426122689</v>
      </c>
      <c r="L59" s="193">
        <f>'Inputs by customer type'!L24</f>
        <v>416.84454248674842</v>
      </c>
      <c r="M59" s="193">
        <f>'Inputs by customer type'!M24</f>
        <v>1591.5677042444584</v>
      </c>
      <c r="N59" s="193">
        <f>'Inputs by customer type'!N24</f>
        <v>819.29798175632334</v>
      </c>
      <c r="O59" s="193">
        <f>'Inputs by customer type'!O24</f>
        <v>434.30240671719349</v>
      </c>
      <c r="P59" s="193">
        <f>'Inputs by customer type'!P24</f>
        <v>7574.7482435674356</v>
      </c>
      <c r="Q59" s="126"/>
      <c r="R59" s="193">
        <f>'Inputs by customer type'!R24</f>
        <v>116333.97645091746</v>
      </c>
      <c r="S59" s="193">
        <f>'Inputs by customer type'!S24</f>
        <v>11378.491454160423</v>
      </c>
      <c r="T59" s="193">
        <f>'Inputs by customer type'!T24</f>
        <v>41911.942901306917</v>
      </c>
      <c r="U59" s="193">
        <f>'Inputs by customer type'!U24</f>
        <v>0</v>
      </c>
      <c r="V59" s="193">
        <f>'Inputs by customer type'!V24</f>
        <v>0</v>
      </c>
      <c r="W59" s="193">
        <f>'Inputs by customer type'!W24</f>
        <v>0</v>
      </c>
      <c r="X59" s="193">
        <f>'Inputs by customer type'!X24</f>
        <v>316726.54989568843</v>
      </c>
      <c r="Y59" s="193">
        <f>'Inputs by customer type'!Y24</f>
        <v>0</v>
      </c>
      <c r="AQ59" s="3"/>
    </row>
    <row r="60" spans="2:43" x14ac:dyDescent="0.25">
      <c r="E60" s="75"/>
      <c r="F60" s="118" t="s">
        <v>250</v>
      </c>
      <c r="G60" s="118" t="s">
        <v>208</v>
      </c>
      <c r="J60" s="126"/>
      <c r="K60" s="193">
        <f>'Inputs by customer type'!K25</f>
        <v>22694.611658437898</v>
      </c>
      <c r="L60" s="193">
        <f>'Inputs by customer type'!L25</f>
        <v>418.6875958340014</v>
      </c>
      <c r="M60" s="193">
        <f>'Inputs by customer type'!M25</f>
        <v>11266.245993465296</v>
      </c>
      <c r="N60" s="193">
        <f>'Inputs by customer type'!N25</f>
        <v>993.46137074850367</v>
      </c>
      <c r="O60" s="193">
        <f>'Inputs by customer type'!O25</f>
        <v>289.40239347849558</v>
      </c>
      <c r="P60" s="193">
        <f>'Inputs by customer type'!P25</f>
        <v>10292.028157480876</v>
      </c>
      <c r="Q60" s="126"/>
      <c r="R60" s="193">
        <f>'Inputs by customer type'!R25</f>
        <v>48093.062634059701</v>
      </c>
      <c r="S60" s="193">
        <f>'Inputs by customer type'!S25</f>
        <v>11582.900696102439</v>
      </c>
      <c r="T60" s="193">
        <f>'Inputs by customer type'!T25</f>
        <v>30515.320471081926</v>
      </c>
      <c r="U60" s="193">
        <f>'Inputs by customer type'!U25</f>
        <v>0</v>
      </c>
      <c r="V60" s="193">
        <f>'Inputs by customer type'!V25</f>
        <v>0</v>
      </c>
      <c r="W60" s="193">
        <f>'Inputs by customer type'!W25</f>
        <v>0</v>
      </c>
      <c r="X60" s="193">
        <f>'Inputs by customer type'!X25</f>
        <v>252665.02390971759</v>
      </c>
      <c r="Y60" s="193">
        <f>'Inputs by customer type'!Y25</f>
        <v>0</v>
      </c>
      <c r="AQ60" s="3"/>
    </row>
    <row r="61" spans="2:43" x14ac:dyDescent="0.25">
      <c r="E61" s="75"/>
      <c r="F61" s="118" t="s">
        <v>213</v>
      </c>
      <c r="G61" s="118" t="s">
        <v>213</v>
      </c>
      <c r="J61" s="126"/>
      <c r="K61" s="193">
        <f>'Inputs by customer type'!K26</f>
        <v>0</v>
      </c>
      <c r="L61" s="193">
        <f>'Inputs by customer type'!L26</f>
        <v>59.653485944506635</v>
      </c>
      <c r="M61" s="193">
        <f>'Inputs by customer type'!M26</f>
        <v>0</v>
      </c>
      <c r="N61" s="193">
        <f>'Inputs by customer type'!N26</f>
        <v>69.143304330549142</v>
      </c>
      <c r="O61" s="193">
        <f>'Inputs by customer type'!O26</f>
        <v>11.234604758434388</v>
      </c>
      <c r="P61" s="193">
        <f>'Inputs by customer type'!P26</f>
        <v>166.27312445158776</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320.50176836858998</v>
      </c>
      <c r="Y61" s="193">
        <f>'Inputs by customer type'!Y26</f>
        <v>0</v>
      </c>
      <c r="AQ61" s="3"/>
    </row>
    <row r="62" spans="2:43" x14ac:dyDescent="0.25">
      <c r="E62" s="75"/>
      <c r="F62" s="118" t="s">
        <v>251</v>
      </c>
      <c r="G62" s="118" t="s">
        <v>252</v>
      </c>
      <c r="J62" s="126"/>
      <c r="K62" s="193">
        <f>'Inputs by customer type'!K27</f>
        <v>0</v>
      </c>
      <c r="L62" s="193">
        <f>'Inputs by customer type'!L27</f>
        <v>0</v>
      </c>
      <c r="M62" s="193">
        <f>'Inputs by customer type'!M27</f>
        <v>0</v>
      </c>
      <c r="N62" s="193">
        <f>'Inputs by customer type'!N27</f>
        <v>2268.2248972609177</v>
      </c>
      <c r="O62" s="193">
        <f>'Inputs by customer type'!O27</f>
        <v>823.52012126469754</v>
      </c>
      <c r="P62" s="193">
        <f>'Inputs by customer type'!P27</f>
        <v>29704.539007986918</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253</v>
      </c>
      <c r="G63" s="118" t="s">
        <v>252</v>
      </c>
      <c r="J63" s="126"/>
      <c r="K63" s="193">
        <f>'Inputs by customer type'!K28</f>
        <v>0</v>
      </c>
      <c r="L63" s="193">
        <f>'Inputs by customer type'!L28</f>
        <v>0</v>
      </c>
      <c r="M63" s="193">
        <f>'Inputs by customer type'!M28</f>
        <v>0</v>
      </c>
      <c r="N63" s="193">
        <f>'Inputs by customer type'!N28</f>
        <v>193.55191256830602</v>
      </c>
      <c r="O63" s="193">
        <f>'Inputs by customer type'!O28</f>
        <v>66.306010928961754</v>
      </c>
      <c r="P63" s="193">
        <f>'Inputs by customer type'!P28</f>
        <v>7327.4153005464477</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254</v>
      </c>
      <c r="G64" s="120" t="s">
        <v>255</v>
      </c>
      <c r="H64" s="96"/>
      <c r="I64" s="96"/>
      <c r="J64" s="121"/>
      <c r="K64" s="172">
        <f>'Inputs by customer type'!K29</f>
        <v>0</v>
      </c>
      <c r="L64" s="172">
        <f>'Inputs by customer type'!L29</f>
        <v>0</v>
      </c>
      <c r="M64" s="172">
        <f>'Inputs by customer type'!M29</f>
        <v>0</v>
      </c>
      <c r="N64" s="172">
        <f>'Inputs by customer type'!N29</f>
        <v>439.04600000000005</v>
      </c>
      <c r="O64" s="172">
        <f>'Inputs by customer type'!O29</f>
        <v>101.444</v>
      </c>
      <c r="P64" s="172">
        <f>'Inputs by customer type'!P29</f>
        <v>5273.9209999999994</v>
      </c>
      <c r="Q64" s="121"/>
      <c r="R64" s="172">
        <f>'Inputs by customer type'!R29</f>
        <v>0</v>
      </c>
      <c r="S64" s="172">
        <f>'Inputs by customer type'!S29</f>
        <v>0</v>
      </c>
      <c r="T64" s="172">
        <f>'Inputs by customer type'!T29</f>
        <v>5802.6510000000007</v>
      </c>
      <c r="U64" s="172">
        <f>'Inputs by customer type'!U29</f>
        <v>0</v>
      </c>
      <c r="V64" s="172">
        <f>'Inputs by customer type'!V29</f>
        <v>0</v>
      </c>
      <c r="W64" s="172">
        <f>'Inputs by customer type'!W29</f>
        <v>0</v>
      </c>
      <c r="X64" s="172">
        <f>'Inputs by customer type'!X29</f>
        <v>7364.4659999999994</v>
      </c>
      <c r="Y64" s="172">
        <f>'Inputs by customer type'!Y29</f>
        <v>0</v>
      </c>
      <c r="AQ64" s="3"/>
    </row>
    <row r="65" spans="3:43" x14ac:dyDescent="0.25">
      <c r="C65" s="86"/>
      <c r="AQ65" s="3"/>
    </row>
    <row r="66" spans="3:43" x14ac:dyDescent="0.25">
      <c r="C66" s="86"/>
      <c r="E66" s="75" t="s">
        <v>893</v>
      </c>
      <c r="G66" s="61"/>
      <c r="I66" t="s">
        <v>155</v>
      </c>
      <c r="AQ66" s="3"/>
    </row>
    <row r="67" spans="3:43" x14ac:dyDescent="0.25">
      <c r="C67" s="86"/>
      <c r="E67" s="75"/>
      <c r="F67" s="116" t="s">
        <v>248</v>
      </c>
      <c r="G67" s="116" t="s">
        <v>208</v>
      </c>
      <c r="H67" s="95"/>
      <c r="I67" s="95"/>
      <c r="J67" s="171">
        <f>'Inputs by customer type'!J32</f>
        <v>429498.00447633024</v>
      </c>
      <c r="K67" s="117"/>
      <c r="L67" s="171">
        <f>'Inputs by customer type'!L32</f>
        <v>8735.751197250971</v>
      </c>
      <c r="M67" s="117"/>
      <c r="N67" s="171">
        <f>'Inputs by customer type'!N32</f>
        <v>28724.549447405552</v>
      </c>
      <c r="O67" s="171">
        <f>'Inputs by customer type'!O32</f>
        <v>2911.3441055235471</v>
      </c>
      <c r="P67" s="171">
        <f>'Inputs by customer type'!P32</f>
        <v>16762.861996605359</v>
      </c>
      <c r="Q67" s="171">
        <f>'Inputs by customer type'!Q32</f>
        <v>2852.3860826192404</v>
      </c>
      <c r="R67" s="117"/>
      <c r="S67" s="117"/>
      <c r="T67" s="117"/>
      <c r="U67" s="117"/>
      <c r="V67" s="117"/>
      <c r="W67" s="117"/>
      <c r="X67" s="117"/>
      <c r="Y67" s="117"/>
      <c r="AQ67" s="3"/>
    </row>
    <row r="68" spans="3:43" x14ac:dyDescent="0.25">
      <c r="E68" s="75"/>
      <c r="F68" s="118" t="s">
        <v>249</v>
      </c>
      <c r="G68" s="118" t="s">
        <v>208</v>
      </c>
      <c r="J68" s="193">
        <f>'Inputs by customer type'!J33</f>
        <v>2277341.5081239403</v>
      </c>
      <c r="K68" s="126"/>
      <c r="L68" s="193">
        <f>'Inputs by customer type'!L33</f>
        <v>73574.972435373813</v>
      </c>
      <c r="M68" s="126"/>
      <c r="N68" s="193">
        <f>'Inputs by customer type'!N33</f>
        <v>204909.67182679847</v>
      </c>
      <c r="O68" s="193">
        <f>'Inputs by customer type'!O33</f>
        <v>20771.059895505616</v>
      </c>
      <c r="P68" s="193">
        <f>'Inputs by customer type'!P33</f>
        <v>114767.35735141508</v>
      </c>
      <c r="Q68" s="193">
        <f>'Inputs by customer type'!Q33</f>
        <v>30353.026811276453</v>
      </c>
      <c r="R68" s="126"/>
      <c r="S68" s="126"/>
      <c r="T68" s="126"/>
      <c r="U68" s="126"/>
      <c r="V68" s="126"/>
      <c r="W68" s="126"/>
      <c r="X68" s="126"/>
      <c r="Y68" s="126"/>
      <c r="AQ68" s="3"/>
    </row>
    <row r="69" spans="3:43" x14ac:dyDescent="0.25">
      <c r="E69" s="75"/>
      <c r="F69" s="118" t="s">
        <v>250</v>
      </c>
      <c r="G69" s="118" t="s">
        <v>208</v>
      </c>
      <c r="J69" s="193">
        <f>'Inputs by customer type'!J34</f>
        <v>2713027.6525349491</v>
      </c>
      <c r="K69" s="126"/>
      <c r="L69" s="193">
        <f>'Inputs by customer type'!L34</f>
        <v>59421.086870513507</v>
      </c>
      <c r="M69" s="126"/>
      <c r="N69" s="193">
        <f>'Inputs by customer type'!N34</f>
        <v>187053.87283772082</v>
      </c>
      <c r="O69" s="193">
        <f>'Inputs by customer type'!O34</f>
        <v>21026.992263570053</v>
      </c>
      <c r="P69" s="193">
        <f>'Inputs by customer type'!P34</f>
        <v>129314.08575096208</v>
      </c>
      <c r="Q69" s="193">
        <f>'Inputs by customer type'!Q34</f>
        <v>65533.820926985551</v>
      </c>
      <c r="R69" s="126"/>
      <c r="S69" s="126"/>
      <c r="T69" s="126"/>
      <c r="U69" s="126"/>
      <c r="V69" s="126"/>
      <c r="W69" s="126"/>
      <c r="X69" s="126"/>
      <c r="Y69" s="126"/>
      <c r="AQ69" s="3"/>
    </row>
    <row r="70" spans="3:43" x14ac:dyDescent="0.25">
      <c r="E70" s="75"/>
      <c r="F70" s="118" t="s">
        <v>213</v>
      </c>
      <c r="G70" s="118" t="s">
        <v>213</v>
      </c>
      <c r="J70" s="193">
        <f>'Inputs by customer type'!J35</f>
        <v>1521199.0698093434</v>
      </c>
      <c r="K70" s="126"/>
      <c r="L70" s="193">
        <f>'Inputs by customer type'!L35</f>
        <v>60221.519816087362</v>
      </c>
      <c r="M70" s="126"/>
      <c r="N70" s="193">
        <f>'Inputs by customer type'!N35</f>
        <v>4798.5149664263536</v>
      </c>
      <c r="O70" s="193">
        <f>'Inputs by customer type'!O35</f>
        <v>382.30885363765054</v>
      </c>
      <c r="P70" s="193">
        <f>'Inputs by customer type'!P35</f>
        <v>398.38278381854622</v>
      </c>
      <c r="Q70" s="193">
        <f>'Inputs by customer type'!Q35</f>
        <v>1657</v>
      </c>
      <c r="R70" s="126"/>
      <c r="S70" s="126"/>
      <c r="T70" s="126"/>
      <c r="U70" s="126"/>
      <c r="V70" s="126"/>
      <c r="W70" s="126"/>
      <c r="X70" s="126"/>
      <c r="Y70" s="126"/>
      <c r="AQ70" s="3"/>
    </row>
    <row r="71" spans="3:43" x14ac:dyDescent="0.25">
      <c r="E71" s="75"/>
      <c r="F71" s="118" t="s">
        <v>251</v>
      </c>
      <c r="G71" s="118" t="s">
        <v>252</v>
      </c>
      <c r="J71" s="193">
        <f>'Inputs by customer type'!J36</f>
        <v>0</v>
      </c>
      <c r="K71" s="126"/>
      <c r="L71" s="193">
        <f>'Inputs by customer type'!L36</f>
        <v>0</v>
      </c>
      <c r="M71" s="126"/>
      <c r="N71" s="193">
        <f>'Inputs by customer type'!N36</f>
        <v>213276.84362733067</v>
      </c>
      <c r="O71" s="193">
        <f>'Inputs by customer type'!O36</f>
        <v>20797.24763972445</v>
      </c>
      <c r="P71" s="193">
        <f>'Inputs by customer type'!P36</f>
        <v>110180.2301965691</v>
      </c>
      <c r="Q71" s="193">
        <f>'Inputs by customer type'!Q36</f>
        <v>0</v>
      </c>
      <c r="R71" s="126"/>
      <c r="S71" s="126"/>
      <c r="T71" s="126"/>
      <c r="U71" s="126"/>
      <c r="V71" s="126"/>
      <c r="W71" s="126"/>
      <c r="X71" s="126"/>
      <c r="Y71" s="126"/>
      <c r="AQ71" s="3"/>
    </row>
    <row r="72" spans="3:43" x14ac:dyDescent="0.25">
      <c r="E72" s="75"/>
      <c r="F72" s="118" t="s">
        <v>253</v>
      </c>
      <c r="G72" s="118" t="s">
        <v>252</v>
      </c>
      <c r="J72" s="193">
        <f>'Inputs by customer type'!J37</f>
        <v>0</v>
      </c>
      <c r="K72" s="126"/>
      <c r="L72" s="193">
        <f>'Inputs by customer type'!L37</f>
        <v>0</v>
      </c>
      <c r="M72" s="126"/>
      <c r="N72" s="193">
        <f>'Inputs by customer type'!N37</f>
        <v>6738.1077126657474</v>
      </c>
      <c r="O72" s="193">
        <f>'Inputs by customer type'!O37</f>
        <v>243.38073583802102</v>
      </c>
      <c r="P72" s="193">
        <f>'Inputs by customer type'!P37</f>
        <v>908.32726340729596</v>
      </c>
      <c r="Q72" s="193">
        <f>'Inputs by customer type'!Q37</f>
        <v>0</v>
      </c>
      <c r="R72" s="126"/>
      <c r="S72" s="126"/>
      <c r="T72" s="126"/>
      <c r="U72" s="126"/>
      <c r="V72" s="126"/>
      <c r="W72" s="126"/>
      <c r="X72" s="126"/>
      <c r="Y72" s="126"/>
      <c r="AQ72" s="3"/>
    </row>
    <row r="73" spans="3:43" x14ac:dyDescent="0.25">
      <c r="E73" s="75"/>
      <c r="F73" s="120" t="s">
        <v>254</v>
      </c>
      <c r="G73" s="120" t="s">
        <v>255</v>
      </c>
      <c r="H73" s="96"/>
      <c r="I73" s="96"/>
      <c r="J73" s="172">
        <f>'Inputs by customer type'!J38</f>
        <v>0</v>
      </c>
      <c r="K73" s="121"/>
      <c r="L73" s="172">
        <f>'Inputs by customer type'!L38</f>
        <v>0</v>
      </c>
      <c r="M73" s="121"/>
      <c r="N73" s="172">
        <f>'Inputs by customer type'!N38</f>
        <v>33026.349881135131</v>
      </c>
      <c r="O73" s="172">
        <f>'Inputs by customer type'!O38</f>
        <v>4054.4751424410956</v>
      </c>
      <c r="P73" s="172">
        <f>'Inputs by customer type'!P38</f>
        <v>18597.524525406883</v>
      </c>
      <c r="Q73" s="172">
        <f>'Inputs by customer type'!Q38</f>
        <v>0</v>
      </c>
      <c r="R73" s="121"/>
      <c r="S73" s="121"/>
      <c r="T73" s="121"/>
      <c r="U73" s="121"/>
      <c r="V73" s="121"/>
      <c r="W73" s="121"/>
      <c r="X73" s="121"/>
      <c r="Y73" s="121"/>
      <c r="AQ73" s="3"/>
    </row>
    <row r="74" spans="3:43" x14ac:dyDescent="0.25">
      <c r="AQ74" s="3"/>
    </row>
    <row r="75" spans="3:43" x14ac:dyDescent="0.25">
      <c r="C75" s="86"/>
      <c r="E75" s="75" t="s">
        <v>894</v>
      </c>
      <c r="G75" s="61"/>
      <c r="I75" t="s">
        <v>155</v>
      </c>
      <c r="AQ75" s="3"/>
    </row>
    <row r="76" spans="3:43" x14ac:dyDescent="0.25">
      <c r="C76" s="86"/>
      <c r="E76" s="75"/>
      <c r="F76" s="116" t="s">
        <v>248</v>
      </c>
      <c r="G76" s="116" t="s">
        <v>208</v>
      </c>
      <c r="H76" s="95"/>
      <c r="I76" s="95"/>
      <c r="J76" s="117"/>
      <c r="K76" s="117"/>
      <c r="L76" s="171">
        <f>'Inputs by customer type'!L41</f>
        <v>25769.463264329806</v>
      </c>
      <c r="M76" s="117"/>
      <c r="N76" s="171">
        <f>'Inputs by customer type'!N41</f>
        <v>24851.33203546681</v>
      </c>
      <c r="O76" s="171">
        <f>'Inputs by customer type'!O41</f>
        <v>5338.6479864067196</v>
      </c>
      <c r="P76" s="171">
        <f>'Inputs by customer type'!P41</f>
        <v>30917.080888968274</v>
      </c>
      <c r="Q76" s="117"/>
      <c r="R76" s="117"/>
      <c r="S76" s="117"/>
      <c r="T76" s="117"/>
      <c r="U76" s="117"/>
      <c r="V76" s="117"/>
      <c r="W76" s="117"/>
      <c r="X76" s="117"/>
      <c r="Y76" s="117"/>
      <c r="AQ76" s="3"/>
    </row>
    <row r="77" spans="3:43" x14ac:dyDescent="0.25">
      <c r="E77" s="75"/>
      <c r="F77" s="118" t="s">
        <v>249</v>
      </c>
      <c r="G77" s="118" t="s">
        <v>208</v>
      </c>
      <c r="J77" s="126"/>
      <c r="K77" s="126"/>
      <c r="L77" s="193">
        <f>'Inputs by customer type'!L42</f>
        <v>217037.72309175745</v>
      </c>
      <c r="M77" s="126"/>
      <c r="N77" s="193">
        <f>'Inputs by customer type'!N42</f>
        <v>177279.65763815492</v>
      </c>
      <c r="O77" s="193">
        <f>'Inputs by customer type'!O42</f>
        <v>38088.722276521541</v>
      </c>
      <c r="P77" s="193">
        <f>'Inputs by customer type'!P42</f>
        <v>211674.57391019422</v>
      </c>
      <c r="Q77" s="126"/>
      <c r="R77" s="126"/>
      <c r="S77" s="126"/>
      <c r="T77" s="126"/>
      <c r="U77" s="126"/>
      <c r="V77" s="126"/>
      <c r="W77" s="126"/>
      <c r="X77" s="126"/>
      <c r="Y77" s="126"/>
      <c r="AQ77" s="3"/>
    </row>
    <row r="78" spans="3:43" x14ac:dyDescent="0.25">
      <c r="E78" s="75"/>
      <c r="F78" s="118" t="s">
        <v>250</v>
      </c>
      <c r="G78" s="118" t="s">
        <v>208</v>
      </c>
      <c r="J78" s="126"/>
      <c r="K78" s="126"/>
      <c r="L78" s="193">
        <f>'Inputs by customer type'!L43</f>
        <v>175285.38538484398</v>
      </c>
      <c r="M78" s="126"/>
      <c r="N78" s="193">
        <f>'Inputs by customer type'!N43</f>
        <v>161831.53406536893</v>
      </c>
      <c r="O78" s="193">
        <f>'Inputs by customer type'!O43</f>
        <v>38558.035683628332</v>
      </c>
      <c r="P78" s="193">
        <f>'Inputs by customer type'!P43</f>
        <v>238504.26317744018</v>
      </c>
      <c r="Q78" s="126"/>
      <c r="R78" s="126"/>
      <c r="S78" s="126"/>
      <c r="T78" s="126"/>
      <c r="U78" s="126"/>
      <c r="V78" s="126"/>
      <c r="W78" s="126"/>
      <c r="X78" s="126"/>
      <c r="Y78" s="126"/>
      <c r="AQ78" s="3"/>
    </row>
    <row r="79" spans="3:43" x14ac:dyDescent="0.25">
      <c r="E79" s="75"/>
      <c r="F79" s="118" t="s">
        <v>213</v>
      </c>
      <c r="G79" s="118" t="s">
        <v>213</v>
      </c>
      <c r="J79" s="126"/>
      <c r="K79" s="126"/>
      <c r="L79" s="193">
        <f>'Inputs by customer type'!L44</f>
        <v>43306.077079995252</v>
      </c>
      <c r="M79" s="126"/>
      <c r="N79" s="193">
        <f>'Inputs by customer type'!N44</f>
        <v>2317.7008524796479</v>
      </c>
      <c r="O79" s="193">
        <f>'Inputs by customer type'!O44</f>
        <v>408.91282025676543</v>
      </c>
      <c r="P79" s="193">
        <f>'Inputs by customer type'!P44</f>
        <v>317.74626853961161</v>
      </c>
      <c r="Q79" s="126"/>
      <c r="R79" s="126"/>
      <c r="S79" s="126"/>
      <c r="T79" s="126"/>
      <c r="U79" s="126"/>
      <c r="V79" s="126"/>
      <c r="W79" s="126"/>
      <c r="X79" s="126"/>
      <c r="Y79" s="126"/>
      <c r="AQ79" s="3"/>
    </row>
    <row r="80" spans="3:43" x14ac:dyDescent="0.25">
      <c r="E80" s="75"/>
      <c r="F80" s="118" t="s">
        <v>251</v>
      </c>
      <c r="G80" s="118" t="s">
        <v>252</v>
      </c>
      <c r="J80" s="126"/>
      <c r="K80" s="126"/>
      <c r="L80" s="193">
        <f>'Inputs by customer type'!L45</f>
        <v>0</v>
      </c>
      <c r="M80" s="126"/>
      <c r="N80" s="193">
        <f>'Inputs by customer type'!N45</f>
        <v>269221.98410561716</v>
      </c>
      <c r="O80" s="193">
        <f>'Inputs by customer type'!O45</f>
        <v>50913.793249317838</v>
      </c>
      <c r="P80" s="193">
        <f>'Inputs by customer type'!P45</f>
        <v>230230.59745152827</v>
      </c>
      <c r="Q80" s="126"/>
      <c r="R80" s="126"/>
      <c r="S80" s="126"/>
      <c r="T80" s="126"/>
      <c r="U80" s="126"/>
      <c r="V80" s="126"/>
      <c r="W80" s="126"/>
      <c r="X80" s="126"/>
      <c r="Y80" s="126"/>
      <c r="AQ80" s="3"/>
    </row>
    <row r="81" spans="3:43" x14ac:dyDescent="0.25">
      <c r="E81" s="75"/>
      <c r="F81" s="118" t="s">
        <v>253</v>
      </c>
      <c r="G81" s="118" t="s">
        <v>252</v>
      </c>
      <c r="J81" s="126"/>
      <c r="K81" s="126"/>
      <c r="L81" s="193">
        <f>'Inputs by customer type'!L46</f>
        <v>0</v>
      </c>
      <c r="M81" s="126"/>
      <c r="N81" s="193">
        <f>'Inputs by customer type'!N46</f>
        <v>8505.5962788487686</v>
      </c>
      <c r="O81" s="193">
        <f>'Inputs by customer type'!O46</f>
        <v>595.82097977499575</v>
      </c>
      <c r="P81" s="193">
        <f>'Inputs by customer type'!P46</f>
        <v>1898.0240662293093</v>
      </c>
      <c r="Q81" s="126"/>
      <c r="R81" s="126"/>
      <c r="S81" s="126"/>
      <c r="T81" s="126"/>
      <c r="U81" s="126"/>
      <c r="V81" s="126"/>
      <c r="W81" s="126"/>
      <c r="X81" s="126"/>
      <c r="Y81" s="126"/>
      <c r="AQ81" s="3"/>
    </row>
    <row r="82" spans="3:43" x14ac:dyDescent="0.25">
      <c r="E82" s="75"/>
      <c r="F82" s="120" t="s">
        <v>254</v>
      </c>
      <c r="G82" s="120" t="s">
        <v>255</v>
      </c>
      <c r="H82" s="96"/>
      <c r="I82" s="96"/>
      <c r="J82" s="121"/>
      <c r="K82" s="121"/>
      <c r="L82" s="172">
        <f>'Inputs by customer type'!L47</f>
        <v>0</v>
      </c>
      <c r="M82" s="121"/>
      <c r="N82" s="172">
        <f>'Inputs by customer type'!N47</f>
        <v>28573.077823844527</v>
      </c>
      <c r="O82" s="172">
        <f>'Inputs by customer type'!O47</f>
        <v>7434.8530337112988</v>
      </c>
      <c r="P82" s="172">
        <f>'Inputs by customer type'!P47</f>
        <v>34300.895050201761</v>
      </c>
      <c r="Q82" s="121"/>
      <c r="R82" s="121"/>
      <c r="S82" s="121"/>
      <c r="T82" s="121"/>
      <c r="U82" s="121"/>
      <c r="V82" s="121"/>
      <c r="W82" s="121"/>
      <c r="X82" s="121"/>
      <c r="Y82" s="121"/>
      <c r="AQ82" s="3"/>
    </row>
    <row r="83" spans="3:43" x14ac:dyDescent="0.25">
      <c r="AQ83" s="3"/>
    </row>
    <row r="84" spans="3:43" x14ac:dyDescent="0.25">
      <c r="C84" s="86"/>
      <c r="E84" s="75" t="s">
        <v>895</v>
      </c>
      <c r="G84" s="61"/>
      <c r="I84" t="s">
        <v>155</v>
      </c>
      <c r="AQ84" s="3"/>
    </row>
    <row r="85" spans="3:43" x14ac:dyDescent="0.25">
      <c r="C85" s="86"/>
      <c r="E85" s="75"/>
      <c r="F85" s="116" t="s">
        <v>248</v>
      </c>
      <c r="G85" s="116" t="s">
        <v>208</v>
      </c>
      <c r="H85" s="95"/>
      <c r="I85" s="95"/>
      <c r="J85" s="117"/>
      <c r="K85" s="117"/>
      <c r="L85" s="171">
        <f>'Inputs by customer type'!L50</f>
        <v>21037.956485530522</v>
      </c>
      <c r="M85" s="117"/>
      <c r="N85" s="171">
        <f>'Inputs by customer type'!N50</f>
        <v>17849.611396800741</v>
      </c>
      <c r="O85" s="171">
        <f>'Inputs by customer type'!O50</f>
        <v>8114.0896127325132</v>
      </c>
      <c r="P85" s="171">
        <f>'Inputs by customer type'!P50</f>
        <v>28510.151168283563</v>
      </c>
      <c r="Q85" s="117"/>
      <c r="R85" s="117"/>
      <c r="S85" s="117"/>
      <c r="T85" s="117"/>
      <c r="U85" s="117"/>
      <c r="V85" s="117"/>
      <c r="W85" s="117"/>
      <c r="X85" s="117"/>
      <c r="Y85" s="117"/>
      <c r="AQ85" s="3"/>
    </row>
    <row r="86" spans="3:43" x14ac:dyDescent="0.25">
      <c r="E86" s="75"/>
      <c r="F86" s="118" t="s">
        <v>249</v>
      </c>
      <c r="G86" s="118" t="s">
        <v>208</v>
      </c>
      <c r="J86" s="126"/>
      <c r="K86" s="126"/>
      <c r="L86" s="193">
        <f>'Inputs by customer type'!L51</f>
        <v>177187.63201573284</v>
      </c>
      <c r="M86" s="126"/>
      <c r="N86" s="193">
        <f>'Inputs by customer type'!N51</f>
        <v>127332.12822889656</v>
      </c>
      <c r="O86" s="193">
        <f>'Inputs by customer type'!O51</f>
        <v>57890.182415677999</v>
      </c>
      <c r="P86" s="193">
        <f>'Inputs by customer type'!P51</f>
        <v>195195.46888448298</v>
      </c>
      <c r="Q86" s="126"/>
      <c r="R86" s="126"/>
      <c r="S86" s="126"/>
      <c r="T86" s="126"/>
      <c r="U86" s="126"/>
      <c r="V86" s="126"/>
      <c r="W86" s="126"/>
      <c r="X86" s="126"/>
      <c r="Y86" s="126"/>
      <c r="AQ86" s="3"/>
    </row>
    <row r="87" spans="3:43" x14ac:dyDescent="0.25">
      <c r="E87" s="75"/>
      <c r="F87" s="118" t="s">
        <v>250</v>
      </c>
      <c r="G87" s="118" t="s">
        <v>208</v>
      </c>
      <c r="J87" s="126"/>
      <c r="K87" s="126"/>
      <c r="L87" s="193">
        <f>'Inputs by customer type'!L52</f>
        <v>143101.40154840745</v>
      </c>
      <c r="M87" s="126"/>
      <c r="N87" s="193">
        <f>'Inputs by customer type'!N52</f>
        <v>116236.42510157697</v>
      </c>
      <c r="O87" s="193">
        <f>'Inputs by customer type'!O52</f>
        <v>58603.481185594508</v>
      </c>
      <c r="P87" s="193">
        <f>'Inputs by customer type'!P52</f>
        <v>219936.43649246282</v>
      </c>
      <c r="Q87" s="126"/>
      <c r="R87" s="126"/>
      <c r="S87" s="126"/>
      <c r="T87" s="126"/>
      <c r="U87" s="126"/>
      <c r="V87" s="126"/>
      <c r="W87" s="126"/>
      <c r="X87" s="126"/>
      <c r="Y87" s="126"/>
      <c r="AQ87" s="3"/>
    </row>
    <row r="88" spans="3:43" x14ac:dyDescent="0.25">
      <c r="E88" s="75"/>
      <c r="F88" s="118" t="s">
        <v>213</v>
      </c>
      <c r="G88" s="118" t="s">
        <v>213</v>
      </c>
      <c r="J88" s="126"/>
      <c r="K88" s="126"/>
      <c r="L88" s="193">
        <f>'Inputs by customer type'!L53</f>
        <v>17515.591197828475</v>
      </c>
      <c r="M88" s="126"/>
      <c r="N88" s="193">
        <f>'Inputs by customer type'!N53</f>
        <v>1083.1573441211233</v>
      </c>
      <c r="O88" s="193">
        <f>'Inputs by customer type'!O53</f>
        <v>383.29418573465477</v>
      </c>
      <c r="P88" s="193">
        <f>'Inputs by customer type'!P53</f>
        <v>129.5943995554307</v>
      </c>
      <c r="Q88" s="126"/>
      <c r="R88" s="126"/>
      <c r="S88" s="126"/>
      <c r="T88" s="126"/>
      <c r="U88" s="126"/>
      <c r="V88" s="126"/>
      <c r="W88" s="126"/>
      <c r="X88" s="126"/>
      <c r="Y88" s="126"/>
      <c r="AQ88" s="3"/>
    </row>
    <row r="89" spans="3:43" x14ac:dyDescent="0.25">
      <c r="E89" s="75"/>
      <c r="F89" s="118" t="s">
        <v>251</v>
      </c>
      <c r="G89" s="118" t="s">
        <v>252</v>
      </c>
      <c r="J89" s="126"/>
      <c r="K89" s="126"/>
      <c r="L89" s="193">
        <f>'Inputs by customer type'!L54</f>
        <v>0</v>
      </c>
      <c r="M89" s="126"/>
      <c r="N89" s="193">
        <f>'Inputs by customer type'!N54</f>
        <v>204025.46814122697</v>
      </c>
      <c r="O89" s="193">
        <f>'Inputs by customer type'!O54</f>
        <v>78470.146371952724</v>
      </c>
      <c r="P89" s="193">
        <f>'Inputs by customer type'!P54</f>
        <v>186602.07719441602</v>
      </c>
      <c r="Q89" s="126"/>
      <c r="R89" s="126"/>
      <c r="S89" s="126"/>
      <c r="T89" s="126"/>
      <c r="U89" s="126"/>
      <c r="V89" s="126"/>
      <c r="W89" s="126"/>
      <c r="X89" s="126"/>
      <c r="Y89" s="126"/>
      <c r="AQ89" s="3"/>
    </row>
    <row r="90" spans="3:43" x14ac:dyDescent="0.25">
      <c r="E90" s="75"/>
      <c r="F90" s="118" t="s">
        <v>253</v>
      </c>
      <c r="G90" s="118" t="s">
        <v>252</v>
      </c>
      <c r="J90" s="126"/>
      <c r="K90" s="126"/>
      <c r="L90" s="193">
        <f>'Inputs by customer type'!L55</f>
        <v>0</v>
      </c>
      <c r="M90" s="126"/>
      <c r="N90" s="193">
        <f>'Inputs by customer type'!N55</f>
        <v>6445.8267343115913</v>
      </c>
      <c r="O90" s="193">
        <f>'Inputs by customer type'!O55</f>
        <v>918.3004547603739</v>
      </c>
      <c r="P90" s="193">
        <f>'Inputs by customer type'!P55</f>
        <v>1538.3499727830376</v>
      </c>
      <c r="Q90" s="126"/>
      <c r="R90" s="126"/>
      <c r="S90" s="126"/>
      <c r="T90" s="126"/>
      <c r="U90" s="126"/>
      <c r="V90" s="126"/>
      <c r="W90" s="126"/>
      <c r="X90" s="126"/>
      <c r="Y90" s="126"/>
      <c r="AQ90" s="3"/>
    </row>
    <row r="91" spans="3:43" x14ac:dyDescent="0.25">
      <c r="E91" s="75"/>
      <c r="F91" s="120" t="s">
        <v>254</v>
      </c>
      <c r="G91" s="120" t="s">
        <v>255</v>
      </c>
      <c r="H91" s="96"/>
      <c r="I91" s="96"/>
      <c r="J91" s="121"/>
      <c r="K91" s="121"/>
      <c r="L91" s="172">
        <f>'Inputs by customer type'!L56</f>
        <v>0</v>
      </c>
      <c r="M91" s="121"/>
      <c r="N91" s="172">
        <f>'Inputs by customer type'!N56</f>
        <v>20522.776599592027</v>
      </c>
      <c r="O91" s="172">
        <f>'Inputs by customer type'!O56</f>
        <v>11300.063972495396</v>
      </c>
      <c r="P91" s="172">
        <f>'Inputs by customer type'!P56</f>
        <v>31630.531569286057</v>
      </c>
      <c r="Q91" s="121"/>
      <c r="R91" s="121"/>
      <c r="S91" s="121"/>
      <c r="T91" s="121"/>
      <c r="U91" s="121"/>
      <c r="V91" s="121"/>
      <c r="W91" s="121"/>
      <c r="X91" s="121"/>
      <c r="Y91" s="121"/>
      <c r="AQ91" s="3"/>
    </row>
    <row r="92" spans="3:43" x14ac:dyDescent="0.25">
      <c r="AQ92" s="3"/>
    </row>
    <row r="93" spans="3:43" x14ac:dyDescent="0.25">
      <c r="C93" s="86"/>
      <c r="E93" s="75" t="s">
        <v>896</v>
      </c>
      <c r="G93" s="61"/>
      <c r="I93" t="s">
        <v>155</v>
      </c>
      <c r="AQ93" s="3"/>
    </row>
    <row r="94" spans="3:43" x14ac:dyDescent="0.25">
      <c r="C94" s="86"/>
      <c r="E94" s="75"/>
      <c r="F94" s="116" t="s">
        <v>248</v>
      </c>
      <c r="G94" s="116" t="s">
        <v>208</v>
      </c>
      <c r="H94" s="95"/>
      <c r="I94" s="95"/>
      <c r="J94" s="117"/>
      <c r="K94" s="117"/>
      <c r="L94" s="171">
        <f>'Inputs by customer type'!L59</f>
        <v>53169.050995237463</v>
      </c>
      <c r="M94" s="117"/>
      <c r="N94" s="171">
        <f>'Inputs by customer type'!N59</f>
        <v>14721.230163139453</v>
      </c>
      <c r="O94" s="171">
        <f>'Inputs by customer type'!O59</f>
        <v>23229.064363608362</v>
      </c>
      <c r="P94" s="171">
        <f>'Inputs by customer type'!P59</f>
        <v>50008.961611187864</v>
      </c>
      <c r="Q94" s="117"/>
      <c r="R94" s="117"/>
      <c r="S94" s="117"/>
      <c r="T94" s="117"/>
      <c r="U94" s="117"/>
      <c r="V94" s="117"/>
      <c r="W94" s="117"/>
      <c r="X94" s="117"/>
      <c r="Y94" s="117"/>
      <c r="AQ94" s="3"/>
    </row>
    <row r="95" spans="3:43" x14ac:dyDescent="0.25">
      <c r="E95" s="75"/>
      <c r="F95" s="118" t="s">
        <v>249</v>
      </c>
      <c r="G95" s="118" t="s">
        <v>208</v>
      </c>
      <c r="J95" s="126"/>
      <c r="K95" s="126"/>
      <c r="L95" s="193">
        <f>'Inputs by customer type'!L60</f>
        <v>447804.81644447596</v>
      </c>
      <c r="M95" s="126"/>
      <c r="N95" s="193">
        <f>'Inputs by customer type'!N60</f>
        <v>105015.48325897694</v>
      </c>
      <c r="O95" s="193">
        <f>'Inputs by customer type'!O60</f>
        <v>165728.36110223309</v>
      </c>
      <c r="P95" s="193">
        <f>'Inputs by customer type'!P60</f>
        <v>342387.61669497</v>
      </c>
      <c r="Q95" s="126"/>
      <c r="R95" s="126"/>
      <c r="S95" s="126"/>
      <c r="T95" s="126"/>
      <c r="U95" s="126"/>
      <c r="V95" s="126"/>
      <c r="W95" s="126"/>
      <c r="X95" s="126"/>
      <c r="Y95" s="126"/>
      <c r="AQ95" s="3"/>
    </row>
    <row r="96" spans="3:43" x14ac:dyDescent="0.25">
      <c r="E96" s="75"/>
      <c r="F96" s="118" t="s">
        <v>250</v>
      </c>
      <c r="G96" s="118" t="s">
        <v>208</v>
      </c>
      <c r="J96" s="126"/>
      <c r="K96" s="126"/>
      <c r="L96" s="193">
        <f>'Inputs by customer type'!L61</f>
        <v>361658.97204180667</v>
      </c>
      <c r="M96" s="126"/>
      <c r="N96" s="193">
        <f>'Inputs by customer type'!N61</f>
        <v>95864.44932731305</v>
      </c>
      <c r="O96" s="193">
        <f>'Inputs by customer type'!O61</f>
        <v>167770.39709489379</v>
      </c>
      <c r="P96" s="193">
        <f>'Inputs by customer type'!P61</f>
        <v>385785.14524639776</v>
      </c>
      <c r="Q96" s="126"/>
      <c r="R96" s="126"/>
      <c r="S96" s="126"/>
      <c r="T96" s="126"/>
      <c r="U96" s="126"/>
      <c r="V96" s="126"/>
      <c r="W96" s="126"/>
      <c r="X96" s="126"/>
      <c r="Y96" s="126"/>
      <c r="AQ96" s="3"/>
    </row>
    <row r="97" spans="3:43" x14ac:dyDescent="0.25">
      <c r="E97" s="75"/>
      <c r="F97" s="118" t="s">
        <v>213</v>
      </c>
      <c r="G97" s="118" t="s">
        <v>213</v>
      </c>
      <c r="J97" s="126"/>
      <c r="K97" s="126"/>
      <c r="L97" s="193">
        <f>'Inputs by customer type'!L62</f>
        <v>18241.929816254426</v>
      </c>
      <c r="M97" s="126"/>
      <c r="N97" s="193">
        <f>'Inputs by customer type'!N62</f>
        <v>486.14148515672457</v>
      </c>
      <c r="O97" s="193">
        <f>'Inputs by customer type'!O62</f>
        <v>511.38735834520776</v>
      </c>
      <c r="P97" s="193">
        <f>'Inputs by customer type'!P62</f>
        <v>114.23506331182409</v>
      </c>
      <c r="Q97" s="126"/>
      <c r="R97" s="126"/>
      <c r="S97" s="126"/>
      <c r="T97" s="126"/>
      <c r="U97" s="126"/>
      <c r="V97" s="126"/>
      <c r="W97" s="126"/>
      <c r="X97" s="126"/>
      <c r="Y97" s="126"/>
      <c r="AQ97" s="3"/>
    </row>
    <row r="98" spans="3:43" x14ac:dyDescent="0.25">
      <c r="E98" s="75"/>
      <c r="F98" s="118" t="s">
        <v>251</v>
      </c>
      <c r="G98" s="118" t="s">
        <v>252</v>
      </c>
      <c r="J98" s="126"/>
      <c r="K98" s="126"/>
      <c r="L98" s="193">
        <f>'Inputs by customer type'!L63</f>
        <v>0</v>
      </c>
      <c r="M98" s="126"/>
      <c r="N98" s="193">
        <f>'Inputs by customer type'!N63</f>
        <v>176333.7541917249</v>
      </c>
      <c r="O98" s="193">
        <f>'Inputs by customer type'!O63</f>
        <v>223136.31397896013</v>
      </c>
      <c r="P98" s="193">
        <f>'Inputs by customer type'!P63</f>
        <v>414069.42583366984</v>
      </c>
      <c r="Q98" s="126"/>
      <c r="R98" s="126"/>
      <c r="S98" s="126"/>
      <c r="T98" s="126"/>
      <c r="U98" s="126"/>
      <c r="V98" s="126"/>
      <c r="W98" s="126"/>
      <c r="X98" s="126"/>
      <c r="Y98" s="126"/>
      <c r="AQ98" s="3"/>
    </row>
    <row r="99" spans="3:43" x14ac:dyDescent="0.25">
      <c r="E99" s="75"/>
      <c r="F99" s="118" t="s">
        <v>253</v>
      </c>
      <c r="G99" s="118" t="s">
        <v>252</v>
      </c>
      <c r="J99" s="126"/>
      <c r="K99" s="126"/>
      <c r="L99" s="193">
        <f>'Inputs by customer type'!L64</f>
        <v>0</v>
      </c>
      <c r="M99" s="126"/>
      <c r="N99" s="193">
        <f>'Inputs by customer type'!N64</f>
        <v>5570.9556129717103</v>
      </c>
      <c r="O99" s="193">
        <f>'Inputs by customer type'!O64</f>
        <v>2611.2628569490134</v>
      </c>
      <c r="P99" s="193">
        <f>'Inputs by customer type'!P64</f>
        <v>3413.5937795475702</v>
      </c>
      <c r="Q99" s="126"/>
      <c r="R99" s="126"/>
      <c r="S99" s="126"/>
      <c r="T99" s="126"/>
      <c r="U99" s="126"/>
      <c r="V99" s="126"/>
      <c r="W99" s="126"/>
      <c r="X99" s="126"/>
      <c r="Y99" s="126"/>
      <c r="AQ99" s="3"/>
    </row>
    <row r="100" spans="3:43" x14ac:dyDescent="0.25">
      <c r="E100" s="75"/>
      <c r="F100" s="120" t="s">
        <v>254</v>
      </c>
      <c r="G100" s="120" t="s">
        <v>255</v>
      </c>
      <c r="H100" s="96"/>
      <c r="I100" s="96"/>
      <c r="J100" s="121"/>
      <c r="K100" s="121"/>
      <c r="L100" s="172">
        <f>'Inputs by customer type'!L65</f>
        <v>0</v>
      </c>
      <c r="M100" s="121"/>
      <c r="N100" s="172">
        <f>'Inputs by customer type'!N65</f>
        <v>16925.887695428311</v>
      </c>
      <c r="O100" s="172">
        <f>'Inputs by customer type'!O65</f>
        <v>32349.890851352215</v>
      </c>
      <c r="P100" s="172">
        <f>'Inputs by customer type'!P65</f>
        <v>55482.344855105308</v>
      </c>
      <c r="Q100" s="121"/>
      <c r="R100" s="121"/>
      <c r="S100" s="121"/>
      <c r="T100" s="121"/>
      <c r="U100" s="121"/>
      <c r="V100" s="121"/>
      <c r="W100" s="121"/>
      <c r="X100" s="121"/>
      <c r="Y100" s="121"/>
      <c r="AQ100" s="3"/>
    </row>
    <row r="101" spans="3:43" x14ac:dyDescent="0.25">
      <c r="AQ101" s="3"/>
    </row>
    <row r="102" spans="3:43" x14ac:dyDescent="0.25">
      <c r="C102" s="86"/>
      <c r="D102" s="86" t="s">
        <v>909</v>
      </c>
      <c r="AQ102" s="3"/>
    </row>
    <row r="103" spans="3:43" x14ac:dyDescent="0.25">
      <c r="AQ103" s="3"/>
    </row>
    <row r="104" spans="3:43" x14ac:dyDescent="0.25">
      <c r="E104" s="75" t="s">
        <v>860</v>
      </c>
      <c r="G104" s="61"/>
      <c r="I104" t="s">
        <v>155</v>
      </c>
      <c r="AQ104" s="3"/>
    </row>
    <row r="105" spans="3:43" x14ac:dyDescent="0.25">
      <c r="E105" s="75"/>
      <c r="F105" s="116" t="s">
        <v>248</v>
      </c>
      <c r="G105" s="116" t="s">
        <v>208</v>
      </c>
      <c r="H105" s="95"/>
      <c r="I105" s="95"/>
      <c r="J105" s="117"/>
      <c r="K105" s="171">
        <f>'Inputs by customer type'!K70</f>
        <v>0</v>
      </c>
      <c r="L105" s="171">
        <f>'Inputs by customer type'!L70</f>
        <v>50.018702202795161</v>
      </c>
      <c r="M105" s="171">
        <f>'Inputs by customer type'!M70</f>
        <v>0</v>
      </c>
      <c r="N105" s="171">
        <f>'Inputs by customer type'!N70</f>
        <v>0</v>
      </c>
      <c r="O105" s="171">
        <f>'Inputs by customer type'!O70</f>
        <v>0</v>
      </c>
      <c r="P105" s="171">
        <f>'Inputs by customer type'!P70</f>
        <v>0</v>
      </c>
      <c r="Q105" s="117"/>
      <c r="R105" s="171">
        <f>'Inputs by customer type'!R70</f>
        <v>145.32512484445286</v>
      </c>
      <c r="S105" s="117"/>
      <c r="T105" s="171">
        <f>'Inputs by customer type'!T70</f>
        <v>5.0228258684195506</v>
      </c>
      <c r="U105" s="117"/>
      <c r="V105" s="117"/>
      <c r="W105" s="117"/>
      <c r="X105" s="117"/>
      <c r="Y105" s="117"/>
      <c r="AQ105" s="3"/>
    </row>
    <row r="106" spans="3:43" x14ac:dyDescent="0.25">
      <c r="E106" s="75"/>
      <c r="F106" s="118" t="s">
        <v>249</v>
      </c>
      <c r="G106" s="118" t="s">
        <v>208</v>
      </c>
      <c r="J106" s="126"/>
      <c r="K106" s="193">
        <f>'Inputs by customer type'!K71</f>
        <v>0</v>
      </c>
      <c r="L106" s="193">
        <f>'Inputs by customer type'!L71</f>
        <v>446.54394615532738</v>
      </c>
      <c r="M106" s="193">
        <f>'Inputs by customer type'!M71</f>
        <v>0</v>
      </c>
      <c r="N106" s="193">
        <f>'Inputs by customer type'!N71</f>
        <v>0</v>
      </c>
      <c r="O106" s="193">
        <f>'Inputs by customer type'!O71</f>
        <v>0</v>
      </c>
      <c r="P106" s="193">
        <f>'Inputs by customer type'!P71</f>
        <v>0</v>
      </c>
      <c r="Q106" s="126"/>
      <c r="R106" s="193">
        <f>'Inputs by customer type'!R71</f>
        <v>1495.6729981168003</v>
      </c>
      <c r="S106" s="126"/>
      <c r="T106" s="193">
        <f>'Inputs by customer type'!T71</f>
        <v>51.732406322701706</v>
      </c>
      <c r="U106" s="126"/>
      <c r="V106" s="126"/>
      <c r="W106" s="126"/>
      <c r="X106" s="126"/>
      <c r="Y106" s="126"/>
      <c r="AQ106" s="3"/>
    </row>
    <row r="107" spans="3:43" x14ac:dyDescent="0.25">
      <c r="E107" s="75"/>
      <c r="F107" s="118" t="s">
        <v>250</v>
      </c>
      <c r="G107" s="118" t="s">
        <v>208</v>
      </c>
      <c r="J107" s="126"/>
      <c r="K107" s="193">
        <f>'Inputs by customer type'!K72</f>
        <v>0</v>
      </c>
      <c r="L107" s="193">
        <f>'Inputs by customer type'!L72</f>
        <v>317.74771534502293</v>
      </c>
      <c r="M107" s="193">
        <f>'Inputs by customer type'!M72</f>
        <v>0</v>
      </c>
      <c r="N107" s="193">
        <f>'Inputs by customer type'!N72</f>
        <v>0</v>
      </c>
      <c r="O107" s="193">
        <f>'Inputs by customer type'!O72</f>
        <v>0</v>
      </c>
      <c r="P107" s="193">
        <f>'Inputs by customer type'!P72</f>
        <v>0</v>
      </c>
      <c r="Q107" s="126"/>
      <c r="R107" s="193">
        <f>'Inputs by customer type'!R72</f>
        <v>617.57032877021857</v>
      </c>
      <c r="S107" s="126"/>
      <c r="T107" s="193">
        <f>'Inputs by customer type'!T72</f>
        <v>23.479247066598283</v>
      </c>
      <c r="U107" s="126"/>
      <c r="V107" s="126"/>
      <c r="W107" s="126"/>
      <c r="X107" s="126"/>
      <c r="Y107" s="126"/>
      <c r="AQ107" s="3"/>
    </row>
    <row r="108" spans="3:43" x14ac:dyDescent="0.25">
      <c r="E108" s="75"/>
      <c r="F108" s="118" t="s">
        <v>213</v>
      </c>
      <c r="G108" s="118" t="s">
        <v>213</v>
      </c>
      <c r="J108" s="126"/>
      <c r="K108" s="193">
        <f>'Inputs by customer type'!K73</f>
        <v>0</v>
      </c>
      <c r="L108" s="193">
        <f>'Inputs by customer type'!L73</f>
        <v>129.78707548677909</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1.2850205493740503</v>
      </c>
      <c r="U108" s="126"/>
      <c r="V108" s="126"/>
      <c r="W108" s="126"/>
      <c r="X108" s="126"/>
      <c r="Y108" s="126"/>
      <c r="AQ108" s="3"/>
    </row>
    <row r="109" spans="3:43" x14ac:dyDescent="0.25">
      <c r="E109" s="75"/>
      <c r="F109" s="118" t="s">
        <v>251</v>
      </c>
      <c r="G109" s="118" t="s">
        <v>252</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253</v>
      </c>
      <c r="G110" s="118" t="s">
        <v>252</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254</v>
      </c>
      <c r="G111" s="120" t="s">
        <v>255</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4.4468923790347121</v>
      </c>
      <c r="U111" s="121"/>
      <c r="V111" s="121"/>
      <c r="W111" s="121"/>
      <c r="X111" s="121"/>
      <c r="Y111" s="121"/>
      <c r="AQ111" s="3"/>
    </row>
    <row r="112" spans="3:43" x14ac:dyDescent="0.25">
      <c r="C112" s="86"/>
      <c r="AQ112" s="3"/>
    </row>
    <row r="113" spans="5:43" x14ac:dyDescent="0.25">
      <c r="E113" s="75" t="s">
        <v>897</v>
      </c>
      <c r="G113" s="61"/>
      <c r="I113" t="s">
        <v>155</v>
      </c>
      <c r="AQ113" s="3"/>
    </row>
    <row r="114" spans="5:43" x14ac:dyDescent="0.25">
      <c r="E114" s="75"/>
      <c r="F114" s="116" t="s">
        <v>248</v>
      </c>
      <c r="G114" s="116" t="s">
        <v>208</v>
      </c>
      <c r="H114" s="95"/>
      <c r="I114" s="95"/>
      <c r="J114" s="171">
        <f>'Inputs by customer type'!J79</f>
        <v>5009.561936578516</v>
      </c>
      <c r="K114" s="117"/>
      <c r="L114" s="171">
        <f>'Inputs by customer type'!L79</f>
        <v>23.034454520968403</v>
      </c>
      <c r="M114" s="117"/>
      <c r="N114" s="171">
        <f>'Inputs by customer type'!N79</f>
        <v>49.862711264564581</v>
      </c>
      <c r="O114" s="171">
        <f>'Inputs by customer type'!O79</f>
        <v>0</v>
      </c>
      <c r="P114" s="171">
        <f>'Inputs by customer type'!P79</f>
        <v>0</v>
      </c>
      <c r="Q114" s="171">
        <f>'Inputs by customer type'!Q79</f>
        <v>1.9402031056287485</v>
      </c>
      <c r="R114" s="117"/>
      <c r="S114" s="117"/>
      <c r="T114" s="117"/>
      <c r="U114" s="117"/>
      <c r="V114" s="117"/>
      <c r="W114" s="117"/>
      <c r="X114" s="117"/>
      <c r="Y114" s="117"/>
      <c r="AQ114" s="3"/>
    </row>
    <row r="115" spans="5:43" x14ac:dyDescent="0.25">
      <c r="E115" s="75"/>
      <c r="F115" s="118" t="s">
        <v>249</v>
      </c>
      <c r="G115" s="118" t="s">
        <v>208</v>
      </c>
      <c r="J115" s="193">
        <f>'Inputs by customer type'!J80</f>
        <v>26428.293129180023</v>
      </c>
      <c r="K115" s="126"/>
      <c r="L115" s="193">
        <f>'Inputs by customer type'!L80</f>
        <v>180.53231818517546</v>
      </c>
      <c r="M115" s="126"/>
      <c r="N115" s="193">
        <f>'Inputs by customer type'!N80</f>
        <v>376.84059290710013</v>
      </c>
      <c r="O115" s="193">
        <f>'Inputs by customer type'!O80</f>
        <v>0</v>
      </c>
      <c r="P115" s="193">
        <f>'Inputs by customer type'!P80</f>
        <v>0</v>
      </c>
      <c r="Q115" s="193">
        <f>'Inputs by customer type'!Q80</f>
        <v>21.14065363266138</v>
      </c>
      <c r="R115" s="126"/>
      <c r="S115" s="126"/>
      <c r="T115" s="126"/>
      <c r="U115" s="126"/>
      <c r="V115" s="126"/>
      <c r="W115" s="126"/>
      <c r="X115" s="126"/>
      <c r="Y115" s="126"/>
      <c r="AQ115" s="3"/>
    </row>
    <row r="116" spans="5:43" x14ac:dyDescent="0.25">
      <c r="E116" s="75"/>
      <c r="F116" s="118" t="s">
        <v>250</v>
      </c>
      <c r="G116" s="118" t="s">
        <v>208</v>
      </c>
      <c r="J116" s="193">
        <f>'Inputs by customer type'!J81</f>
        <v>28347.544883023802</v>
      </c>
      <c r="K116" s="126"/>
      <c r="L116" s="193">
        <f>'Inputs by customer type'!L81</f>
        <v>140.11924237600525</v>
      </c>
      <c r="M116" s="126"/>
      <c r="N116" s="193">
        <f>'Inputs by customer type'!N81</f>
        <v>349.01530778948353</v>
      </c>
      <c r="O116" s="193">
        <f>'Inputs by customer type'!O81</f>
        <v>0</v>
      </c>
      <c r="P116" s="193">
        <f>'Inputs by customer type'!P81</f>
        <v>0</v>
      </c>
      <c r="Q116" s="193">
        <f>'Inputs by customer type'!Q81</f>
        <v>112.2474972102397</v>
      </c>
      <c r="R116" s="126"/>
      <c r="S116" s="126"/>
      <c r="T116" s="126"/>
      <c r="U116" s="126"/>
      <c r="V116" s="126"/>
      <c r="W116" s="126"/>
      <c r="X116" s="126"/>
      <c r="Y116" s="126"/>
      <c r="AQ116" s="3"/>
    </row>
    <row r="117" spans="5:43" x14ac:dyDescent="0.25">
      <c r="E117" s="75"/>
      <c r="F117" s="118" t="s">
        <v>213</v>
      </c>
      <c r="G117" s="118" t="s">
        <v>213</v>
      </c>
      <c r="J117" s="193">
        <f>'Inputs by customer type'!J82</f>
        <v>21273.515194887394</v>
      </c>
      <c r="K117" s="126"/>
      <c r="L117" s="193">
        <f>'Inputs by customer type'!L82</f>
        <v>98.946582301801897</v>
      </c>
      <c r="M117" s="126"/>
      <c r="N117" s="193">
        <f>'Inputs by customer type'!N82</f>
        <v>19.275308240610748</v>
      </c>
      <c r="O117" s="193">
        <f>'Inputs by customer type'!O82</f>
        <v>0</v>
      </c>
      <c r="P117" s="193">
        <f>'Inputs by customer type'!P82</f>
        <v>0</v>
      </c>
      <c r="Q117" s="193">
        <f>'Inputs by customer type'!Q82</f>
        <v>80.95629461056518</v>
      </c>
      <c r="R117" s="126"/>
      <c r="S117" s="126"/>
      <c r="T117" s="126"/>
      <c r="U117" s="126"/>
      <c r="V117" s="126"/>
      <c r="W117" s="126"/>
      <c r="X117" s="126"/>
      <c r="Y117" s="126"/>
      <c r="AQ117" s="3"/>
    </row>
    <row r="118" spans="5:43" x14ac:dyDescent="0.25">
      <c r="E118" s="75"/>
      <c r="F118" s="118" t="s">
        <v>251</v>
      </c>
      <c r="G118" s="118" t="s">
        <v>252</v>
      </c>
      <c r="J118" s="193">
        <f>'Inputs by customer type'!J83</f>
        <v>0</v>
      </c>
      <c r="K118" s="126"/>
      <c r="L118" s="193">
        <f>'Inputs by customer type'!L83</f>
        <v>0</v>
      </c>
      <c r="M118" s="126"/>
      <c r="N118" s="193">
        <f>'Inputs by customer type'!N83</f>
        <v>1368.5468850833636</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253</v>
      </c>
      <c r="G119" s="118" t="s">
        <v>252</v>
      </c>
      <c r="J119" s="193">
        <f>'Inputs by customer type'!J84</f>
        <v>0</v>
      </c>
      <c r="K119" s="126"/>
      <c r="L119" s="193">
        <f>'Inputs by customer type'!L84</f>
        <v>0</v>
      </c>
      <c r="M119" s="126"/>
      <c r="N119" s="193">
        <f>'Inputs by customer type'!N84</f>
        <v>47.193077345640631</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254</v>
      </c>
      <c r="G120" s="120" t="s">
        <v>255</v>
      </c>
      <c r="H120" s="96"/>
      <c r="I120" s="96"/>
      <c r="J120" s="172">
        <f>'Inputs by customer type'!J85</f>
        <v>0</v>
      </c>
      <c r="K120" s="121"/>
      <c r="L120" s="172">
        <f>'Inputs by customer type'!L85</f>
        <v>0</v>
      </c>
      <c r="M120" s="121"/>
      <c r="N120" s="172">
        <f>'Inputs by customer type'!N85</f>
        <v>100.24690465152386</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898</v>
      </c>
      <c r="G122" s="61"/>
      <c r="I122" t="s">
        <v>155</v>
      </c>
      <c r="AQ122" s="3"/>
    </row>
    <row r="123" spans="5:43" x14ac:dyDescent="0.25">
      <c r="E123" s="75"/>
      <c r="F123" s="116" t="s">
        <v>248</v>
      </c>
      <c r="G123" s="116" t="s">
        <v>208</v>
      </c>
      <c r="H123" s="95"/>
      <c r="I123" s="95"/>
      <c r="J123" s="117"/>
      <c r="K123" s="117"/>
      <c r="L123" s="171">
        <f>'Inputs by customer type'!L88</f>
        <v>19.461345814514374</v>
      </c>
      <c r="M123" s="117"/>
      <c r="N123" s="171">
        <f>'Inputs by customer type'!N88</f>
        <v>236.29618899806331</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249</v>
      </c>
      <c r="G124" s="118" t="s">
        <v>208</v>
      </c>
      <c r="J124" s="126"/>
      <c r="K124" s="126"/>
      <c r="L124" s="193">
        <f>'Inputs by customer type'!L89</f>
        <v>169.52238477196778</v>
      </c>
      <c r="M124" s="126"/>
      <c r="N124" s="193">
        <f>'Inputs by customer type'!N89</f>
        <v>1647.665928148374</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250</v>
      </c>
      <c r="G125" s="118" t="s">
        <v>208</v>
      </c>
      <c r="J125" s="126"/>
      <c r="K125" s="126"/>
      <c r="L125" s="193">
        <f>'Inputs by customer type'!L90</f>
        <v>125.96825494237993</v>
      </c>
      <c r="M125" s="126"/>
      <c r="N125" s="193">
        <f>'Inputs by customer type'!N90</f>
        <v>1250.6362636885997</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213</v>
      </c>
      <c r="G126" s="118" t="s">
        <v>213</v>
      </c>
      <c r="J126" s="126"/>
      <c r="K126" s="126"/>
      <c r="L126" s="193">
        <f>'Inputs by customer type'!L91</f>
        <v>57.82592472183228</v>
      </c>
      <c r="M126" s="126"/>
      <c r="N126" s="193">
        <f>'Inputs by customer type'!N91</f>
        <v>55.255883623084188</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251</v>
      </c>
      <c r="G127" s="118" t="s">
        <v>252</v>
      </c>
      <c r="J127" s="126"/>
      <c r="K127" s="126"/>
      <c r="L127" s="193">
        <f>'Inputs by customer type'!L92</f>
        <v>0</v>
      </c>
      <c r="M127" s="126"/>
      <c r="N127" s="193">
        <f>'Inputs by customer type'!N92</f>
        <v>6736.0777198187743</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253</v>
      </c>
      <c r="G128" s="118" t="s">
        <v>252</v>
      </c>
      <c r="J128" s="126"/>
      <c r="K128" s="126"/>
      <c r="L128" s="193">
        <f>'Inputs by customer type'!L93</f>
        <v>0</v>
      </c>
      <c r="M128" s="126"/>
      <c r="N128" s="193">
        <f>'Inputs by customer type'!N93</f>
        <v>6.2940381216252854</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254</v>
      </c>
      <c r="G129" s="120" t="s">
        <v>255</v>
      </c>
      <c r="H129" s="96"/>
      <c r="I129" s="96"/>
      <c r="J129" s="121"/>
      <c r="K129" s="121"/>
      <c r="L129" s="172">
        <f>'Inputs by customer type'!L94</f>
        <v>0</v>
      </c>
      <c r="M129" s="121"/>
      <c r="N129" s="172">
        <f>'Inputs by customer type'!N94</f>
        <v>396.92456096931852</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899</v>
      </c>
      <c r="G131" s="61"/>
      <c r="I131" t="s">
        <v>155</v>
      </c>
      <c r="AQ131" s="3"/>
    </row>
    <row r="132" spans="5:43" x14ac:dyDescent="0.25">
      <c r="E132" s="75"/>
      <c r="F132" s="116" t="s">
        <v>248</v>
      </c>
      <c r="G132" s="116" t="s">
        <v>208</v>
      </c>
      <c r="H132" s="95"/>
      <c r="I132" s="95"/>
      <c r="J132" s="117"/>
      <c r="K132" s="117"/>
      <c r="L132" s="171">
        <f>'Inputs by customer type'!L97</f>
        <v>35.556670499308211</v>
      </c>
      <c r="M132" s="117"/>
      <c r="N132" s="171">
        <f>'Inputs by customer type'!N97</f>
        <v>464.90920282181202</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249</v>
      </c>
      <c r="G133" s="118" t="s">
        <v>208</v>
      </c>
      <c r="J133" s="126"/>
      <c r="K133" s="126"/>
      <c r="L133" s="193">
        <f>'Inputs by customer type'!L98</f>
        <v>299.01499334835563</v>
      </c>
      <c r="M133" s="126"/>
      <c r="N133" s="193">
        <f>'Inputs by customer type'!N98</f>
        <v>3223.5102845475449</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250</v>
      </c>
      <c r="G134" s="118" t="s">
        <v>208</v>
      </c>
      <c r="J134" s="126"/>
      <c r="K134" s="126"/>
      <c r="L134" s="193">
        <f>'Inputs by customer type'!L99</f>
        <v>211.99680996545302</v>
      </c>
      <c r="M134" s="126"/>
      <c r="N134" s="193">
        <f>'Inputs by customer type'!N99</f>
        <v>1680.7995411231332</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213</v>
      </c>
      <c r="G135" s="118" t="s">
        <v>213</v>
      </c>
      <c r="J135" s="126"/>
      <c r="K135" s="126"/>
      <c r="L135" s="193">
        <f>'Inputs by customer type'!L100</f>
        <v>104.08666449929808</v>
      </c>
      <c r="M135" s="126"/>
      <c r="N135" s="193">
        <f>'Inputs by customer type'!N100</f>
        <v>73.24617131432089</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251</v>
      </c>
      <c r="G136" s="118" t="s">
        <v>252</v>
      </c>
      <c r="J136" s="126"/>
      <c r="K136" s="126"/>
      <c r="L136" s="193">
        <f>'Inputs by customer type'!L101</f>
        <v>0</v>
      </c>
      <c r="M136" s="126"/>
      <c r="N136" s="193">
        <f>'Inputs by customer type'!N101</f>
        <v>13099.499480319068</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253</v>
      </c>
      <c r="G137" s="118" t="s">
        <v>252</v>
      </c>
      <c r="J137" s="126"/>
      <c r="K137" s="126"/>
      <c r="L137" s="193">
        <f>'Inputs by customer type'!L102</f>
        <v>0</v>
      </c>
      <c r="M137" s="126"/>
      <c r="N137" s="193">
        <f>'Inputs by customer type'!N102</f>
        <v>77.88891118914691</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254</v>
      </c>
      <c r="G138" s="120" t="s">
        <v>255</v>
      </c>
      <c r="H138" s="96"/>
      <c r="I138" s="96"/>
      <c r="J138" s="121"/>
      <c r="K138" s="121"/>
      <c r="L138" s="172">
        <f>'Inputs by customer type'!L103</f>
        <v>0</v>
      </c>
      <c r="M138" s="121"/>
      <c r="N138" s="172">
        <f>'Inputs by customer type'!N103</f>
        <v>274.62998398677485</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900</v>
      </c>
      <c r="G140" s="61"/>
      <c r="I140" t="s">
        <v>155</v>
      </c>
      <c r="AQ140" s="3"/>
    </row>
    <row r="141" spans="5:43" x14ac:dyDescent="0.25">
      <c r="E141" s="75"/>
      <c r="F141" s="116" t="s">
        <v>248</v>
      </c>
      <c r="G141" s="116" t="s">
        <v>208</v>
      </c>
      <c r="H141" s="95"/>
      <c r="I141" s="95"/>
      <c r="J141" s="117"/>
      <c r="K141" s="117"/>
      <c r="L141" s="171">
        <f>'Inputs by customer type'!L106</f>
        <v>143.39996181803627</v>
      </c>
      <c r="M141" s="117"/>
      <c r="N141" s="171">
        <f>'Inputs by customer type'!N106</f>
        <v>307.42897457873391</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249</v>
      </c>
      <c r="G142" s="118" t="s">
        <v>208</v>
      </c>
      <c r="J142" s="126"/>
      <c r="K142" s="126"/>
      <c r="L142" s="193">
        <f>'Inputs by customer type'!L107</f>
        <v>1227.3135094812021</v>
      </c>
      <c r="M142" s="126"/>
      <c r="N142" s="193">
        <f>'Inputs by customer type'!N107</f>
        <v>2030.8747481892758</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250</v>
      </c>
      <c r="G143" s="118" t="s">
        <v>208</v>
      </c>
      <c r="J143" s="126"/>
      <c r="K143" s="126"/>
      <c r="L143" s="193">
        <f>'Inputs by customer type'!L108</f>
        <v>923.18584150417723</v>
      </c>
      <c r="M143" s="126"/>
      <c r="N143" s="193">
        <f>'Inputs by customer type'!N108</f>
        <v>1647.1769874933709</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213</v>
      </c>
      <c r="G144" s="118" t="s">
        <v>213</v>
      </c>
      <c r="J144" s="126"/>
      <c r="K144" s="126"/>
      <c r="L144" s="193">
        <f>'Inputs by customer type'!L109</f>
        <v>124.64699328928289</v>
      </c>
      <c r="M144" s="126"/>
      <c r="N144" s="193">
        <f>'Inputs by customer type'!N109</f>
        <v>14.135226043114551</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251</v>
      </c>
      <c r="G145" s="118" t="s">
        <v>252</v>
      </c>
      <c r="J145" s="126"/>
      <c r="K145" s="126"/>
      <c r="L145" s="193">
        <f>'Inputs by customer type'!L110</f>
        <v>0</v>
      </c>
      <c r="M145" s="126"/>
      <c r="N145" s="193">
        <f>'Inputs by customer type'!N110</f>
        <v>6065.2969930455183</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253</v>
      </c>
      <c r="G146" s="118" t="s">
        <v>252</v>
      </c>
      <c r="J146" s="126"/>
      <c r="K146" s="126"/>
      <c r="L146" s="193">
        <f>'Inputs by customer type'!L111</f>
        <v>0</v>
      </c>
      <c r="M146" s="126"/>
      <c r="N146" s="193">
        <f>'Inputs by customer type'!N111</f>
        <v>3.3056556766634309</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254</v>
      </c>
      <c r="G147" s="120" t="s">
        <v>255</v>
      </c>
      <c r="H147" s="96"/>
      <c r="I147" s="96"/>
      <c r="J147" s="121"/>
      <c r="K147" s="121"/>
      <c r="L147" s="172">
        <f>'Inputs by customer type'!L112</f>
        <v>0</v>
      </c>
      <c r="M147" s="121"/>
      <c r="N147" s="172">
        <f>'Inputs by customer type'!N112</f>
        <v>181.76915770842257</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910</v>
      </c>
      <c r="AQ149" s="3"/>
    </row>
    <row r="150" spans="3:43" x14ac:dyDescent="0.25">
      <c r="AQ150" s="3"/>
    </row>
    <row r="151" spans="3:43" x14ac:dyDescent="0.25">
      <c r="E151" s="75" t="s">
        <v>861</v>
      </c>
      <c r="G151" s="61"/>
      <c r="I151" t="s">
        <v>155</v>
      </c>
      <c r="AQ151" s="3"/>
    </row>
    <row r="152" spans="3:43" x14ac:dyDescent="0.25">
      <c r="E152" s="75"/>
      <c r="F152" s="116" t="s">
        <v>248</v>
      </c>
      <c r="G152" s="116" t="s">
        <v>208</v>
      </c>
      <c r="H152" s="95"/>
      <c r="I152" s="95"/>
      <c r="J152" s="117"/>
      <c r="K152" s="171">
        <f>'Inputs by customer type'!K117</f>
        <v>0</v>
      </c>
      <c r="L152" s="171">
        <f>'Inputs by customer type'!L117</f>
        <v>75.768036304895688</v>
      </c>
      <c r="M152" s="171">
        <f>'Inputs by customer type'!M117</f>
        <v>0</v>
      </c>
      <c r="N152" s="171">
        <f>'Inputs by customer type'!N117</f>
        <v>10.084379144733067</v>
      </c>
      <c r="O152" s="171">
        <f>'Inputs by customer type'!O117</f>
        <v>0</v>
      </c>
      <c r="P152" s="171">
        <f>'Inputs by customer type'!P117</f>
        <v>0</v>
      </c>
      <c r="Q152" s="117"/>
      <c r="R152" s="171">
        <f>'Inputs by customer type'!R117</f>
        <v>466.59485317295298</v>
      </c>
      <c r="S152" s="171">
        <f>'Inputs by customer type'!S117</f>
        <v>0</v>
      </c>
      <c r="T152" s="171">
        <f>'Inputs by customer type'!T117</f>
        <v>16.956105770532645</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249</v>
      </c>
      <c r="G153" s="118" t="s">
        <v>208</v>
      </c>
      <c r="J153" s="126"/>
      <c r="K153" s="193">
        <f>'Inputs by customer type'!K118</f>
        <v>0</v>
      </c>
      <c r="L153" s="193">
        <f>'Inputs by customer type'!L118</f>
        <v>653.24645200183147</v>
      </c>
      <c r="M153" s="193">
        <f>'Inputs by customer type'!M118</f>
        <v>0</v>
      </c>
      <c r="N153" s="193">
        <f>'Inputs by customer type'!N118</f>
        <v>93.992366960969548</v>
      </c>
      <c r="O153" s="193">
        <f>'Inputs by customer type'!O118</f>
        <v>0</v>
      </c>
      <c r="P153" s="193">
        <f>'Inputs by customer type'!P118</f>
        <v>0</v>
      </c>
      <c r="Q153" s="126"/>
      <c r="R153" s="193">
        <f>'Inputs by customer type'!R118</f>
        <v>4555.8514617856754</v>
      </c>
      <c r="S153" s="193">
        <f>'Inputs by customer type'!S118</f>
        <v>0</v>
      </c>
      <c r="T153" s="193">
        <f>'Inputs by customer type'!T118</f>
        <v>198.68381871026503</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250</v>
      </c>
      <c r="G154" s="118" t="s">
        <v>208</v>
      </c>
      <c r="J154" s="126"/>
      <c r="K154" s="193">
        <f>'Inputs by customer type'!K119</f>
        <v>0</v>
      </c>
      <c r="L154" s="193">
        <f>'Inputs by customer type'!L119</f>
        <v>481.63037708283349</v>
      </c>
      <c r="M154" s="193">
        <f>'Inputs by customer type'!M119</f>
        <v>0</v>
      </c>
      <c r="N154" s="193">
        <f>'Inputs by customer type'!N119</f>
        <v>62.79135917895487</v>
      </c>
      <c r="O154" s="193">
        <f>'Inputs by customer type'!O119</f>
        <v>0</v>
      </c>
      <c r="P154" s="193">
        <f>'Inputs by customer type'!P119</f>
        <v>0</v>
      </c>
      <c r="Q154" s="126"/>
      <c r="R154" s="193">
        <f>'Inputs by customer type'!R119</f>
        <v>1893.3826305946161</v>
      </c>
      <c r="S154" s="193">
        <f>'Inputs by customer type'!S119</f>
        <v>0</v>
      </c>
      <c r="T154" s="193">
        <f>'Inputs by customer type'!T119</f>
        <v>172.2190311826773</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213</v>
      </c>
      <c r="G155" s="118" t="s">
        <v>213</v>
      </c>
      <c r="J155" s="126"/>
      <c r="K155" s="193">
        <f>'Inputs by customer type'!K120</f>
        <v>0</v>
      </c>
      <c r="L155" s="193">
        <f>'Inputs by customer type'!L120</f>
        <v>160.62756867175628</v>
      </c>
      <c r="M155" s="193">
        <f>'Inputs by customer type'!M120</f>
        <v>0</v>
      </c>
      <c r="N155" s="193">
        <f>'Inputs by customer type'!N120</f>
        <v>3.855061648122152</v>
      </c>
      <c r="O155" s="193">
        <f>'Inputs by customer type'!O120</f>
        <v>0</v>
      </c>
      <c r="P155" s="193">
        <f>'Inputs by customer type'!P120</f>
        <v>0</v>
      </c>
      <c r="Q155" s="126"/>
      <c r="R155" s="193">
        <f>'Inputs by customer type'!R120</f>
        <v>0</v>
      </c>
      <c r="S155" s="193">
        <f>'Inputs by customer type'!S120</f>
        <v>0</v>
      </c>
      <c r="T155" s="193">
        <f>'Inputs by customer type'!T120</f>
        <v>8.9951438456183546</v>
      </c>
      <c r="U155" s="193">
        <f>'Inputs by customer type'!U120</f>
        <v>0</v>
      </c>
      <c r="V155" s="193">
        <f>'Inputs by customer type'!V120</f>
        <v>0</v>
      </c>
      <c r="W155" s="193">
        <f>'Inputs by customer type'!W120</f>
        <v>0</v>
      </c>
      <c r="X155" s="193">
        <f>'Inputs by customer type'!X120</f>
        <v>0</v>
      </c>
      <c r="Y155" s="193">
        <f>'Inputs by customer type'!Y120</f>
        <v>0</v>
      </c>
      <c r="AQ155" s="3"/>
    </row>
    <row r="156" spans="3:43" x14ac:dyDescent="0.25">
      <c r="E156" s="75"/>
      <c r="F156" s="118" t="s">
        <v>251</v>
      </c>
      <c r="G156" s="118" t="s">
        <v>252</v>
      </c>
      <c r="J156" s="126"/>
      <c r="K156" s="193">
        <f>'Inputs by customer type'!K121</f>
        <v>0</v>
      </c>
      <c r="L156" s="193">
        <f>'Inputs by customer type'!L121</f>
        <v>0</v>
      </c>
      <c r="M156" s="193">
        <f>'Inputs by customer type'!M121</f>
        <v>0</v>
      </c>
      <c r="N156" s="193">
        <f>'Inputs by customer type'!N121</f>
        <v>771.01232962443009</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253</v>
      </c>
      <c r="G157" s="118" t="s">
        <v>252</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254</v>
      </c>
      <c r="G158" s="120" t="s">
        <v>255</v>
      </c>
      <c r="H158" s="96"/>
      <c r="I158" s="96"/>
      <c r="J158" s="121"/>
      <c r="K158" s="172">
        <f>'Inputs by customer type'!K123</f>
        <v>0</v>
      </c>
      <c r="L158" s="172">
        <f>'Inputs by customer type'!L123</f>
        <v>0</v>
      </c>
      <c r="M158" s="172">
        <f>'Inputs by customer type'!M123</f>
        <v>0</v>
      </c>
      <c r="N158" s="172">
        <f>'Inputs by customer type'!N123</f>
        <v>0.86849550433873268</v>
      </c>
      <c r="O158" s="172">
        <f>'Inputs by customer type'!O123</f>
        <v>0</v>
      </c>
      <c r="P158" s="172">
        <f>'Inputs by customer type'!P123</f>
        <v>0</v>
      </c>
      <c r="Q158" s="121"/>
      <c r="R158" s="172">
        <f>'Inputs by customer type'!R123</f>
        <v>0</v>
      </c>
      <c r="S158" s="172">
        <f>'Inputs by customer type'!S123</f>
        <v>0</v>
      </c>
      <c r="T158" s="172">
        <f>'Inputs by customer type'!T123</f>
        <v>73.562570455005527</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901</v>
      </c>
      <c r="G160" s="61"/>
      <c r="I160" t="s">
        <v>155</v>
      </c>
      <c r="AQ160" s="3"/>
    </row>
    <row r="161" spans="5:43" x14ac:dyDescent="0.25">
      <c r="E161" s="75"/>
      <c r="F161" s="116" t="s">
        <v>248</v>
      </c>
      <c r="G161" s="116" t="s">
        <v>208</v>
      </c>
      <c r="H161" s="95"/>
      <c r="I161" s="95"/>
      <c r="J161" s="171">
        <f>'Inputs by customer type'!J126</f>
        <v>15806.920141223518</v>
      </c>
      <c r="K161" s="117"/>
      <c r="L161" s="171">
        <f>'Inputs by customer type'!L126</f>
        <v>221.0976401507119</v>
      </c>
      <c r="M161" s="117"/>
      <c r="N161" s="171">
        <f>'Inputs by customer type'!N126</f>
        <v>532.64400981853669</v>
      </c>
      <c r="O161" s="171">
        <f>'Inputs by customer type'!O126</f>
        <v>0</v>
      </c>
      <c r="P161" s="171">
        <f>'Inputs by customer type'!P126</f>
        <v>11.828275515198653</v>
      </c>
      <c r="Q161" s="171">
        <f>'Inputs by customer type'!Q126</f>
        <v>17.838169837481313</v>
      </c>
      <c r="R161" s="117"/>
      <c r="S161" s="117"/>
      <c r="T161" s="117"/>
      <c r="U161" s="117"/>
      <c r="V161" s="117"/>
      <c r="W161" s="117"/>
      <c r="X161" s="117"/>
      <c r="Y161" s="117"/>
      <c r="AQ161" s="3"/>
    </row>
    <row r="162" spans="5:43" x14ac:dyDescent="0.25">
      <c r="E162" s="75"/>
      <c r="F162" s="118" t="s">
        <v>249</v>
      </c>
      <c r="G162" s="118" t="s">
        <v>208</v>
      </c>
      <c r="J162" s="193">
        <f>'Inputs by customer type'!J127</f>
        <v>83250.91527779217</v>
      </c>
      <c r="K162" s="126"/>
      <c r="L162" s="193">
        <f>'Inputs by customer type'!L127</f>
        <v>1901.0212966281558</v>
      </c>
      <c r="M162" s="126"/>
      <c r="N162" s="193">
        <f>'Inputs by customer type'!N127</f>
        <v>3483.359170686716</v>
      </c>
      <c r="O162" s="193">
        <f>'Inputs by customer type'!O127</f>
        <v>0</v>
      </c>
      <c r="P162" s="193">
        <f>'Inputs by customer type'!P127</f>
        <v>166.55630998747046</v>
      </c>
      <c r="Q162" s="193">
        <f>'Inputs by customer type'!Q127</f>
        <v>150.1520020333262</v>
      </c>
      <c r="R162" s="126"/>
      <c r="S162" s="126"/>
      <c r="T162" s="126"/>
      <c r="U162" s="126"/>
      <c r="V162" s="126"/>
      <c r="W162" s="126"/>
      <c r="X162" s="126"/>
      <c r="Y162" s="126"/>
      <c r="AQ162" s="3"/>
    </row>
    <row r="163" spans="5:43" x14ac:dyDescent="0.25">
      <c r="E163" s="75"/>
      <c r="F163" s="118" t="s">
        <v>250</v>
      </c>
      <c r="G163" s="118" t="s">
        <v>208</v>
      </c>
      <c r="J163" s="193">
        <f>'Inputs by customer type'!J128</f>
        <v>89567.546196383468</v>
      </c>
      <c r="K163" s="126"/>
      <c r="L163" s="193">
        <f>'Inputs by customer type'!L128</f>
        <v>1409.8522684173629</v>
      </c>
      <c r="M163" s="126"/>
      <c r="N163" s="193">
        <f>'Inputs by customer type'!N128</f>
        <v>2903.7375446647802</v>
      </c>
      <c r="O163" s="193">
        <f>'Inputs by customer type'!O128</f>
        <v>0</v>
      </c>
      <c r="P163" s="193">
        <f>'Inputs by customer type'!P128</f>
        <v>96.007810459098337</v>
      </c>
      <c r="Q163" s="193">
        <f>'Inputs by customer type'!Q128</f>
        <v>552.57196150196364</v>
      </c>
      <c r="R163" s="126"/>
      <c r="S163" s="126"/>
      <c r="T163" s="126"/>
      <c r="U163" s="126"/>
      <c r="V163" s="126"/>
      <c r="W163" s="126"/>
      <c r="X163" s="126"/>
      <c r="Y163" s="126"/>
      <c r="AQ163" s="3"/>
    </row>
    <row r="164" spans="5:43" x14ac:dyDescent="0.25">
      <c r="E164" s="75"/>
      <c r="F164" s="118" t="s">
        <v>213</v>
      </c>
      <c r="G164" s="118" t="s">
        <v>213</v>
      </c>
      <c r="J164" s="193">
        <f>'Inputs by customer type'!J129</f>
        <v>69257.467529063841</v>
      </c>
      <c r="K164" s="126"/>
      <c r="L164" s="193">
        <f>'Inputs by customer type'!L129</f>
        <v>619.37990479829216</v>
      </c>
      <c r="M164" s="126"/>
      <c r="N164" s="193">
        <f>'Inputs by customer type'!N129</f>
        <v>75.816212413068953</v>
      </c>
      <c r="O164" s="193">
        <f>'Inputs by customer type'!O129</f>
        <v>0</v>
      </c>
      <c r="P164" s="193">
        <f>'Inputs by customer type'!P129</f>
        <v>1.2850205493740503</v>
      </c>
      <c r="Q164" s="193">
        <f>'Inputs by customer type'!Q129</f>
        <v>221.02353449233675</v>
      </c>
      <c r="R164" s="126"/>
      <c r="S164" s="126"/>
      <c r="T164" s="126"/>
      <c r="U164" s="126"/>
      <c r="V164" s="126"/>
      <c r="W164" s="126"/>
      <c r="X164" s="126"/>
      <c r="Y164" s="126"/>
      <c r="AQ164" s="3"/>
    </row>
    <row r="165" spans="5:43" x14ac:dyDescent="0.25">
      <c r="E165" s="75"/>
      <c r="F165" s="118" t="s">
        <v>251</v>
      </c>
      <c r="G165" s="118" t="s">
        <v>252</v>
      </c>
      <c r="J165" s="193">
        <f>'Inputs by customer type'!J130</f>
        <v>0</v>
      </c>
      <c r="K165" s="126"/>
      <c r="L165" s="193">
        <f>'Inputs by customer type'!L130</f>
        <v>0</v>
      </c>
      <c r="M165" s="126"/>
      <c r="N165" s="193">
        <f>'Inputs by customer type'!N130</f>
        <v>4433.3208953404746</v>
      </c>
      <c r="O165" s="193">
        <f>'Inputs by customer type'!O130</f>
        <v>0</v>
      </c>
      <c r="P165" s="193">
        <f>'Inputs by customer type'!P130</f>
        <v>514.00821974962003</v>
      </c>
      <c r="Q165" s="193">
        <f>'Inputs by customer type'!Q130</f>
        <v>0</v>
      </c>
      <c r="R165" s="126"/>
      <c r="S165" s="126"/>
      <c r="T165" s="126"/>
      <c r="U165" s="126"/>
      <c r="V165" s="126"/>
      <c r="W165" s="126"/>
      <c r="X165" s="126"/>
      <c r="Y165" s="126"/>
      <c r="AQ165" s="3"/>
    </row>
    <row r="166" spans="5:43" x14ac:dyDescent="0.25">
      <c r="E166" s="75"/>
      <c r="F166" s="118" t="s">
        <v>253</v>
      </c>
      <c r="G166" s="118" t="s">
        <v>252</v>
      </c>
      <c r="J166" s="193">
        <f>'Inputs by customer type'!J131</f>
        <v>0</v>
      </c>
      <c r="K166" s="126"/>
      <c r="L166" s="193">
        <f>'Inputs by customer type'!L131</f>
        <v>0</v>
      </c>
      <c r="M166" s="126"/>
      <c r="N166" s="193">
        <f>'Inputs by customer type'!N131</f>
        <v>118.50988828457238</v>
      </c>
      <c r="O166" s="193">
        <f>'Inputs by customer type'!O131</f>
        <v>0</v>
      </c>
      <c r="P166" s="193">
        <f>'Inputs by customer type'!P131</f>
        <v>0</v>
      </c>
      <c r="Q166" s="193">
        <f>'Inputs by customer type'!Q131</f>
        <v>0</v>
      </c>
      <c r="R166" s="126"/>
      <c r="S166" s="126"/>
      <c r="T166" s="126"/>
      <c r="U166" s="126"/>
      <c r="V166" s="126"/>
      <c r="W166" s="126"/>
      <c r="X166" s="126"/>
      <c r="Y166" s="126"/>
      <c r="AQ166" s="3"/>
    </row>
    <row r="167" spans="5:43" x14ac:dyDescent="0.25">
      <c r="E167" s="75"/>
      <c r="F167" s="120" t="s">
        <v>254</v>
      </c>
      <c r="G167" s="120" t="s">
        <v>255</v>
      </c>
      <c r="H167" s="96"/>
      <c r="I167" s="96"/>
      <c r="J167" s="172">
        <f>'Inputs by customer type'!J132</f>
        <v>0</v>
      </c>
      <c r="K167" s="121"/>
      <c r="L167" s="172">
        <f>'Inputs by customer type'!L132</f>
        <v>0</v>
      </c>
      <c r="M167" s="121"/>
      <c r="N167" s="172">
        <f>'Inputs by customer type'!N132</f>
        <v>376.24068549320873</v>
      </c>
      <c r="O167" s="172">
        <f>'Inputs by customer type'!O132</f>
        <v>0</v>
      </c>
      <c r="P167" s="172">
        <f>'Inputs by customer type'!P132</f>
        <v>64.975262718999474</v>
      </c>
      <c r="Q167" s="172">
        <f>'Inputs by customer type'!Q132</f>
        <v>0</v>
      </c>
      <c r="R167" s="121"/>
      <c r="S167" s="121"/>
      <c r="T167" s="121"/>
      <c r="U167" s="121"/>
      <c r="V167" s="121"/>
      <c r="W167" s="121"/>
      <c r="X167" s="121"/>
      <c r="Y167" s="121"/>
      <c r="AQ167" s="3"/>
    </row>
    <row r="168" spans="5:43" x14ac:dyDescent="0.25">
      <c r="AQ168" s="3"/>
    </row>
    <row r="169" spans="5:43" x14ac:dyDescent="0.25">
      <c r="E169" s="75" t="s">
        <v>902</v>
      </c>
      <c r="G169" s="61"/>
      <c r="I169" t="s">
        <v>155</v>
      </c>
      <c r="AQ169" s="3"/>
    </row>
    <row r="170" spans="5:43" x14ac:dyDescent="0.25">
      <c r="E170" s="75"/>
      <c r="F170" s="116" t="s">
        <v>248</v>
      </c>
      <c r="G170" s="116" t="s">
        <v>208</v>
      </c>
      <c r="H170" s="95"/>
      <c r="I170" s="95"/>
      <c r="J170" s="117"/>
      <c r="K170" s="117"/>
      <c r="L170" s="171">
        <f>'Inputs by customer type'!L135</f>
        <v>228.87620453840037</v>
      </c>
      <c r="M170" s="117"/>
      <c r="N170" s="171">
        <f>'Inputs by customer type'!N135</f>
        <v>1286.2864693358279</v>
      </c>
      <c r="O170" s="171">
        <f>'Inputs by customer type'!O135</f>
        <v>0.8830231608691691</v>
      </c>
      <c r="P170" s="171">
        <f>'Inputs by customer type'!P135</f>
        <v>226.46388569430451</v>
      </c>
      <c r="Q170" s="117"/>
      <c r="R170" s="117"/>
      <c r="S170" s="117"/>
      <c r="T170" s="117"/>
      <c r="U170" s="117"/>
      <c r="V170" s="117"/>
      <c r="W170" s="117"/>
      <c r="X170" s="117"/>
      <c r="Y170" s="117"/>
      <c r="AQ170" s="3"/>
    </row>
    <row r="171" spans="5:43" x14ac:dyDescent="0.25">
      <c r="E171" s="75"/>
      <c r="F171" s="118" t="s">
        <v>249</v>
      </c>
      <c r="G171" s="118" t="s">
        <v>208</v>
      </c>
      <c r="J171" s="126"/>
      <c r="K171" s="126"/>
      <c r="L171" s="193">
        <f>'Inputs by customer type'!L136</f>
        <v>1970.8267774722444</v>
      </c>
      <c r="M171" s="126"/>
      <c r="N171" s="193">
        <f>'Inputs by customer type'!N136</f>
        <v>8702.9493116590893</v>
      </c>
      <c r="O171" s="193">
        <f>'Inputs by customer type'!O136</f>
        <v>5.4076114840573819</v>
      </c>
      <c r="P171" s="193">
        <f>'Inputs by customer type'!P136</f>
        <v>1781.3035416643515</v>
      </c>
      <c r="Q171" s="126"/>
      <c r="R171" s="126"/>
      <c r="S171" s="126"/>
      <c r="T171" s="126"/>
      <c r="U171" s="126"/>
      <c r="V171" s="126"/>
      <c r="W171" s="126"/>
      <c r="X171" s="126"/>
      <c r="Y171" s="126"/>
      <c r="AQ171" s="3"/>
    </row>
    <row r="172" spans="5:43" x14ac:dyDescent="0.25">
      <c r="E172" s="75"/>
      <c r="F172" s="118" t="s">
        <v>250</v>
      </c>
      <c r="G172" s="118" t="s">
        <v>208</v>
      </c>
      <c r="J172" s="126"/>
      <c r="K172" s="126"/>
      <c r="L172" s="193">
        <f>'Inputs by customer type'!L137</f>
        <v>1492.1571074392637</v>
      </c>
      <c r="M172" s="126"/>
      <c r="N172" s="193">
        <f>'Inputs by customer type'!N137</f>
        <v>7784.0752282234153</v>
      </c>
      <c r="O172" s="193">
        <f>'Inputs by customer type'!O137</f>
        <v>7.3729827779716315</v>
      </c>
      <c r="P172" s="193">
        <f>'Inputs by customer type'!P137</f>
        <v>1453.741530529981</v>
      </c>
      <c r="Q172" s="126"/>
      <c r="R172" s="126"/>
      <c r="S172" s="126"/>
      <c r="T172" s="126"/>
      <c r="U172" s="126"/>
      <c r="V172" s="126"/>
      <c r="W172" s="126"/>
      <c r="X172" s="126"/>
      <c r="Y172" s="126"/>
      <c r="AQ172" s="3"/>
    </row>
    <row r="173" spans="5:43" x14ac:dyDescent="0.25">
      <c r="E173" s="75"/>
      <c r="F173" s="118" t="s">
        <v>213</v>
      </c>
      <c r="G173" s="118" t="s">
        <v>213</v>
      </c>
      <c r="J173" s="126"/>
      <c r="K173" s="126"/>
      <c r="L173" s="193">
        <f>'Inputs by customer type'!L138</f>
        <v>424.05678129343676</v>
      </c>
      <c r="M173" s="126"/>
      <c r="N173" s="193">
        <f>'Inputs by customer type'!N138</f>
        <v>161.91258922113036</v>
      </c>
      <c r="O173" s="193">
        <f>'Inputs by customer type'!O138</f>
        <v>1.2850205493740503</v>
      </c>
      <c r="P173" s="193">
        <f>'Inputs by customer type'!P138</f>
        <v>3.855061648122152</v>
      </c>
      <c r="Q173" s="126"/>
      <c r="R173" s="126"/>
      <c r="S173" s="126"/>
      <c r="T173" s="126"/>
      <c r="U173" s="126"/>
      <c r="V173" s="126"/>
      <c r="W173" s="126"/>
      <c r="X173" s="126"/>
      <c r="Y173" s="126"/>
      <c r="AQ173" s="3"/>
    </row>
    <row r="174" spans="5:43" x14ac:dyDescent="0.25">
      <c r="E174" s="75"/>
      <c r="F174" s="118" t="s">
        <v>251</v>
      </c>
      <c r="G174" s="118" t="s">
        <v>252</v>
      </c>
      <c r="J174" s="126"/>
      <c r="K174" s="126"/>
      <c r="L174" s="193">
        <f>'Inputs by customer type'!L139</f>
        <v>0</v>
      </c>
      <c r="M174" s="126"/>
      <c r="N174" s="193">
        <f>'Inputs by customer type'!N139</f>
        <v>19281.733343357624</v>
      </c>
      <c r="O174" s="193">
        <f>'Inputs by customer type'!O139</f>
        <v>178.61785636299294</v>
      </c>
      <c r="P174" s="193">
        <f>'Inputs by customer type'!P139</f>
        <v>3084.0493184977204</v>
      </c>
      <c r="Q174" s="126"/>
      <c r="R174" s="126"/>
      <c r="S174" s="126"/>
      <c r="T174" s="126"/>
      <c r="U174" s="126"/>
      <c r="V174" s="126"/>
      <c r="W174" s="126"/>
      <c r="X174" s="126"/>
      <c r="Y174" s="126"/>
      <c r="AQ174" s="3"/>
    </row>
    <row r="175" spans="5:43" x14ac:dyDescent="0.25">
      <c r="E175" s="75"/>
      <c r="F175" s="118" t="s">
        <v>253</v>
      </c>
      <c r="G175" s="118" t="s">
        <v>252</v>
      </c>
      <c r="J175" s="126"/>
      <c r="K175" s="126"/>
      <c r="L175" s="193">
        <f>'Inputs by customer type'!L140</f>
        <v>0</v>
      </c>
      <c r="M175" s="126"/>
      <c r="N175" s="193">
        <f>'Inputs by customer type'!N140</f>
        <v>266.02412611386438</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254</v>
      </c>
      <c r="G176" s="120" t="s">
        <v>255</v>
      </c>
      <c r="H176" s="96"/>
      <c r="I176" s="96"/>
      <c r="J176" s="121"/>
      <c r="K176" s="121"/>
      <c r="L176" s="172">
        <f>'Inputs by customer type'!L141</f>
        <v>0</v>
      </c>
      <c r="M176" s="121"/>
      <c r="N176" s="172">
        <f>'Inputs by customer type'!N141</f>
        <v>1699.0366761264336</v>
      </c>
      <c r="O176" s="172">
        <f>'Inputs by customer type'!O141</f>
        <v>0</v>
      </c>
      <c r="P176" s="172">
        <f>'Inputs by customer type'!P141</f>
        <v>3.2211396759161994</v>
      </c>
      <c r="Q176" s="121"/>
      <c r="R176" s="121"/>
      <c r="S176" s="121"/>
      <c r="T176" s="121"/>
      <c r="U176" s="121"/>
      <c r="V176" s="121"/>
      <c r="W176" s="121"/>
      <c r="X176" s="121"/>
      <c r="Y176" s="121"/>
      <c r="AQ176" s="3"/>
    </row>
    <row r="177" spans="5:43" x14ac:dyDescent="0.25">
      <c r="AQ177" s="3"/>
    </row>
    <row r="178" spans="5:43" x14ac:dyDescent="0.25">
      <c r="E178" s="75" t="s">
        <v>903</v>
      </c>
      <c r="G178" s="61"/>
      <c r="I178" t="s">
        <v>155</v>
      </c>
      <c r="AQ178" s="3"/>
    </row>
    <row r="179" spans="5:43" x14ac:dyDescent="0.25">
      <c r="E179" s="75"/>
      <c r="F179" s="116" t="s">
        <v>248</v>
      </c>
      <c r="G179" s="116" t="s">
        <v>208</v>
      </c>
      <c r="H179" s="95"/>
      <c r="I179" s="95"/>
      <c r="J179" s="117"/>
      <c r="K179" s="117"/>
      <c r="L179" s="171">
        <f>'Inputs by customer type'!L144</f>
        <v>211.18781617334031</v>
      </c>
      <c r="M179" s="117"/>
      <c r="N179" s="171">
        <f>'Inputs by customer type'!N144</f>
        <v>971.62832438512078</v>
      </c>
      <c r="O179" s="171">
        <f>'Inputs by customer type'!O144</f>
        <v>53.419328036461323</v>
      </c>
      <c r="P179" s="171">
        <f>'Inputs by customer type'!P144</f>
        <v>739.51424869484208</v>
      </c>
      <c r="Q179" s="117"/>
      <c r="R179" s="117"/>
      <c r="S179" s="117"/>
      <c r="T179" s="117"/>
      <c r="U179" s="117"/>
      <c r="V179" s="117"/>
      <c r="W179" s="117"/>
      <c r="X179" s="117"/>
      <c r="Y179" s="117"/>
      <c r="AQ179" s="3"/>
    </row>
    <row r="180" spans="5:43" x14ac:dyDescent="0.25">
      <c r="E180" s="75"/>
      <c r="F180" s="118" t="s">
        <v>249</v>
      </c>
      <c r="G180" s="118" t="s">
        <v>208</v>
      </c>
      <c r="J180" s="126"/>
      <c r="K180" s="126"/>
      <c r="L180" s="193">
        <f>'Inputs by customer type'!L145</f>
        <v>1794.493530306318</v>
      </c>
      <c r="M180" s="126"/>
      <c r="N180" s="193">
        <f>'Inputs by customer type'!N145</f>
        <v>6365.3850643034702</v>
      </c>
      <c r="O180" s="193">
        <f>'Inputs by customer type'!O145</f>
        <v>295.8439627411588</v>
      </c>
      <c r="P180" s="193">
        <f>'Inputs by customer type'!P145</f>
        <v>4793.6805561843385</v>
      </c>
      <c r="Q180" s="126"/>
      <c r="R180" s="126"/>
      <c r="S180" s="126"/>
      <c r="T180" s="126"/>
      <c r="U180" s="126"/>
      <c r="V180" s="126"/>
      <c r="W180" s="126"/>
      <c r="X180" s="126"/>
      <c r="Y180" s="126"/>
      <c r="AQ180" s="3"/>
    </row>
    <row r="181" spans="5:43" x14ac:dyDescent="0.25">
      <c r="E181" s="75"/>
      <c r="F181" s="118" t="s">
        <v>250</v>
      </c>
      <c r="G181" s="118" t="s">
        <v>208</v>
      </c>
      <c r="J181" s="126"/>
      <c r="K181" s="126"/>
      <c r="L181" s="193">
        <f>'Inputs by customer type'!L146</f>
        <v>1367.7193567680827</v>
      </c>
      <c r="M181" s="126"/>
      <c r="N181" s="193">
        <f>'Inputs by customer type'!N146</f>
        <v>5901.6457531921151</v>
      </c>
      <c r="O181" s="193">
        <f>'Inputs by customer type'!O146</f>
        <v>364.48874257329459</v>
      </c>
      <c r="P181" s="193">
        <f>'Inputs by customer type'!P146</f>
        <v>5684.4425387956808</v>
      </c>
      <c r="Q181" s="126"/>
      <c r="R181" s="126"/>
      <c r="S181" s="126"/>
      <c r="T181" s="126"/>
      <c r="U181" s="126"/>
      <c r="V181" s="126"/>
      <c r="W181" s="126"/>
      <c r="X181" s="126"/>
      <c r="Y181" s="126"/>
      <c r="AQ181" s="3"/>
    </row>
    <row r="182" spans="5:43" x14ac:dyDescent="0.25">
      <c r="E182" s="75"/>
      <c r="F182" s="118" t="s">
        <v>213</v>
      </c>
      <c r="G182" s="118" t="s">
        <v>213</v>
      </c>
      <c r="J182" s="126"/>
      <c r="K182" s="126"/>
      <c r="L182" s="193">
        <f>'Inputs by customer type'!L147</f>
        <v>276.27941811542075</v>
      </c>
      <c r="M182" s="126"/>
      <c r="N182" s="193">
        <f>'Inputs by customer type'!N147</f>
        <v>80.95629461056518</v>
      </c>
      <c r="O182" s="193">
        <f>'Inputs by customer type'!O147</f>
        <v>1.2850205493740503</v>
      </c>
      <c r="P182" s="193">
        <f>'Inputs by customer type'!P147</f>
        <v>3.855061648122152</v>
      </c>
      <c r="Q182" s="126"/>
      <c r="R182" s="126"/>
      <c r="S182" s="126"/>
      <c r="T182" s="126"/>
      <c r="U182" s="126"/>
      <c r="V182" s="126"/>
      <c r="W182" s="126"/>
      <c r="X182" s="126"/>
      <c r="Y182" s="126"/>
      <c r="AQ182" s="3"/>
    </row>
    <row r="183" spans="5:43" x14ac:dyDescent="0.25">
      <c r="E183" s="75"/>
      <c r="F183" s="118" t="s">
        <v>251</v>
      </c>
      <c r="G183" s="118" t="s">
        <v>252</v>
      </c>
      <c r="J183" s="126"/>
      <c r="K183" s="126"/>
      <c r="L183" s="193">
        <f>'Inputs by customer type'!L148</f>
        <v>0</v>
      </c>
      <c r="M183" s="126"/>
      <c r="N183" s="193">
        <f>'Inputs by customer type'!N148</f>
        <v>15386.836058204879</v>
      </c>
      <c r="O183" s="193">
        <f>'Inputs by customer type'!O148</f>
        <v>263.42921262168034</v>
      </c>
      <c r="P183" s="193">
        <f>'Inputs by customer type'!P148</f>
        <v>5140.0821974962009</v>
      </c>
      <c r="Q183" s="126"/>
      <c r="R183" s="126"/>
      <c r="S183" s="126"/>
      <c r="T183" s="126"/>
      <c r="U183" s="126"/>
      <c r="V183" s="126"/>
      <c r="W183" s="126"/>
      <c r="X183" s="126"/>
      <c r="Y183" s="126"/>
      <c r="AQ183" s="3"/>
    </row>
    <row r="184" spans="5:43" x14ac:dyDescent="0.25">
      <c r="E184" s="75"/>
      <c r="F184" s="118" t="s">
        <v>253</v>
      </c>
      <c r="G184" s="118" t="s">
        <v>252</v>
      </c>
      <c r="J184" s="126"/>
      <c r="K184" s="126"/>
      <c r="L184" s="193">
        <f>'Inputs by customer type'!L149</f>
        <v>0</v>
      </c>
      <c r="M184" s="126"/>
      <c r="N184" s="193">
        <f>'Inputs by customer type'!N149</f>
        <v>36.165026071836628</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254</v>
      </c>
      <c r="G185" s="120" t="s">
        <v>255</v>
      </c>
      <c r="H185" s="96"/>
      <c r="I185" s="96"/>
      <c r="J185" s="121"/>
      <c r="K185" s="121"/>
      <c r="L185" s="172">
        <f>'Inputs by customer type'!L150</f>
        <v>0</v>
      </c>
      <c r="M185" s="121"/>
      <c r="N185" s="172">
        <f>'Inputs by customer type'!N150</f>
        <v>941.16471442770035</v>
      </c>
      <c r="O185" s="172">
        <f>'Inputs by customer type'!O150</f>
        <v>1.126330782834281</v>
      </c>
      <c r="P185" s="172">
        <f>'Inputs by customer type'!P150</f>
        <v>317.24923875012496</v>
      </c>
      <c r="Q185" s="121"/>
      <c r="R185" s="121"/>
      <c r="S185" s="121"/>
      <c r="T185" s="121"/>
      <c r="U185" s="121"/>
      <c r="V185" s="121"/>
      <c r="W185" s="121"/>
      <c r="X185" s="121"/>
      <c r="Y185" s="121"/>
      <c r="AQ185" s="3"/>
    </row>
    <row r="186" spans="5:43" x14ac:dyDescent="0.25">
      <c r="AQ186" s="3"/>
    </row>
    <row r="187" spans="5:43" x14ac:dyDescent="0.25">
      <c r="E187" s="75" t="s">
        <v>904</v>
      </c>
      <c r="G187" s="61"/>
      <c r="I187" t="s">
        <v>155</v>
      </c>
      <c r="AQ187" s="3"/>
    </row>
    <row r="188" spans="5:43" x14ac:dyDescent="0.25">
      <c r="E188" s="75"/>
      <c r="F188" s="116" t="s">
        <v>248</v>
      </c>
      <c r="G188" s="116" t="s">
        <v>208</v>
      </c>
      <c r="H188" s="95"/>
      <c r="I188" s="95"/>
      <c r="J188" s="117"/>
      <c r="K188" s="117"/>
      <c r="L188" s="171">
        <f>'Inputs by customer type'!L153</f>
        <v>544.94308149188896</v>
      </c>
      <c r="M188" s="117"/>
      <c r="N188" s="171">
        <f>'Inputs by customer type'!N153</f>
        <v>5760.9095884408171</v>
      </c>
      <c r="O188" s="171">
        <f>'Inputs by customer type'!O153</f>
        <v>2288.9188811631361</v>
      </c>
      <c r="P188" s="171">
        <f>'Inputs by customer type'!P153</f>
        <v>0.73132909303466487</v>
      </c>
      <c r="Q188" s="117"/>
      <c r="R188" s="117"/>
      <c r="S188" s="117"/>
      <c r="T188" s="117"/>
      <c r="U188" s="117"/>
      <c r="V188" s="117"/>
      <c r="W188" s="117"/>
      <c r="X188" s="117"/>
      <c r="Y188" s="117"/>
      <c r="AQ188" s="3"/>
    </row>
    <row r="189" spans="5:43" x14ac:dyDescent="0.25">
      <c r="E189" s="75"/>
      <c r="F189" s="118" t="s">
        <v>249</v>
      </c>
      <c r="G189" s="118" t="s">
        <v>208</v>
      </c>
      <c r="J189" s="126"/>
      <c r="K189" s="126"/>
      <c r="L189" s="193">
        <f>'Inputs by customer type'!L154</f>
        <v>4377.9946186267316</v>
      </c>
      <c r="M189" s="126"/>
      <c r="N189" s="193">
        <f>'Inputs by customer type'!N154</f>
        <v>38596.969333671732</v>
      </c>
      <c r="O189" s="193">
        <f>'Inputs by customer type'!O154</f>
        <v>15542.229328048776</v>
      </c>
      <c r="P189" s="193">
        <f>'Inputs by customer type'!P154</f>
        <v>8.5644551414816128</v>
      </c>
      <c r="Q189" s="126"/>
      <c r="R189" s="126"/>
      <c r="S189" s="126"/>
      <c r="T189" s="126"/>
      <c r="U189" s="126"/>
      <c r="V189" s="126"/>
      <c r="W189" s="126"/>
      <c r="X189" s="126"/>
      <c r="Y189" s="126"/>
      <c r="AQ189" s="3"/>
    </row>
    <row r="190" spans="5:43" x14ac:dyDescent="0.25">
      <c r="E190" s="75"/>
      <c r="F190" s="118" t="s">
        <v>250</v>
      </c>
      <c r="G190" s="118" t="s">
        <v>208</v>
      </c>
      <c r="J190" s="126"/>
      <c r="K190" s="126"/>
      <c r="L190" s="193">
        <f>'Inputs by customer type'!L155</f>
        <v>3364.6279003146424</v>
      </c>
      <c r="M190" s="126"/>
      <c r="N190" s="193">
        <f>'Inputs by customer type'!N155</f>
        <v>35831.326004892202</v>
      </c>
      <c r="O190" s="193">
        <f>'Inputs by customer type'!O155</f>
        <v>11599.322989608727</v>
      </c>
      <c r="P190" s="193">
        <f>'Inputs by customer type'!P155</f>
        <v>16.782925492097885</v>
      </c>
      <c r="Q190" s="126"/>
      <c r="R190" s="126"/>
      <c r="S190" s="126"/>
      <c r="T190" s="126"/>
      <c r="U190" s="126"/>
      <c r="V190" s="126"/>
      <c r="W190" s="126"/>
      <c r="X190" s="126"/>
      <c r="Y190" s="126"/>
      <c r="AQ190" s="3"/>
    </row>
    <row r="191" spans="5:43" x14ac:dyDescent="0.25">
      <c r="E191" s="75"/>
      <c r="F191" s="118" t="s">
        <v>213</v>
      </c>
      <c r="G191" s="118" t="s">
        <v>213</v>
      </c>
      <c r="J191" s="126"/>
      <c r="K191" s="126"/>
      <c r="L191" s="193">
        <f>'Inputs by customer type'!L156</f>
        <v>215.88345229484048</v>
      </c>
      <c r="M191" s="126"/>
      <c r="N191" s="193">
        <f>'Inputs by customer type'!N156</f>
        <v>185.04295910986326</v>
      </c>
      <c r="O191" s="193">
        <f>'Inputs by customer type'!O156</f>
        <v>37.265595931847471</v>
      </c>
      <c r="P191" s="193">
        <f>'Inputs by customer type'!P156</f>
        <v>5.1400821974962012</v>
      </c>
      <c r="Q191" s="126"/>
      <c r="R191" s="126"/>
      <c r="S191" s="126"/>
      <c r="T191" s="126"/>
      <c r="U191" s="126"/>
      <c r="V191" s="126"/>
      <c r="W191" s="126"/>
      <c r="X191" s="126"/>
      <c r="Y191" s="126"/>
      <c r="AQ191" s="3"/>
    </row>
    <row r="192" spans="5:43" x14ac:dyDescent="0.25">
      <c r="E192" s="75"/>
      <c r="F192" s="118" t="s">
        <v>251</v>
      </c>
      <c r="G192" s="118" t="s">
        <v>252</v>
      </c>
      <c r="J192" s="126"/>
      <c r="K192" s="126"/>
      <c r="L192" s="193">
        <f>'Inputs by customer type'!L157</f>
        <v>0</v>
      </c>
      <c r="M192" s="126"/>
      <c r="N192" s="193">
        <f>'Inputs by customer type'!N157</f>
        <v>124401.55436435241</v>
      </c>
      <c r="O192" s="193">
        <f>'Inputs by customer type'!O157</f>
        <v>32670.362447285857</v>
      </c>
      <c r="P192" s="193">
        <f>'Inputs by customer type'!P157</f>
        <v>15227.493510082499</v>
      </c>
      <c r="Q192" s="126"/>
      <c r="R192" s="126"/>
      <c r="S192" s="126"/>
      <c r="T192" s="126"/>
      <c r="U192" s="126"/>
      <c r="V192" s="126"/>
      <c r="W192" s="126"/>
      <c r="X192" s="126"/>
      <c r="Y192" s="126"/>
      <c r="AQ192" s="3"/>
    </row>
    <row r="193" spans="4:43" x14ac:dyDescent="0.25">
      <c r="E193" s="75"/>
      <c r="F193" s="118" t="s">
        <v>253</v>
      </c>
      <c r="G193" s="118" t="s">
        <v>252</v>
      </c>
      <c r="J193" s="126"/>
      <c r="K193" s="126"/>
      <c r="L193" s="193">
        <f>'Inputs by customer type'!L158</f>
        <v>0</v>
      </c>
      <c r="M193" s="126"/>
      <c r="N193" s="193">
        <f>'Inputs by customer type'!N158</f>
        <v>151.1559036280355</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254</v>
      </c>
      <c r="G194" s="120" t="s">
        <v>255</v>
      </c>
      <c r="H194" s="96"/>
      <c r="I194" s="96"/>
      <c r="J194" s="121"/>
      <c r="K194" s="121"/>
      <c r="L194" s="172">
        <f>'Inputs by customer type'!L159</f>
        <v>0</v>
      </c>
      <c r="M194" s="121"/>
      <c r="N194" s="172">
        <f>'Inputs by customer type'!N159</f>
        <v>6762.2226311799368</v>
      </c>
      <c r="O194" s="172">
        <f>'Inputs by customer type'!O159</f>
        <v>759.48966979241914</v>
      </c>
      <c r="P194" s="172">
        <f>'Inputs by customer type'!P159</f>
        <v>6.1482657692558957</v>
      </c>
      <c r="Q194" s="121"/>
      <c r="R194" s="121"/>
      <c r="S194" s="121"/>
      <c r="T194" s="121"/>
      <c r="U194" s="121"/>
      <c r="V194" s="121"/>
      <c r="W194" s="121"/>
      <c r="X194" s="121"/>
      <c r="Y194" s="121"/>
      <c r="AQ194" s="3"/>
    </row>
    <row r="195" spans="4:43" x14ac:dyDescent="0.25">
      <c r="AQ195" s="3"/>
    </row>
    <row r="196" spans="4:43" x14ac:dyDescent="0.25">
      <c r="D196" s="86" t="s">
        <v>911</v>
      </c>
      <c r="AQ196" s="3"/>
    </row>
    <row r="197" spans="4:43" x14ac:dyDescent="0.25">
      <c r="AQ197" s="3"/>
    </row>
    <row r="198" spans="4:43" x14ac:dyDescent="0.25">
      <c r="E198" s="75" t="s">
        <v>246</v>
      </c>
      <c r="G198" s="61"/>
      <c r="I198" t="s">
        <v>155</v>
      </c>
      <c r="AA198" t="s">
        <v>247</v>
      </c>
    </row>
    <row r="199" spans="4:43" x14ac:dyDescent="0.25">
      <c r="E199" s="75"/>
      <c r="F199" s="116" t="s">
        <v>248</v>
      </c>
      <c r="G199" s="116" t="s">
        <v>208</v>
      </c>
      <c r="H199" s="95"/>
      <c r="I199" s="95"/>
      <c r="J199" s="147">
        <f t="shared" ref="J199:Y199" si="2">SUM( J67, J76, J85, J94, J58 )</f>
        <v>429498.00447633024</v>
      </c>
      <c r="K199" s="147">
        <f t="shared" si="2"/>
        <v>36.928307828276772</v>
      </c>
      <c r="L199" s="147">
        <f t="shared" si="2"/>
        <v>108762.58064620207</v>
      </c>
      <c r="M199" s="147">
        <f t="shared" si="2"/>
        <v>26.004708483632935</v>
      </c>
      <c r="N199" s="147">
        <f t="shared" si="2"/>
        <v>86272.214425356666</v>
      </c>
      <c r="O199" s="147">
        <f t="shared" si="2"/>
        <v>39632.647239276776</v>
      </c>
      <c r="P199" s="147">
        <f t="shared" si="2"/>
        <v>126671.00214849271</v>
      </c>
      <c r="Q199" s="147">
        <f t="shared" si="2"/>
        <v>2852.3860826192404</v>
      </c>
      <c r="R199" s="147">
        <f t="shared" si="2"/>
        <v>10587.587865436757</v>
      </c>
      <c r="S199" s="147">
        <f t="shared" si="2"/>
        <v>1296.193700379747</v>
      </c>
      <c r="T199" s="147">
        <f t="shared" si="2"/>
        <v>4431.5548953009256</v>
      </c>
      <c r="U199" s="147">
        <f t="shared" si="2"/>
        <v>0</v>
      </c>
      <c r="V199" s="147">
        <f t="shared" si="2"/>
        <v>0</v>
      </c>
      <c r="W199" s="147">
        <f t="shared" si="2"/>
        <v>0</v>
      </c>
      <c r="X199" s="147">
        <f t="shared" si="2"/>
        <v>57918.120807023566</v>
      </c>
      <c r="Y199" s="147">
        <f t="shared" si="2"/>
        <v>0</v>
      </c>
    </row>
    <row r="200" spans="4:43" x14ac:dyDescent="0.25">
      <c r="E200" s="75"/>
      <c r="F200" s="118" t="s">
        <v>249</v>
      </c>
      <c r="G200" s="118" t="s">
        <v>208</v>
      </c>
      <c r="J200" s="194">
        <f t="shared" ref="J200:Y200" si="3">SUM( J68, J77, J86, J95, J59 )</f>
        <v>2277341.5081239403</v>
      </c>
      <c r="K200" s="194">
        <f t="shared" si="3"/>
        <v>2889.7541426122689</v>
      </c>
      <c r="L200" s="194">
        <f t="shared" si="3"/>
        <v>916021.98852982686</v>
      </c>
      <c r="M200" s="194">
        <f t="shared" si="3"/>
        <v>1591.5677042444584</v>
      </c>
      <c r="N200" s="194">
        <f t="shared" si="3"/>
        <v>615356.23893458315</v>
      </c>
      <c r="O200" s="194">
        <f t="shared" si="3"/>
        <v>282912.62809665548</v>
      </c>
      <c r="P200" s="194">
        <f t="shared" si="3"/>
        <v>871599.76508462976</v>
      </c>
      <c r="Q200" s="195">
        <f t="shared" si="3"/>
        <v>30353.026811276453</v>
      </c>
      <c r="R200" s="195">
        <f t="shared" si="3"/>
        <v>116333.97645091746</v>
      </c>
      <c r="S200" s="195">
        <f t="shared" si="3"/>
        <v>11378.491454160423</v>
      </c>
      <c r="T200" s="194">
        <f t="shared" si="3"/>
        <v>41911.942901306917</v>
      </c>
      <c r="U200" s="194">
        <f t="shared" si="3"/>
        <v>0</v>
      </c>
      <c r="V200" s="194">
        <f t="shared" si="3"/>
        <v>0</v>
      </c>
      <c r="W200" s="194">
        <f t="shared" si="3"/>
        <v>0</v>
      </c>
      <c r="X200" s="194">
        <f t="shared" si="3"/>
        <v>316726.54989568843</v>
      </c>
      <c r="Y200" s="194">
        <f t="shared" si="3"/>
        <v>0</v>
      </c>
    </row>
    <row r="201" spans="4:43" x14ac:dyDescent="0.25">
      <c r="E201" s="75"/>
      <c r="F201" s="118" t="s">
        <v>250</v>
      </c>
      <c r="G201" s="118" t="s">
        <v>208</v>
      </c>
      <c r="J201" s="194">
        <f t="shared" ref="J201:Y201" si="4">SUM( J69, J78, J87, J96, J60 )</f>
        <v>2713027.6525349491</v>
      </c>
      <c r="K201" s="194">
        <f t="shared" si="4"/>
        <v>22694.611658437898</v>
      </c>
      <c r="L201" s="194">
        <f t="shared" si="4"/>
        <v>739885.53344140563</v>
      </c>
      <c r="M201" s="194">
        <f t="shared" si="4"/>
        <v>11266.245993465296</v>
      </c>
      <c r="N201" s="194">
        <f t="shared" si="4"/>
        <v>561979.74270272814</v>
      </c>
      <c r="O201" s="194">
        <f t="shared" si="4"/>
        <v>286248.30862116517</v>
      </c>
      <c r="P201" s="194">
        <f t="shared" si="4"/>
        <v>983831.95882474363</v>
      </c>
      <c r="Q201" s="195">
        <f t="shared" si="4"/>
        <v>65533.820926985551</v>
      </c>
      <c r="R201" s="195">
        <f t="shared" si="4"/>
        <v>48093.062634059701</v>
      </c>
      <c r="S201" s="195">
        <f t="shared" si="4"/>
        <v>11582.900696102439</v>
      </c>
      <c r="T201" s="194">
        <f t="shared" si="4"/>
        <v>30515.320471081926</v>
      </c>
      <c r="U201" s="194">
        <f t="shared" si="4"/>
        <v>0</v>
      </c>
      <c r="V201" s="194">
        <f t="shared" si="4"/>
        <v>0</v>
      </c>
      <c r="W201" s="194">
        <f t="shared" si="4"/>
        <v>0</v>
      </c>
      <c r="X201" s="194">
        <f t="shared" si="4"/>
        <v>252665.02390971759</v>
      </c>
      <c r="Y201" s="194">
        <f t="shared" si="4"/>
        <v>0</v>
      </c>
    </row>
    <row r="202" spans="4:43" x14ac:dyDescent="0.25">
      <c r="E202" s="75"/>
      <c r="F202" s="118" t="s">
        <v>213</v>
      </c>
      <c r="G202" s="118" t="s">
        <v>213</v>
      </c>
      <c r="J202" s="194">
        <f t="shared" ref="J202:Y202" si="5">SUM( J70, J79, J88, J97, J61 )</f>
        <v>1521199.0698093434</v>
      </c>
      <c r="K202" s="194">
        <f t="shared" si="5"/>
        <v>0</v>
      </c>
      <c r="L202" s="194">
        <f t="shared" si="5"/>
        <v>139344.77139611001</v>
      </c>
      <c r="M202" s="194">
        <f t="shared" si="5"/>
        <v>0</v>
      </c>
      <c r="N202" s="194">
        <f t="shared" si="5"/>
        <v>8754.6579525143989</v>
      </c>
      <c r="O202" s="194">
        <f t="shared" si="5"/>
        <v>1697.1378227327129</v>
      </c>
      <c r="P202" s="194">
        <f t="shared" si="5"/>
        <v>1126.2316396770004</v>
      </c>
      <c r="Q202" s="194">
        <f t="shared" si="5"/>
        <v>1657</v>
      </c>
      <c r="R202" s="194">
        <f t="shared" si="5"/>
        <v>0</v>
      </c>
      <c r="S202" s="194">
        <f t="shared" si="5"/>
        <v>0</v>
      </c>
      <c r="T202" s="194">
        <f t="shared" si="5"/>
        <v>0</v>
      </c>
      <c r="U202" s="194">
        <f t="shared" si="5"/>
        <v>0</v>
      </c>
      <c r="V202" s="194">
        <f t="shared" si="5"/>
        <v>0</v>
      </c>
      <c r="W202" s="194">
        <f t="shared" si="5"/>
        <v>0</v>
      </c>
      <c r="X202" s="194">
        <f t="shared" si="5"/>
        <v>320.50176836858998</v>
      </c>
      <c r="Y202" s="194">
        <f t="shared" si="5"/>
        <v>0</v>
      </c>
    </row>
    <row r="203" spans="4:43" x14ac:dyDescent="0.25">
      <c r="E203" s="75"/>
      <c r="F203" s="118" t="s">
        <v>251</v>
      </c>
      <c r="G203" s="118" t="s">
        <v>252</v>
      </c>
      <c r="J203" s="119"/>
      <c r="K203" s="119"/>
      <c r="L203" s="119"/>
      <c r="M203" s="119"/>
      <c r="N203" s="194">
        <f t="shared" ref="N203:P205" si="6">SUM( N71, N80, N89, N98, N62 )</f>
        <v>865126.27496316063</v>
      </c>
      <c r="O203" s="194">
        <f t="shared" si="6"/>
        <v>374141.02136121981</v>
      </c>
      <c r="P203" s="194">
        <f t="shared" si="6"/>
        <v>970786.86968417012</v>
      </c>
      <c r="Q203" s="119"/>
      <c r="R203" s="119"/>
      <c r="S203" s="119"/>
      <c r="T203" s="119"/>
      <c r="U203" s="119"/>
      <c r="V203" s="119"/>
      <c r="W203" s="119"/>
      <c r="X203" s="119"/>
      <c r="Y203" s="119"/>
    </row>
    <row r="204" spans="4:43" x14ac:dyDescent="0.25">
      <c r="E204" s="75"/>
      <c r="F204" s="118" t="s">
        <v>253</v>
      </c>
      <c r="G204" s="118" t="s">
        <v>252</v>
      </c>
      <c r="J204" s="119"/>
      <c r="K204" s="119"/>
      <c r="L204" s="119"/>
      <c r="M204" s="119"/>
      <c r="N204" s="194">
        <f t="shared" si="6"/>
        <v>27454.038251366124</v>
      </c>
      <c r="O204" s="194">
        <f t="shared" si="6"/>
        <v>4435.0710382513662</v>
      </c>
      <c r="P204" s="194">
        <f t="shared" si="6"/>
        <v>15085.710382513662</v>
      </c>
      <c r="Q204" s="119"/>
      <c r="R204" s="119"/>
      <c r="S204" s="119"/>
      <c r="T204" s="119"/>
      <c r="U204" s="119"/>
      <c r="V204" s="119"/>
      <c r="W204" s="119"/>
      <c r="X204" s="119"/>
      <c r="Y204" s="119"/>
    </row>
    <row r="205" spans="4:43" x14ac:dyDescent="0.25">
      <c r="E205" s="75"/>
      <c r="F205" s="120" t="s">
        <v>254</v>
      </c>
      <c r="G205" s="120" t="s">
        <v>255</v>
      </c>
      <c r="H205" s="96"/>
      <c r="I205" s="96"/>
      <c r="J205" s="121"/>
      <c r="K205" s="121"/>
      <c r="L205" s="121"/>
      <c r="M205" s="121"/>
      <c r="N205" s="173">
        <f t="shared" si="6"/>
        <v>99487.138000000006</v>
      </c>
      <c r="O205" s="173">
        <f t="shared" si="6"/>
        <v>55240.727000000014</v>
      </c>
      <c r="P205" s="173">
        <f t="shared" si="6"/>
        <v>145285.217</v>
      </c>
      <c r="Q205" s="121"/>
      <c r="R205" s="121"/>
      <c r="S205" s="121"/>
      <c r="T205" s="173">
        <f>SUM( T73, T82, T91, T100, T64 )</f>
        <v>5802.6510000000007</v>
      </c>
      <c r="U205" s="121"/>
      <c r="V205" s="173">
        <f>SUM( V73, V82, V91, V100, V64 )</f>
        <v>0</v>
      </c>
      <c r="W205" s="121"/>
      <c r="X205" s="173">
        <f>SUM( X73, X82, X91, X100, X64 )</f>
        <v>7364.4659999999994</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256</v>
      </c>
      <c r="G207" s="120"/>
      <c r="H207" s="96"/>
      <c r="I207" t="s">
        <v>155</v>
      </c>
      <c r="J207" s="196"/>
      <c r="K207" s="196"/>
      <c r="L207" s="196"/>
      <c r="M207" s="196"/>
      <c r="N207" s="196"/>
      <c r="O207" s="196"/>
      <c r="P207" s="196"/>
      <c r="Q207" s="196"/>
      <c r="R207" s="196"/>
      <c r="S207" s="196"/>
      <c r="T207" s="196"/>
      <c r="U207" s="196"/>
      <c r="V207" s="196"/>
      <c r="W207" s="196"/>
      <c r="X207" s="196"/>
      <c r="Y207" s="196"/>
      <c r="AA207" t="s">
        <v>247</v>
      </c>
    </row>
    <row r="208" spans="4:43" x14ac:dyDescent="0.25">
      <c r="E208" s="75"/>
      <c r="F208" s="116" t="s">
        <v>248</v>
      </c>
      <c r="G208" s="118" t="s">
        <v>208</v>
      </c>
      <c r="I208" s="95"/>
      <c r="J208" s="147">
        <f t="shared" ref="J208:N211" si="7">SUM( J114, J123, J132, J141, J105 )</f>
        <v>5009.561936578516</v>
      </c>
      <c r="K208" s="147">
        <f t="shared" si="7"/>
        <v>0</v>
      </c>
      <c r="L208" s="147">
        <f t="shared" si="7"/>
        <v>271.47113485562244</v>
      </c>
      <c r="M208" s="147">
        <f t="shared" si="7"/>
        <v>0</v>
      </c>
      <c r="N208" s="147">
        <f t="shared" si="7"/>
        <v>1058.4970776631737</v>
      </c>
      <c r="O208" s="117"/>
      <c r="P208" s="117"/>
      <c r="Q208" s="147">
        <f t="shared" ref="Q208:R211" si="8">SUM( Q114, Q123, Q132, Q141, Q105 )</f>
        <v>1.9402031056287485</v>
      </c>
      <c r="R208" s="147">
        <f t="shared" si="8"/>
        <v>145.32512484445286</v>
      </c>
      <c r="S208" s="117"/>
      <c r="T208" s="147">
        <f>SUM( T114, T123, T132, T141, T105 )</f>
        <v>5.0228258684195506</v>
      </c>
      <c r="U208" s="117"/>
      <c r="V208" s="117"/>
      <c r="W208" s="117"/>
      <c r="X208" s="117"/>
      <c r="Y208" s="117"/>
    </row>
    <row r="209" spans="5:27" x14ac:dyDescent="0.25">
      <c r="E209" s="75"/>
      <c r="F209" s="118" t="s">
        <v>249</v>
      </c>
      <c r="G209" s="118" t="s">
        <v>208</v>
      </c>
      <c r="J209" s="194">
        <f t="shared" si="7"/>
        <v>26428.293129180023</v>
      </c>
      <c r="K209" s="194">
        <f t="shared" si="7"/>
        <v>0</v>
      </c>
      <c r="L209" s="194">
        <f t="shared" si="7"/>
        <v>2322.9271519420281</v>
      </c>
      <c r="M209" s="194">
        <f t="shared" si="7"/>
        <v>0</v>
      </c>
      <c r="N209" s="194">
        <f t="shared" si="7"/>
        <v>7278.8915537922949</v>
      </c>
      <c r="O209" s="119"/>
      <c r="P209" s="119"/>
      <c r="Q209" s="195">
        <f t="shared" si="8"/>
        <v>21.14065363266138</v>
      </c>
      <c r="R209" s="195">
        <f t="shared" si="8"/>
        <v>1495.6729981168003</v>
      </c>
      <c r="S209" s="119"/>
      <c r="T209" s="194">
        <f>SUM( T115, T124, T133, T142, T106 )</f>
        <v>51.732406322701706</v>
      </c>
      <c r="U209" s="119"/>
      <c r="V209" s="119"/>
      <c r="W209" s="119"/>
      <c r="X209" s="119"/>
      <c r="Y209" s="119"/>
    </row>
    <row r="210" spans="5:27" x14ac:dyDescent="0.25">
      <c r="E210" s="75"/>
      <c r="F210" s="118" t="s">
        <v>250</v>
      </c>
      <c r="G210" s="118" t="s">
        <v>208</v>
      </c>
      <c r="J210" s="194">
        <f t="shared" si="7"/>
        <v>28347.544883023802</v>
      </c>
      <c r="K210" s="194">
        <f t="shared" si="7"/>
        <v>0</v>
      </c>
      <c r="L210" s="194">
        <f t="shared" si="7"/>
        <v>1719.0178641330383</v>
      </c>
      <c r="M210" s="194">
        <f t="shared" si="7"/>
        <v>0</v>
      </c>
      <c r="N210" s="194">
        <f t="shared" si="7"/>
        <v>4927.6281000945874</v>
      </c>
      <c r="O210" s="119"/>
      <c r="P210" s="119"/>
      <c r="Q210" s="195">
        <f t="shared" si="8"/>
        <v>112.2474972102397</v>
      </c>
      <c r="R210" s="195">
        <f t="shared" si="8"/>
        <v>617.57032877021857</v>
      </c>
      <c r="S210" s="119"/>
      <c r="T210" s="194">
        <f>SUM( T116, T125, T134, T143, T107 )</f>
        <v>23.479247066598283</v>
      </c>
      <c r="U210" s="119"/>
      <c r="V210" s="119"/>
      <c r="W210" s="119"/>
      <c r="X210" s="119"/>
      <c r="Y210" s="119"/>
    </row>
    <row r="211" spans="5:27" x14ac:dyDescent="0.25">
      <c r="E211" s="75"/>
      <c r="F211" s="118" t="s">
        <v>213</v>
      </c>
      <c r="G211" s="118" t="s">
        <v>213</v>
      </c>
      <c r="J211" s="194">
        <f t="shared" si="7"/>
        <v>21273.515194887394</v>
      </c>
      <c r="K211" s="194">
        <f t="shared" si="7"/>
        <v>0</v>
      </c>
      <c r="L211" s="194">
        <f t="shared" si="7"/>
        <v>515.29324029899419</v>
      </c>
      <c r="M211" s="194">
        <f t="shared" si="7"/>
        <v>0</v>
      </c>
      <c r="N211" s="194">
        <f t="shared" si="7"/>
        <v>161.91258922113039</v>
      </c>
      <c r="O211" s="119"/>
      <c r="P211" s="119"/>
      <c r="Q211" s="194">
        <f t="shared" si="8"/>
        <v>80.95629461056518</v>
      </c>
      <c r="R211" s="194">
        <f t="shared" si="8"/>
        <v>0</v>
      </c>
      <c r="S211" s="119"/>
      <c r="T211" s="194">
        <f>SUM( T117, T126, T135, T144, T108 )</f>
        <v>1.2850205493740503</v>
      </c>
      <c r="U211" s="119"/>
      <c r="V211" s="119"/>
      <c r="W211" s="119"/>
      <c r="X211" s="119"/>
      <c r="Y211" s="119"/>
    </row>
    <row r="212" spans="5:27" x14ac:dyDescent="0.25">
      <c r="E212" s="75"/>
      <c r="F212" s="118" t="s">
        <v>251</v>
      </c>
      <c r="G212" s="118" t="s">
        <v>252</v>
      </c>
      <c r="J212" s="119"/>
      <c r="K212" s="119"/>
      <c r="L212" s="119"/>
      <c r="M212" s="119"/>
      <c r="N212" s="194">
        <f>SUM( N118, N127, N136, N145, N109 )</f>
        <v>27269.421078266725</v>
      </c>
      <c r="O212" s="119"/>
      <c r="P212" s="119"/>
      <c r="Q212" s="119"/>
      <c r="R212" s="119"/>
      <c r="S212" s="119"/>
      <c r="T212" s="119"/>
      <c r="U212" s="119"/>
      <c r="V212" s="119"/>
      <c r="W212" s="119"/>
      <c r="X212" s="119"/>
      <c r="Y212" s="119"/>
    </row>
    <row r="213" spans="5:27" x14ac:dyDescent="0.25">
      <c r="E213" s="75"/>
      <c r="F213" s="118" t="s">
        <v>253</v>
      </c>
      <c r="G213" s="118" t="s">
        <v>252</v>
      </c>
      <c r="J213" s="119"/>
      <c r="K213" s="119"/>
      <c r="L213" s="119"/>
      <c r="M213" s="119"/>
      <c r="N213" s="194">
        <f>SUM( N119, N128, N137, N146, N110 )</f>
        <v>134.68168233307625</v>
      </c>
      <c r="O213" s="119"/>
      <c r="P213" s="119"/>
      <c r="Q213" s="119"/>
      <c r="R213" s="119"/>
      <c r="S213" s="119"/>
      <c r="T213" s="119"/>
      <c r="U213" s="119"/>
      <c r="V213" s="119"/>
      <c r="W213" s="119"/>
      <c r="X213" s="119"/>
      <c r="Y213" s="119"/>
    </row>
    <row r="214" spans="5:27" x14ac:dyDescent="0.25">
      <c r="E214" s="75"/>
      <c r="F214" s="120" t="s">
        <v>254</v>
      </c>
      <c r="G214" s="120" t="s">
        <v>255</v>
      </c>
      <c r="H214" s="96"/>
      <c r="I214" s="96"/>
      <c r="J214" s="121"/>
      <c r="K214" s="121"/>
      <c r="L214" s="121"/>
      <c r="M214" s="121"/>
      <c r="N214" s="173">
        <f>SUM( N120, N129, N138, N147, N111 )</f>
        <v>953.57060731603974</v>
      </c>
      <c r="O214" s="121"/>
      <c r="P214" s="121"/>
      <c r="Q214" s="121"/>
      <c r="R214" s="121"/>
      <c r="S214" s="121"/>
      <c r="T214" s="173">
        <f>SUM( T120, T129, T138, T147, T111 )</f>
        <v>4.4468923790347121</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257</v>
      </c>
      <c r="G216" s="120"/>
      <c r="H216" s="96"/>
      <c r="I216" t="s">
        <v>155</v>
      </c>
      <c r="J216" s="196"/>
      <c r="K216" s="196"/>
      <c r="L216" s="196"/>
      <c r="M216" s="196"/>
      <c r="N216" s="196"/>
      <c r="O216" s="196"/>
      <c r="P216" s="196"/>
      <c r="Q216" s="196"/>
      <c r="R216" s="196"/>
      <c r="S216" s="196"/>
      <c r="T216" s="196"/>
      <c r="U216" s="196"/>
      <c r="V216" s="196"/>
      <c r="W216" s="196"/>
      <c r="X216" s="196"/>
      <c r="Y216" s="196"/>
      <c r="AA216" t="s">
        <v>247</v>
      </c>
    </row>
    <row r="217" spans="5:27" x14ac:dyDescent="0.25">
      <c r="F217" s="116" t="s">
        <v>248</v>
      </c>
      <c r="G217" s="118" t="s">
        <v>208</v>
      </c>
      <c r="I217" s="95"/>
      <c r="J217" s="147">
        <f t="shared" ref="J217:T217" si="9">SUM( J161, J170, J179, J188, J152 )</f>
        <v>15806.920141223518</v>
      </c>
      <c r="K217" s="147">
        <f t="shared" si="9"/>
        <v>0</v>
      </c>
      <c r="L217" s="147">
        <f t="shared" si="9"/>
        <v>1281.8727786592374</v>
      </c>
      <c r="M217" s="147">
        <f t="shared" si="9"/>
        <v>0</v>
      </c>
      <c r="N217" s="147">
        <f t="shared" si="9"/>
        <v>8561.5527711250361</v>
      </c>
      <c r="O217" s="147">
        <f t="shared" si="9"/>
        <v>2343.2212323604667</v>
      </c>
      <c r="P217" s="147">
        <f t="shared" si="9"/>
        <v>978.53773899737985</v>
      </c>
      <c r="Q217" s="147">
        <f t="shared" si="9"/>
        <v>17.838169837481313</v>
      </c>
      <c r="R217" s="147">
        <f t="shared" si="9"/>
        <v>466.59485317295298</v>
      </c>
      <c r="S217" s="147">
        <f t="shared" si="9"/>
        <v>0</v>
      </c>
      <c r="T217" s="147">
        <f t="shared" si="9"/>
        <v>16.956105770532645</v>
      </c>
      <c r="U217" s="117"/>
      <c r="V217" s="147">
        <f>SUM( V161, V170, V179, V188, V152 )</f>
        <v>0</v>
      </c>
      <c r="W217" s="117"/>
      <c r="X217" s="147">
        <f>SUM( X161, X170, X179, X188, X152 )</f>
        <v>0</v>
      </c>
      <c r="Y217" s="117"/>
    </row>
    <row r="218" spans="5:27" x14ac:dyDescent="0.25">
      <c r="F218" s="118" t="s">
        <v>249</v>
      </c>
      <c r="G218" s="118" t="s">
        <v>208</v>
      </c>
      <c r="J218" s="194">
        <f t="shared" ref="J218:T218" si="10">SUM( J162, J171, J180, J189, J153 )</f>
        <v>83250.91527779217</v>
      </c>
      <c r="K218" s="194">
        <f t="shared" si="10"/>
        <v>0</v>
      </c>
      <c r="L218" s="194">
        <f t="shared" si="10"/>
        <v>10697.582675035281</v>
      </c>
      <c r="M218" s="194">
        <f t="shared" si="10"/>
        <v>0</v>
      </c>
      <c r="N218" s="194">
        <f t="shared" si="10"/>
        <v>57242.655247281975</v>
      </c>
      <c r="O218" s="194">
        <f t="shared" si="10"/>
        <v>15843.480902273992</v>
      </c>
      <c r="P218" s="194">
        <f t="shared" si="10"/>
        <v>6750.1048629776424</v>
      </c>
      <c r="Q218" s="195">
        <f t="shared" si="10"/>
        <v>150.1520020333262</v>
      </c>
      <c r="R218" s="195">
        <f t="shared" si="10"/>
        <v>4555.8514617856754</v>
      </c>
      <c r="S218" s="195">
        <f t="shared" si="10"/>
        <v>0</v>
      </c>
      <c r="T218" s="194">
        <f t="shared" si="10"/>
        <v>198.68381871026503</v>
      </c>
      <c r="U218" s="119"/>
      <c r="V218" s="194">
        <f>SUM( V162, V171, V180, V189, V153 )</f>
        <v>0</v>
      </c>
      <c r="W218" s="119"/>
      <c r="X218" s="194">
        <f>SUM( X162, X171, X180, X189, X153 )</f>
        <v>0</v>
      </c>
      <c r="Y218" s="119"/>
    </row>
    <row r="219" spans="5:27" x14ac:dyDescent="0.25">
      <c r="F219" s="118" t="s">
        <v>250</v>
      </c>
      <c r="G219" s="118" t="s">
        <v>208</v>
      </c>
      <c r="J219" s="194">
        <f t="shared" ref="J219:T219" si="11">SUM( J163, J172, J181, J190, J154 )</f>
        <v>89567.546196383468</v>
      </c>
      <c r="K219" s="194">
        <f t="shared" si="11"/>
        <v>0</v>
      </c>
      <c r="L219" s="194">
        <f t="shared" si="11"/>
        <v>8115.9870100221842</v>
      </c>
      <c r="M219" s="194">
        <f t="shared" si="11"/>
        <v>0</v>
      </c>
      <c r="N219" s="194">
        <f t="shared" si="11"/>
        <v>52483.575890151464</v>
      </c>
      <c r="O219" s="194">
        <f t="shared" si="11"/>
        <v>11971.184714959993</v>
      </c>
      <c r="P219" s="194">
        <f t="shared" si="11"/>
        <v>7250.9748052768582</v>
      </c>
      <c r="Q219" s="195">
        <f t="shared" si="11"/>
        <v>552.57196150196364</v>
      </c>
      <c r="R219" s="195">
        <f t="shared" si="11"/>
        <v>1893.3826305946161</v>
      </c>
      <c r="S219" s="195">
        <f t="shared" si="11"/>
        <v>0</v>
      </c>
      <c r="T219" s="194">
        <f t="shared" si="11"/>
        <v>172.2190311826773</v>
      </c>
      <c r="U219" s="119"/>
      <c r="V219" s="194">
        <f>SUM( V163, V172, V181, V190, V154 )</f>
        <v>0</v>
      </c>
      <c r="W219" s="119"/>
      <c r="X219" s="194">
        <f>SUM( X163, X172, X181, X190, X154 )</f>
        <v>0</v>
      </c>
      <c r="Y219" s="119"/>
    </row>
    <row r="220" spans="5:27" x14ac:dyDescent="0.25">
      <c r="F220" s="118" t="s">
        <v>213</v>
      </c>
      <c r="G220" s="118" t="s">
        <v>213</v>
      </c>
      <c r="J220" s="194">
        <f t="shared" ref="J220:T220" si="12">SUM( J164, J173, J182, J191, J155 )</f>
        <v>69257.467529063841</v>
      </c>
      <c r="K220" s="194">
        <f t="shared" si="12"/>
        <v>0</v>
      </c>
      <c r="L220" s="194">
        <f t="shared" si="12"/>
        <v>1696.2271251737466</v>
      </c>
      <c r="M220" s="194">
        <f t="shared" si="12"/>
        <v>0</v>
      </c>
      <c r="N220" s="194">
        <f t="shared" si="12"/>
        <v>507.58311700274993</v>
      </c>
      <c r="O220" s="194">
        <f t="shared" si="12"/>
        <v>39.835637030595571</v>
      </c>
      <c r="P220" s="194">
        <f t="shared" si="12"/>
        <v>14.135226043114557</v>
      </c>
      <c r="Q220" s="194">
        <f t="shared" si="12"/>
        <v>221.02353449233675</v>
      </c>
      <c r="R220" s="194">
        <f t="shared" si="12"/>
        <v>0</v>
      </c>
      <c r="S220" s="194">
        <f t="shared" si="12"/>
        <v>0</v>
      </c>
      <c r="T220" s="194">
        <f t="shared" si="12"/>
        <v>8.9951438456183546</v>
      </c>
      <c r="U220" s="119"/>
      <c r="V220" s="194">
        <f>SUM( V164, V173, V182, V191, V155 )</f>
        <v>0</v>
      </c>
      <c r="W220" s="119"/>
      <c r="X220" s="194">
        <f>SUM( X164, X173, X182, X191, X155 )</f>
        <v>0</v>
      </c>
      <c r="Y220" s="119"/>
    </row>
    <row r="221" spans="5:27" x14ac:dyDescent="0.25">
      <c r="F221" s="118" t="s">
        <v>251</v>
      </c>
      <c r="G221" s="118" t="s">
        <v>252</v>
      </c>
      <c r="J221" s="119"/>
      <c r="K221" s="119"/>
      <c r="L221" s="119"/>
      <c r="M221" s="119"/>
      <c r="N221" s="194">
        <f t="shared" ref="N221:P223" si="13">SUM( N165, N174, N183, N192, N156 )</f>
        <v>164274.45699087984</v>
      </c>
      <c r="O221" s="194">
        <f t="shared" si="13"/>
        <v>33112.409516270527</v>
      </c>
      <c r="P221" s="194">
        <f t="shared" si="13"/>
        <v>23965.63324582604</v>
      </c>
      <c r="Q221" s="119"/>
      <c r="R221" s="119"/>
      <c r="S221" s="119"/>
      <c r="T221" s="119"/>
      <c r="U221" s="119"/>
      <c r="V221" s="119"/>
      <c r="W221" s="119"/>
      <c r="X221" s="119"/>
      <c r="Y221" s="119"/>
    </row>
    <row r="222" spans="5:27" x14ac:dyDescent="0.25">
      <c r="F222" s="118" t="s">
        <v>253</v>
      </c>
      <c r="G222" s="118" t="s">
        <v>252</v>
      </c>
      <c r="J222" s="119"/>
      <c r="K222" s="119"/>
      <c r="L222" s="119"/>
      <c r="M222" s="119"/>
      <c r="N222" s="194">
        <f t="shared" si="13"/>
        <v>571.85494409830881</v>
      </c>
      <c r="O222" s="194">
        <f t="shared" si="13"/>
        <v>0</v>
      </c>
      <c r="P222" s="194">
        <f t="shared" si="13"/>
        <v>0</v>
      </c>
      <c r="Q222" s="119"/>
      <c r="R222" s="119"/>
      <c r="S222" s="119"/>
      <c r="T222" s="119"/>
      <c r="U222" s="119"/>
      <c r="V222" s="119"/>
      <c r="W222" s="119"/>
      <c r="X222" s="119"/>
      <c r="Y222" s="119"/>
    </row>
    <row r="223" spans="5:27" x14ac:dyDescent="0.25">
      <c r="F223" s="120" t="s">
        <v>254</v>
      </c>
      <c r="G223" s="120" t="s">
        <v>255</v>
      </c>
      <c r="H223" s="96"/>
      <c r="I223" s="96"/>
      <c r="J223" s="121"/>
      <c r="K223" s="121"/>
      <c r="L223" s="121"/>
      <c r="M223" s="121"/>
      <c r="N223" s="173">
        <f t="shared" si="13"/>
        <v>9779.5332027316181</v>
      </c>
      <c r="O223" s="173">
        <f t="shared" si="13"/>
        <v>760.61600057525345</v>
      </c>
      <c r="P223" s="173">
        <f t="shared" si="13"/>
        <v>391.59390691429655</v>
      </c>
      <c r="Q223" s="121"/>
      <c r="R223" s="121"/>
      <c r="S223" s="121"/>
      <c r="T223" s="173">
        <f>SUM( T167, T176, T185, T194, T158 )</f>
        <v>73.562570455005527</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control'!$H$42:$H$65,MATCH($A$1,'Version control'!$F$42:$F$65,0),1)&amp;"-C: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404</v>
      </c>
      <c r="AQ227" s="3"/>
    </row>
    <row r="228" spans="3:43" x14ac:dyDescent="0.25">
      <c r="C228" s="75"/>
      <c r="AQ228" s="3"/>
    </row>
    <row r="229" spans="3:43" x14ac:dyDescent="0.25">
      <c r="C229" s="86"/>
      <c r="E229" s="75" t="s">
        <v>157</v>
      </c>
      <c r="I229" t="s">
        <v>155</v>
      </c>
      <c r="AA229" t="s">
        <v>310</v>
      </c>
      <c r="AQ229" s="3"/>
    </row>
    <row r="230" spans="3:43" x14ac:dyDescent="0.25">
      <c r="C230" s="86"/>
      <c r="E230" s="75"/>
      <c r="AQ230" s="3"/>
    </row>
    <row r="231" spans="3:43" x14ac:dyDescent="0.25">
      <c r="F231" s="94" t="s">
        <v>405</v>
      </c>
      <c r="G231" s="94" t="s">
        <v>208</v>
      </c>
      <c r="J231" s="168">
        <f t="shared" ref="J231:Y231" si="14">J$199</f>
        <v>429498.00447633024</v>
      </c>
      <c r="K231" s="168">
        <f t="shared" si="14"/>
        <v>36.928307828276772</v>
      </c>
      <c r="L231" s="168">
        <f t="shared" si="14"/>
        <v>108762.58064620207</v>
      </c>
      <c r="M231" s="168">
        <f t="shared" si="14"/>
        <v>26.004708483632935</v>
      </c>
      <c r="N231" s="168">
        <f t="shared" si="14"/>
        <v>86272.214425356666</v>
      </c>
      <c r="O231" s="168">
        <f t="shared" si="14"/>
        <v>39632.647239276776</v>
      </c>
      <c r="P231" s="168">
        <f t="shared" si="14"/>
        <v>126671.00214849271</v>
      </c>
      <c r="Q231" s="168">
        <f t="shared" si="14"/>
        <v>2852.3860826192404</v>
      </c>
      <c r="R231" s="168">
        <f t="shared" si="14"/>
        <v>10587.587865436757</v>
      </c>
      <c r="S231" s="168">
        <f t="shared" si="14"/>
        <v>1296.193700379747</v>
      </c>
      <c r="T231" s="168">
        <f t="shared" si="14"/>
        <v>4431.5548953009256</v>
      </c>
      <c r="U231" s="168">
        <f t="shared" si="14"/>
        <v>0</v>
      </c>
      <c r="V231" s="168">
        <f t="shared" si="14"/>
        <v>0</v>
      </c>
      <c r="W231" s="168">
        <f t="shared" si="14"/>
        <v>0</v>
      </c>
      <c r="X231" s="168">
        <f t="shared" si="14"/>
        <v>57918.120807023566</v>
      </c>
      <c r="Y231" s="168">
        <f t="shared" si="14"/>
        <v>0</v>
      </c>
      <c r="AQ231" s="3"/>
    </row>
    <row r="232" spans="3:43" x14ac:dyDescent="0.25">
      <c r="F232" s="94" t="s">
        <v>406</v>
      </c>
      <c r="G232" s="94" t="s">
        <v>208</v>
      </c>
      <c r="J232" s="168">
        <f t="shared" ref="J232:Y232" si="15">J$208</f>
        <v>5009.561936578516</v>
      </c>
      <c r="K232" s="168">
        <f t="shared" si="15"/>
        <v>0</v>
      </c>
      <c r="L232" s="168">
        <f t="shared" si="15"/>
        <v>271.47113485562244</v>
      </c>
      <c r="M232" s="168">
        <f t="shared" si="15"/>
        <v>0</v>
      </c>
      <c r="N232" s="168">
        <f t="shared" si="15"/>
        <v>1058.4970776631737</v>
      </c>
      <c r="O232" s="168">
        <f t="shared" si="15"/>
        <v>0</v>
      </c>
      <c r="P232" s="168">
        <f t="shared" si="15"/>
        <v>0</v>
      </c>
      <c r="Q232" s="168">
        <f t="shared" si="15"/>
        <v>1.9402031056287485</v>
      </c>
      <c r="R232" s="168">
        <f t="shared" si="15"/>
        <v>145.32512484445286</v>
      </c>
      <c r="S232" s="168">
        <f t="shared" si="15"/>
        <v>0</v>
      </c>
      <c r="T232" s="168">
        <f t="shared" si="15"/>
        <v>5.0228258684195506</v>
      </c>
      <c r="U232" s="168">
        <f t="shared" si="15"/>
        <v>0</v>
      </c>
      <c r="V232" s="168">
        <f t="shared" si="15"/>
        <v>0</v>
      </c>
      <c r="W232" s="168">
        <f t="shared" si="15"/>
        <v>0</v>
      </c>
      <c r="X232" s="168">
        <f t="shared" si="15"/>
        <v>0</v>
      </c>
      <c r="Y232" s="168">
        <f t="shared" si="15"/>
        <v>0</v>
      </c>
      <c r="AQ232" s="3"/>
    </row>
    <row r="233" spans="3:43" x14ac:dyDescent="0.25">
      <c r="F233" s="94" t="s">
        <v>407</v>
      </c>
      <c r="G233" s="94" t="s">
        <v>208</v>
      </c>
      <c r="J233" s="168">
        <f t="shared" ref="J233:Y233" si="16">J$217</f>
        <v>15806.920141223518</v>
      </c>
      <c r="K233" s="168">
        <f t="shared" si="16"/>
        <v>0</v>
      </c>
      <c r="L233" s="168">
        <f t="shared" si="16"/>
        <v>1281.8727786592374</v>
      </c>
      <c r="M233" s="168">
        <f t="shared" si="16"/>
        <v>0</v>
      </c>
      <c r="N233" s="168">
        <f t="shared" si="16"/>
        <v>8561.5527711250361</v>
      </c>
      <c r="O233" s="168">
        <f t="shared" si="16"/>
        <v>2343.2212323604667</v>
      </c>
      <c r="P233" s="168">
        <f t="shared" si="16"/>
        <v>978.53773899737985</v>
      </c>
      <c r="Q233" s="168">
        <f t="shared" si="16"/>
        <v>17.838169837481313</v>
      </c>
      <c r="R233" s="168">
        <f t="shared" si="16"/>
        <v>466.59485317295298</v>
      </c>
      <c r="S233" s="168">
        <f t="shared" si="16"/>
        <v>0</v>
      </c>
      <c r="T233" s="168">
        <f t="shared" si="16"/>
        <v>16.956105770532645</v>
      </c>
      <c r="U233" s="168">
        <f t="shared" si="16"/>
        <v>0</v>
      </c>
      <c r="V233" s="168">
        <f t="shared" si="16"/>
        <v>0</v>
      </c>
      <c r="W233" s="168">
        <f t="shared" si="16"/>
        <v>0</v>
      </c>
      <c r="X233" s="168">
        <f t="shared" si="16"/>
        <v>0</v>
      </c>
      <c r="Y233" s="168">
        <f t="shared" si="16"/>
        <v>0</v>
      </c>
      <c r="AQ233" s="3"/>
    </row>
    <row r="234" spans="3:43" x14ac:dyDescent="0.25">
      <c r="F234" s="94" t="s">
        <v>408</v>
      </c>
      <c r="G234" s="94" t="s">
        <v>168</v>
      </c>
      <c r="J234" s="197">
        <f>IF(J$39, J$45, J$34)</f>
        <v>0.40616372981393162</v>
      </c>
      <c r="K234" s="197">
        <f t="shared" ref="K234:Y234" si="17">IF(K$39, K$45, K$34)</f>
        <v>0.40616372981393162</v>
      </c>
      <c r="L234" s="197">
        <f t="shared" si="17"/>
        <v>0.40616372981393162</v>
      </c>
      <c r="M234" s="197">
        <f t="shared" si="17"/>
        <v>0.40616372981393162</v>
      </c>
      <c r="N234" s="197">
        <f t="shared" si="17"/>
        <v>0.40616372981393162</v>
      </c>
      <c r="O234" s="197">
        <f t="shared" si="17"/>
        <v>0</v>
      </c>
      <c r="P234" s="197">
        <f t="shared" si="17"/>
        <v>0</v>
      </c>
      <c r="Q234" s="197">
        <f t="shared" si="17"/>
        <v>0.40616372981393162</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409</v>
      </c>
      <c r="G235" s="94" t="s">
        <v>168</v>
      </c>
      <c r="J235" s="197">
        <f>IF(J$39, J$45, J$35)</f>
        <v>0.60195264388674885</v>
      </c>
      <c r="K235" s="197">
        <f t="shared" ref="K235:Y235" si="18">IF(K$39, K$45, K$35)</f>
        <v>0.60195264388674885</v>
      </c>
      <c r="L235" s="197">
        <f t="shared" si="18"/>
        <v>0.60195264388674885</v>
      </c>
      <c r="M235" s="197">
        <f t="shared" si="18"/>
        <v>0.60195264388674885</v>
      </c>
      <c r="N235" s="197">
        <f t="shared" si="18"/>
        <v>0.60195264388674885</v>
      </c>
      <c r="O235" s="197">
        <f t="shared" si="18"/>
        <v>0.31001856356310609</v>
      </c>
      <c r="P235" s="197">
        <f t="shared" si="18"/>
        <v>0.18036070704437224</v>
      </c>
      <c r="Q235" s="197">
        <f t="shared" si="18"/>
        <v>0.60195264388674885</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410</v>
      </c>
      <c r="G236" s="94" t="s">
        <v>208</v>
      </c>
      <c r="J236" s="168">
        <f t="shared" ref="J236:Y236" si="19">J232 * (1 - J234)</f>
        <v>2974.859575683884</v>
      </c>
      <c r="K236" s="168">
        <f t="shared" si="19"/>
        <v>0</v>
      </c>
      <c r="L236" s="168">
        <f t="shared" si="19"/>
        <v>161.20940618584203</v>
      </c>
      <c r="M236" s="168">
        <f t="shared" si="19"/>
        <v>0</v>
      </c>
      <c r="N236" s="168">
        <f t="shared" si="19"/>
        <v>628.57395660235227</v>
      </c>
      <c r="O236" s="168">
        <f t="shared" si="19"/>
        <v>0</v>
      </c>
      <c r="P236" s="168">
        <f t="shared" si="19"/>
        <v>0</v>
      </c>
      <c r="Q236" s="168">
        <f t="shared" si="19"/>
        <v>1.1521629756500027</v>
      </c>
      <c r="R236" s="168">
        <f t="shared" si="19"/>
        <v>145.32512484445286</v>
      </c>
      <c r="S236" s="168">
        <f t="shared" si="19"/>
        <v>0</v>
      </c>
      <c r="T236" s="168">
        <f t="shared" si="19"/>
        <v>5.0228258684195506</v>
      </c>
      <c r="U236" s="168">
        <f t="shared" si="19"/>
        <v>0</v>
      </c>
      <c r="V236" s="168">
        <f t="shared" si="19"/>
        <v>0</v>
      </c>
      <c r="W236" s="168">
        <f t="shared" si="19"/>
        <v>0</v>
      </c>
      <c r="X236" s="168">
        <f t="shared" si="19"/>
        <v>0</v>
      </c>
      <c r="Y236" s="168">
        <f t="shared" si="19"/>
        <v>0</v>
      </c>
      <c r="AQ236" s="3"/>
    </row>
    <row r="237" spans="3:43" x14ac:dyDescent="0.25">
      <c r="F237" s="101" t="s">
        <v>411</v>
      </c>
      <c r="G237" s="101" t="s">
        <v>208</v>
      </c>
      <c r="H237" s="96"/>
      <c r="I237" s="96"/>
      <c r="J237" s="173">
        <f t="shared" ref="J237:Y237" si="20">J233 * (1 - J235)</f>
        <v>6291.9027705073195</v>
      </c>
      <c r="K237" s="173">
        <f t="shared" si="20"/>
        <v>0</v>
      </c>
      <c r="L237" s="173">
        <f t="shared" si="20"/>
        <v>510.24607041885622</v>
      </c>
      <c r="M237" s="173">
        <f t="shared" si="20"/>
        <v>0</v>
      </c>
      <c r="N237" s="173">
        <f t="shared" si="20"/>
        <v>3407.9034447703993</v>
      </c>
      <c r="O237" s="173">
        <f t="shared" si="20"/>
        <v>1616.7791517935036</v>
      </c>
      <c r="P237" s="173">
        <f t="shared" si="20"/>
        <v>802.04798052221099</v>
      </c>
      <c r="Q237" s="173">
        <f t="shared" si="20"/>
        <v>7.1004363417085798</v>
      </c>
      <c r="R237" s="173">
        <f t="shared" si="20"/>
        <v>466.59485317295298</v>
      </c>
      <c r="S237" s="173">
        <f t="shared" si="20"/>
        <v>0</v>
      </c>
      <c r="T237" s="173">
        <f t="shared" si="20"/>
        <v>16.956105770532645</v>
      </c>
      <c r="U237" s="173">
        <f t="shared" si="20"/>
        <v>0</v>
      </c>
      <c r="V237" s="173">
        <f t="shared" si="20"/>
        <v>0</v>
      </c>
      <c r="W237" s="173">
        <f t="shared" si="20"/>
        <v>0</v>
      </c>
      <c r="X237" s="173">
        <f t="shared" si="20"/>
        <v>0</v>
      </c>
      <c r="Y237" s="173">
        <f t="shared" si="20"/>
        <v>0</v>
      </c>
      <c r="AQ237" s="3"/>
    </row>
    <row r="238" spans="3:43" x14ac:dyDescent="0.25">
      <c r="F238" s="94" t="s">
        <v>412</v>
      </c>
      <c r="G238" s="94" t="s">
        <v>208</v>
      </c>
      <c r="J238" s="151">
        <f t="shared" ref="J238:Y238" si="21">J231 + J236 + J237</f>
        <v>438764.76682252146</v>
      </c>
      <c r="K238" s="151">
        <f t="shared" si="21"/>
        <v>36.928307828276772</v>
      </c>
      <c r="L238" s="151">
        <f t="shared" si="21"/>
        <v>109434.03612280676</v>
      </c>
      <c r="M238" s="151">
        <f t="shared" si="21"/>
        <v>26.004708483632935</v>
      </c>
      <c r="N238" s="151">
        <f t="shared" si="21"/>
        <v>90308.691826729424</v>
      </c>
      <c r="O238" s="151">
        <f t="shared" si="21"/>
        <v>41249.426391070279</v>
      </c>
      <c r="P238" s="151">
        <f t="shared" si="21"/>
        <v>127473.05012901493</v>
      </c>
      <c r="Q238" s="151">
        <f t="shared" si="21"/>
        <v>2860.6386819365989</v>
      </c>
      <c r="R238" s="151">
        <f t="shared" si="21"/>
        <v>11199.507843454163</v>
      </c>
      <c r="S238" s="151">
        <f t="shared" si="21"/>
        <v>1296.193700379747</v>
      </c>
      <c r="T238" s="151">
        <f t="shared" si="21"/>
        <v>4453.5338269398771</v>
      </c>
      <c r="U238" s="151">
        <f t="shared" si="21"/>
        <v>0</v>
      </c>
      <c r="V238" s="151">
        <f t="shared" si="21"/>
        <v>0</v>
      </c>
      <c r="W238" s="151">
        <f t="shared" si="21"/>
        <v>0</v>
      </c>
      <c r="X238" s="151">
        <f t="shared" si="21"/>
        <v>57918.120807023566</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158</v>
      </c>
      <c r="I240" t="s">
        <v>155</v>
      </c>
      <c r="J240" s="106"/>
      <c r="K240" s="106"/>
      <c r="L240" s="106"/>
      <c r="M240" s="106"/>
      <c r="N240" s="106"/>
      <c r="O240" s="106"/>
      <c r="P240" s="106"/>
      <c r="Q240" s="106"/>
      <c r="R240" s="106"/>
      <c r="S240" s="106"/>
      <c r="T240" s="106"/>
      <c r="U240" s="106"/>
      <c r="V240" s="106"/>
      <c r="W240" s="106"/>
      <c r="X240" s="106"/>
      <c r="Y240" s="106"/>
      <c r="AA240" t="s">
        <v>310</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405</v>
      </c>
      <c r="G242" s="94" t="s">
        <v>208</v>
      </c>
      <c r="J242" s="168">
        <f t="shared" ref="J242:Y242" si="22">J$200</f>
        <v>2277341.5081239403</v>
      </c>
      <c r="K242" s="168">
        <f t="shared" si="22"/>
        <v>2889.7541426122689</v>
      </c>
      <c r="L242" s="168">
        <f t="shared" si="22"/>
        <v>916021.98852982686</v>
      </c>
      <c r="M242" s="168">
        <f t="shared" si="22"/>
        <v>1591.5677042444584</v>
      </c>
      <c r="N242" s="168">
        <f t="shared" si="22"/>
        <v>615356.23893458315</v>
      </c>
      <c r="O242" s="168">
        <f t="shared" si="22"/>
        <v>282912.62809665548</v>
      </c>
      <c r="P242" s="168">
        <f t="shared" si="22"/>
        <v>871599.76508462976</v>
      </c>
      <c r="Q242" s="168">
        <f t="shared" si="22"/>
        <v>30353.026811276453</v>
      </c>
      <c r="R242" s="168">
        <f t="shared" si="22"/>
        <v>116333.97645091746</v>
      </c>
      <c r="S242" s="168">
        <f t="shared" si="22"/>
        <v>11378.491454160423</v>
      </c>
      <c r="T242" s="168">
        <f t="shared" si="22"/>
        <v>41911.942901306917</v>
      </c>
      <c r="U242" s="168">
        <f t="shared" si="22"/>
        <v>0</v>
      </c>
      <c r="V242" s="168">
        <f t="shared" si="22"/>
        <v>0</v>
      </c>
      <c r="W242" s="168">
        <f t="shared" si="22"/>
        <v>0</v>
      </c>
      <c r="X242" s="168">
        <f t="shared" si="22"/>
        <v>316726.54989568843</v>
      </c>
      <c r="Y242" s="168">
        <f t="shared" si="22"/>
        <v>0</v>
      </c>
      <c r="AQ242" s="3"/>
    </row>
    <row r="243" spans="5:43" x14ac:dyDescent="0.25">
      <c r="F243" s="94" t="s">
        <v>406</v>
      </c>
      <c r="G243" s="94" t="s">
        <v>208</v>
      </c>
      <c r="J243" s="168">
        <f t="shared" ref="J243:Y243" si="23">J$209</f>
        <v>26428.293129180023</v>
      </c>
      <c r="K243" s="168">
        <f t="shared" si="23"/>
        <v>0</v>
      </c>
      <c r="L243" s="168">
        <f t="shared" si="23"/>
        <v>2322.9271519420281</v>
      </c>
      <c r="M243" s="168">
        <f t="shared" si="23"/>
        <v>0</v>
      </c>
      <c r="N243" s="168">
        <f t="shared" si="23"/>
        <v>7278.8915537922949</v>
      </c>
      <c r="O243" s="168">
        <f t="shared" si="23"/>
        <v>0</v>
      </c>
      <c r="P243" s="168">
        <f t="shared" si="23"/>
        <v>0</v>
      </c>
      <c r="Q243" s="168">
        <f t="shared" si="23"/>
        <v>21.14065363266138</v>
      </c>
      <c r="R243" s="168">
        <f t="shared" si="23"/>
        <v>1495.6729981168003</v>
      </c>
      <c r="S243" s="168">
        <f t="shared" si="23"/>
        <v>0</v>
      </c>
      <c r="T243" s="168">
        <f t="shared" si="23"/>
        <v>51.732406322701706</v>
      </c>
      <c r="U243" s="168">
        <f t="shared" si="23"/>
        <v>0</v>
      </c>
      <c r="V243" s="168">
        <f t="shared" si="23"/>
        <v>0</v>
      </c>
      <c r="W243" s="168">
        <f t="shared" si="23"/>
        <v>0</v>
      </c>
      <c r="X243" s="168">
        <f t="shared" si="23"/>
        <v>0</v>
      </c>
      <c r="Y243" s="168">
        <f t="shared" si="23"/>
        <v>0</v>
      </c>
      <c r="AQ243" s="3"/>
    </row>
    <row r="244" spans="5:43" x14ac:dyDescent="0.25">
      <c r="F244" s="94" t="s">
        <v>407</v>
      </c>
      <c r="G244" s="94" t="s">
        <v>208</v>
      </c>
      <c r="J244" s="168">
        <f t="shared" ref="J244:Y244" si="24">J$218</f>
        <v>83250.91527779217</v>
      </c>
      <c r="K244" s="168">
        <f t="shared" si="24"/>
        <v>0</v>
      </c>
      <c r="L244" s="168">
        <f t="shared" si="24"/>
        <v>10697.582675035281</v>
      </c>
      <c r="M244" s="168">
        <f t="shared" si="24"/>
        <v>0</v>
      </c>
      <c r="N244" s="168">
        <f t="shared" si="24"/>
        <v>57242.655247281975</v>
      </c>
      <c r="O244" s="168">
        <f t="shared" si="24"/>
        <v>15843.480902273992</v>
      </c>
      <c r="P244" s="168">
        <f t="shared" si="24"/>
        <v>6750.1048629776424</v>
      </c>
      <c r="Q244" s="168">
        <f t="shared" si="24"/>
        <v>150.1520020333262</v>
      </c>
      <c r="R244" s="168">
        <f t="shared" si="24"/>
        <v>4555.8514617856754</v>
      </c>
      <c r="S244" s="168">
        <f t="shared" si="24"/>
        <v>0</v>
      </c>
      <c r="T244" s="168">
        <f t="shared" si="24"/>
        <v>198.68381871026503</v>
      </c>
      <c r="U244" s="168">
        <f t="shared" si="24"/>
        <v>0</v>
      </c>
      <c r="V244" s="168">
        <f t="shared" si="24"/>
        <v>0</v>
      </c>
      <c r="W244" s="168">
        <f t="shared" si="24"/>
        <v>0</v>
      </c>
      <c r="X244" s="168">
        <f t="shared" si="24"/>
        <v>0</v>
      </c>
      <c r="Y244" s="168">
        <f t="shared" si="24"/>
        <v>0</v>
      </c>
      <c r="AQ244" s="3"/>
    </row>
    <row r="245" spans="5:43" x14ac:dyDescent="0.25">
      <c r="F245" s="94" t="s">
        <v>408</v>
      </c>
      <c r="G245" s="94" t="s">
        <v>168</v>
      </c>
      <c r="J245" s="198">
        <f t="shared" ref="J245:Y245" si="25">IF(J$39, J$45, J$34)</f>
        <v>0.40616372981393162</v>
      </c>
      <c r="K245" s="198">
        <f t="shared" si="25"/>
        <v>0.40616372981393162</v>
      </c>
      <c r="L245" s="198">
        <f t="shared" si="25"/>
        <v>0.40616372981393162</v>
      </c>
      <c r="M245" s="198">
        <f t="shared" si="25"/>
        <v>0.40616372981393162</v>
      </c>
      <c r="N245" s="198">
        <f t="shared" si="25"/>
        <v>0.40616372981393162</v>
      </c>
      <c r="O245" s="198">
        <f t="shared" si="25"/>
        <v>0</v>
      </c>
      <c r="P245" s="198">
        <f t="shared" si="25"/>
        <v>0</v>
      </c>
      <c r="Q245" s="198">
        <f t="shared" si="25"/>
        <v>0.40616372981393162</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409</v>
      </c>
      <c r="G246" s="94" t="s">
        <v>168</v>
      </c>
      <c r="J246" s="198">
        <f t="shared" ref="J246:Y246" si="26">IF(J$39, J$45, J$35)</f>
        <v>0.60195264388674885</v>
      </c>
      <c r="K246" s="198">
        <f t="shared" si="26"/>
        <v>0.60195264388674885</v>
      </c>
      <c r="L246" s="198">
        <f t="shared" si="26"/>
        <v>0.60195264388674885</v>
      </c>
      <c r="M246" s="198">
        <f t="shared" si="26"/>
        <v>0.60195264388674885</v>
      </c>
      <c r="N246" s="198">
        <f t="shared" si="26"/>
        <v>0.60195264388674885</v>
      </c>
      <c r="O246" s="198">
        <f t="shared" si="26"/>
        <v>0.31001856356310609</v>
      </c>
      <c r="P246" s="198">
        <f t="shared" si="26"/>
        <v>0.18036070704437224</v>
      </c>
      <c r="Q246" s="198">
        <f t="shared" si="26"/>
        <v>0.60195264388674885</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410</v>
      </c>
      <c r="G247" s="94" t="s">
        <v>208</v>
      </c>
      <c r="J247" s="168">
        <f t="shared" ref="J247:Y247" si="27">J243 * (1 - J245)</f>
        <v>15694.079019216364</v>
      </c>
      <c r="K247" s="168">
        <f t="shared" si="27"/>
        <v>0</v>
      </c>
      <c r="L247" s="168">
        <f t="shared" si="27"/>
        <v>1379.4383958232006</v>
      </c>
      <c r="M247" s="168">
        <f t="shared" si="27"/>
        <v>0</v>
      </c>
      <c r="N247" s="168">
        <f t="shared" si="27"/>
        <v>4322.4698113928926</v>
      </c>
      <c r="O247" s="168">
        <f t="shared" si="27"/>
        <v>0</v>
      </c>
      <c r="P247" s="168">
        <f t="shared" si="27"/>
        <v>0</v>
      </c>
      <c r="Q247" s="168">
        <f t="shared" si="27"/>
        <v>12.554086902515193</v>
      </c>
      <c r="R247" s="168">
        <f t="shared" si="27"/>
        <v>1495.6729981168003</v>
      </c>
      <c r="S247" s="168">
        <f t="shared" si="27"/>
        <v>0</v>
      </c>
      <c r="T247" s="168">
        <f t="shared" si="27"/>
        <v>51.732406322701706</v>
      </c>
      <c r="U247" s="168">
        <f t="shared" si="27"/>
        <v>0</v>
      </c>
      <c r="V247" s="168">
        <f t="shared" si="27"/>
        <v>0</v>
      </c>
      <c r="W247" s="168">
        <f t="shared" si="27"/>
        <v>0</v>
      </c>
      <c r="X247" s="168">
        <f t="shared" si="27"/>
        <v>0</v>
      </c>
      <c r="Y247" s="168">
        <f t="shared" si="27"/>
        <v>0</v>
      </c>
      <c r="AQ247" s="3"/>
    </row>
    <row r="248" spans="5:43" x14ac:dyDescent="0.25">
      <c r="F248" s="101" t="s">
        <v>411</v>
      </c>
      <c r="G248" s="101" t="s">
        <v>208</v>
      </c>
      <c r="H248" s="96"/>
      <c r="I248" s="96"/>
      <c r="J248" s="173">
        <f t="shared" ref="J248:Y248" si="28">J244 * (1 - J246)</f>
        <v>33137.806720333443</v>
      </c>
      <c r="K248" s="173">
        <f t="shared" si="28"/>
        <v>0</v>
      </c>
      <c r="L248" s="173">
        <f t="shared" si="28"/>
        <v>4258.1445006007143</v>
      </c>
      <c r="M248" s="173">
        <f t="shared" si="28"/>
        <v>0</v>
      </c>
      <c r="N248" s="173">
        <f t="shared" si="28"/>
        <v>22785.287578082913</v>
      </c>
      <c r="O248" s="173">
        <f t="shared" si="28"/>
        <v>10931.707711111505</v>
      </c>
      <c r="P248" s="173">
        <f t="shared" si="28"/>
        <v>5532.6511772673393</v>
      </c>
      <c r="Q248" s="173">
        <f t="shared" si="28"/>
        <v>59.767607424477006</v>
      </c>
      <c r="R248" s="173">
        <f t="shared" si="28"/>
        <v>4555.8514617856754</v>
      </c>
      <c r="S248" s="173">
        <f t="shared" si="28"/>
        <v>0</v>
      </c>
      <c r="T248" s="173">
        <f t="shared" si="28"/>
        <v>198.68381871026503</v>
      </c>
      <c r="U248" s="173">
        <f t="shared" si="28"/>
        <v>0</v>
      </c>
      <c r="V248" s="173">
        <f t="shared" si="28"/>
        <v>0</v>
      </c>
      <c r="W248" s="173">
        <f t="shared" si="28"/>
        <v>0</v>
      </c>
      <c r="X248" s="173">
        <f t="shared" si="28"/>
        <v>0</v>
      </c>
      <c r="Y248" s="173">
        <f t="shared" si="28"/>
        <v>0</v>
      </c>
      <c r="AQ248" s="3"/>
    </row>
    <row r="249" spans="5:43" x14ac:dyDescent="0.25">
      <c r="F249" s="94" t="s">
        <v>412</v>
      </c>
      <c r="G249" s="94" t="s">
        <v>208</v>
      </c>
      <c r="J249" s="151">
        <f t="shared" ref="J249:Y249" si="29">J242 + J247 + J248</f>
        <v>2326173.3938634903</v>
      </c>
      <c r="K249" s="151">
        <f t="shared" si="29"/>
        <v>2889.7541426122689</v>
      </c>
      <c r="L249" s="151">
        <f t="shared" si="29"/>
        <v>921659.57142625086</v>
      </c>
      <c r="M249" s="151">
        <f t="shared" si="29"/>
        <v>1591.5677042444584</v>
      </c>
      <c r="N249" s="151">
        <f t="shared" si="29"/>
        <v>642463.99632405897</v>
      </c>
      <c r="O249" s="151">
        <f t="shared" si="29"/>
        <v>293844.335807767</v>
      </c>
      <c r="P249" s="151">
        <f t="shared" si="29"/>
        <v>877132.41626189707</v>
      </c>
      <c r="Q249" s="151">
        <f t="shared" si="29"/>
        <v>30425.348505603444</v>
      </c>
      <c r="R249" s="151">
        <f t="shared" si="29"/>
        <v>122385.50091081993</v>
      </c>
      <c r="S249" s="151">
        <f t="shared" si="29"/>
        <v>11378.491454160423</v>
      </c>
      <c r="T249" s="151">
        <f t="shared" si="29"/>
        <v>42162.359126339878</v>
      </c>
      <c r="U249" s="151">
        <f t="shared" si="29"/>
        <v>0</v>
      </c>
      <c r="V249" s="151">
        <f t="shared" si="29"/>
        <v>0</v>
      </c>
      <c r="W249" s="151">
        <f t="shared" si="29"/>
        <v>0</v>
      </c>
      <c r="X249" s="151">
        <f t="shared" si="29"/>
        <v>316726.54989568843</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159</v>
      </c>
      <c r="I251" t="s">
        <v>155</v>
      </c>
      <c r="J251" s="106"/>
      <c r="K251" s="106"/>
      <c r="L251" s="106"/>
      <c r="M251" s="106"/>
      <c r="N251" s="106"/>
      <c r="O251" s="106"/>
      <c r="P251" s="106"/>
      <c r="Q251" s="106"/>
      <c r="R251" s="106"/>
      <c r="S251" s="106"/>
      <c r="T251" s="106"/>
      <c r="U251" s="106"/>
      <c r="V251" s="106"/>
      <c r="W251" s="106"/>
      <c r="X251" s="106"/>
      <c r="Y251" s="106"/>
      <c r="AA251" t="s">
        <v>310</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405</v>
      </c>
      <c r="G253" s="94" t="s">
        <v>208</v>
      </c>
      <c r="J253" s="168">
        <f t="shared" ref="J253:Y253" si="30">J$201</f>
        <v>2713027.6525349491</v>
      </c>
      <c r="K253" s="168">
        <f t="shared" si="30"/>
        <v>22694.611658437898</v>
      </c>
      <c r="L253" s="168">
        <f t="shared" si="30"/>
        <v>739885.53344140563</v>
      </c>
      <c r="M253" s="168">
        <f t="shared" si="30"/>
        <v>11266.245993465296</v>
      </c>
      <c r="N253" s="168">
        <f t="shared" si="30"/>
        <v>561979.74270272814</v>
      </c>
      <c r="O253" s="168">
        <f t="shared" si="30"/>
        <v>286248.30862116517</v>
      </c>
      <c r="P253" s="168">
        <f t="shared" si="30"/>
        <v>983831.95882474363</v>
      </c>
      <c r="Q253" s="168">
        <f t="shared" si="30"/>
        <v>65533.820926985551</v>
      </c>
      <c r="R253" s="168">
        <f t="shared" si="30"/>
        <v>48093.062634059701</v>
      </c>
      <c r="S253" s="168">
        <f t="shared" si="30"/>
        <v>11582.900696102439</v>
      </c>
      <c r="T253" s="168">
        <f t="shared" si="30"/>
        <v>30515.320471081926</v>
      </c>
      <c r="U253" s="168">
        <f t="shared" si="30"/>
        <v>0</v>
      </c>
      <c r="V253" s="168">
        <f t="shared" si="30"/>
        <v>0</v>
      </c>
      <c r="W253" s="168">
        <f t="shared" si="30"/>
        <v>0</v>
      </c>
      <c r="X253" s="168">
        <f t="shared" si="30"/>
        <v>252665.02390971759</v>
      </c>
      <c r="Y253" s="168">
        <f t="shared" si="30"/>
        <v>0</v>
      </c>
      <c r="AQ253" s="3"/>
    </row>
    <row r="254" spans="5:43" x14ac:dyDescent="0.25">
      <c r="F254" s="94" t="s">
        <v>406</v>
      </c>
      <c r="G254" s="94" t="s">
        <v>208</v>
      </c>
      <c r="J254" s="168">
        <f t="shared" ref="J254:Y254" si="31">J$210</f>
        <v>28347.544883023802</v>
      </c>
      <c r="K254" s="168">
        <f t="shared" si="31"/>
        <v>0</v>
      </c>
      <c r="L254" s="168">
        <f t="shared" si="31"/>
        <v>1719.0178641330383</v>
      </c>
      <c r="M254" s="168">
        <f t="shared" si="31"/>
        <v>0</v>
      </c>
      <c r="N254" s="168">
        <f t="shared" si="31"/>
        <v>4927.6281000945874</v>
      </c>
      <c r="O254" s="168">
        <f t="shared" si="31"/>
        <v>0</v>
      </c>
      <c r="P254" s="168">
        <f t="shared" si="31"/>
        <v>0</v>
      </c>
      <c r="Q254" s="168">
        <f t="shared" si="31"/>
        <v>112.2474972102397</v>
      </c>
      <c r="R254" s="168">
        <f t="shared" si="31"/>
        <v>617.57032877021857</v>
      </c>
      <c r="S254" s="168">
        <f t="shared" si="31"/>
        <v>0</v>
      </c>
      <c r="T254" s="168">
        <f t="shared" si="31"/>
        <v>23.479247066598283</v>
      </c>
      <c r="U254" s="168">
        <f t="shared" si="31"/>
        <v>0</v>
      </c>
      <c r="V254" s="168">
        <f t="shared" si="31"/>
        <v>0</v>
      </c>
      <c r="W254" s="168">
        <f t="shared" si="31"/>
        <v>0</v>
      </c>
      <c r="X254" s="168">
        <f t="shared" si="31"/>
        <v>0</v>
      </c>
      <c r="Y254" s="168">
        <f t="shared" si="31"/>
        <v>0</v>
      </c>
      <c r="AQ254" s="3"/>
    </row>
    <row r="255" spans="5:43" x14ac:dyDescent="0.25">
      <c r="F255" s="94" t="s">
        <v>407</v>
      </c>
      <c r="G255" s="94" t="s">
        <v>208</v>
      </c>
      <c r="J255" s="168">
        <f t="shared" ref="J255:Y255" si="32">J$219</f>
        <v>89567.546196383468</v>
      </c>
      <c r="K255" s="168">
        <f t="shared" si="32"/>
        <v>0</v>
      </c>
      <c r="L255" s="168">
        <f t="shared" si="32"/>
        <v>8115.9870100221842</v>
      </c>
      <c r="M255" s="168">
        <f t="shared" si="32"/>
        <v>0</v>
      </c>
      <c r="N255" s="168">
        <f t="shared" si="32"/>
        <v>52483.575890151464</v>
      </c>
      <c r="O255" s="168">
        <f t="shared" si="32"/>
        <v>11971.184714959993</v>
      </c>
      <c r="P255" s="168">
        <f t="shared" si="32"/>
        <v>7250.9748052768582</v>
      </c>
      <c r="Q255" s="168">
        <f t="shared" si="32"/>
        <v>552.57196150196364</v>
      </c>
      <c r="R255" s="168">
        <f t="shared" si="32"/>
        <v>1893.3826305946161</v>
      </c>
      <c r="S255" s="168">
        <f t="shared" si="32"/>
        <v>0</v>
      </c>
      <c r="T255" s="168">
        <f t="shared" si="32"/>
        <v>172.2190311826773</v>
      </c>
      <c r="U255" s="168">
        <f t="shared" si="32"/>
        <v>0</v>
      </c>
      <c r="V255" s="168">
        <f t="shared" si="32"/>
        <v>0</v>
      </c>
      <c r="W255" s="168">
        <f t="shared" si="32"/>
        <v>0</v>
      </c>
      <c r="X255" s="168">
        <f t="shared" si="32"/>
        <v>0</v>
      </c>
      <c r="Y255" s="168">
        <f t="shared" si="32"/>
        <v>0</v>
      </c>
      <c r="AQ255" s="3"/>
    </row>
    <row r="256" spans="5:43" x14ac:dyDescent="0.25">
      <c r="F256" s="94" t="s">
        <v>408</v>
      </c>
      <c r="G256" s="94" t="s">
        <v>168</v>
      </c>
      <c r="J256" s="198">
        <f t="shared" ref="J256:Y256" si="33">IF(J$39, J$45, J$34)</f>
        <v>0.40616372981393162</v>
      </c>
      <c r="K256" s="198">
        <f t="shared" si="33"/>
        <v>0.40616372981393162</v>
      </c>
      <c r="L256" s="198">
        <f t="shared" si="33"/>
        <v>0.40616372981393162</v>
      </c>
      <c r="M256" s="198">
        <f t="shared" si="33"/>
        <v>0.40616372981393162</v>
      </c>
      <c r="N256" s="198">
        <f t="shared" si="33"/>
        <v>0.40616372981393162</v>
      </c>
      <c r="O256" s="198">
        <f t="shared" si="33"/>
        <v>0</v>
      </c>
      <c r="P256" s="198">
        <f t="shared" si="33"/>
        <v>0</v>
      </c>
      <c r="Q256" s="198">
        <f t="shared" si="33"/>
        <v>0.40616372981393162</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409</v>
      </c>
      <c r="G257" s="94" t="s">
        <v>168</v>
      </c>
      <c r="J257" s="198">
        <f t="shared" ref="J257:Y257" si="34">IF(J$39, J$45, J$35)</f>
        <v>0.60195264388674885</v>
      </c>
      <c r="K257" s="198">
        <f t="shared" si="34"/>
        <v>0.60195264388674885</v>
      </c>
      <c r="L257" s="198">
        <f t="shared" si="34"/>
        <v>0.60195264388674885</v>
      </c>
      <c r="M257" s="198">
        <f t="shared" si="34"/>
        <v>0.60195264388674885</v>
      </c>
      <c r="N257" s="198">
        <f t="shared" si="34"/>
        <v>0.60195264388674885</v>
      </c>
      <c r="O257" s="198">
        <f t="shared" si="34"/>
        <v>0.31001856356310609</v>
      </c>
      <c r="P257" s="198">
        <f t="shared" si="34"/>
        <v>0.18036070704437224</v>
      </c>
      <c r="Q257" s="198">
        <f t="shared" si="34"/>
        <v>0.60195264388674885</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410</v>
      </c>
      <c r="G258" s="94" t="s">
        <v>208</v>
      </c>
      <c r="J258" s="168">
        <f t="shared" ref="J258:Y258" si="35">J254 * (1 - J256)</f>
        <v>16833.800322267023</v>
      </c>
      <c r="K258" s="168">
        <f t="shared" si="35"/>
        <v>0</v>
      </c>
      <c r="L258" s="168">
        <f t="shared" si="35"/>
        <v>1020.8151568199852</v>
      </c>
      <c r="M258" s="168">
        <f t="shared" si="35"/>
        <v>0</v>
      </c>
      <c r="N258" s="168">
        <f t="shared" si="35"/>
        <v>2926.2042918242323</v>
      </c>
      <c r="O258" s="168">
        <f t="shared" si="35"/>
        <v>0</v>
      </c>
      <c r="P258" s="168">
        <f t="shared" si="35"/>
        <v>0</v>
      </c>
      <c r="Q258" s="168">
        <f t="shared" si="35"/>
        <v>66.65663508104987</v>
      </c>
      <c r="R258" s="168">
        <f t="shared" si="35"/>
        <v>617.57032877021857</v>
      </c>
      <c r="S258" s="168">
        <f t="shared" si="35"/>
        <v>0</v>
      </c>
      <c r="T258" s="168">
        <f t="shared" si="35"/>
        <v>23.479247066598283</v>
      </c>
      <c r="U258" s="168">
        <f t="shared" si="35"/>
        <v>0</v>
      </c>
      <c r="V258" s="168">
        <f t="shared" si="35"/>
        <v>0</v>
      </c>
      <c r="W258" s="168">
        <f t="shared" si="35"/>
        <v>0</v>
      </c>
      <c r="X258" s="168">
        <f t="shared" si="35"/>
        <v>0</v>
      </c>
      <c r="Y258" s="168">
        <f t="shared" si="35"/>
        <v>0</v>
      </c>
      <c r="AQ258" s="3"/>
    </row>
    <row r="259" spans="5:43" x14ac:dyDescent="0.25">
      <c r="F259" s="101" t="s">
        <v>411</v>
      </c>
      <c r="G259" s="101" t="s">
        <v>208</v>
      </c>
      <c r="H259" s="96"/>
      <c r="I259" s="96"/>
      <c r="J259" s="173">
        <f t="shared" ref="J259:Y259" si="36">J255 * (1 - J257)</f>
        <v>35652.124957021922</v>
      </c>
      <c r="K259" s="173">
        <f t="shared" si="36"/>
        <v>0</v>
      </c>
      <c r="L259" s="173">
        <f t="shared" si="36"/>
        <v>3230.5471715888207</v>
      </c>
      <c r="M259" s="173">
        <f t="shared" si="36"/>
        <v>0</v>
      </c>
      <c r="N259" s="173">
        <f t="shared" si="36"/>
        <v>20890.948622443961</v>
      </c>
      <c r="O259" s="173">
        <f t="shared" si="36"/>
        <v>8259.895225479484</v>
      </c>
      <c r="P259" s="173">
        <f t="shared" si="36"/>
        <v>5943.183862636195</v>
      </c>
      <c r="Q259" s="173">
        <f t="shared" si="36"/>
        <v>219.94980833816982</v>
      </c>
      <c r="R259" s="173">
        <f t="shared" si="36"/>
        <v>1893.3826305946161</v>
      </c>
      <c r="S259" s="173">
        <f t="shared" si="36"/>
        <v>0</v>
      </c>
      <c r="T259" s="173">
        <f t="shared" si="36"/>
        <v>172.2190311826773</v>
      </c>
      <c r="U259" s="173">
        <f t="shared" si="36"/>
        <v>0</v>
      </c>
      <c r="V259" s="173">
        <f t="shared" si="36"/>
        <v>0</v>
      </c>
      <c r="W259" s="173">
        <f t="shared" si="36"/>
        <v>0</v>
      </c>
      <c r="X259" s="173">
        <f t="shared" si="36"/>
        <v>0</v>
      </c>
      <c r="Y259" s="173">
        <f t="shared" si="36"/>
        <v>0</v>
      </c>
      <c r="AQ259" s="3"/>
    </row>
    <row r="260" spans="5:43" x14ac:dyDescent="0.25">
      <c r="F260" s="94" t="s">
        <v>412</v>
      </c>
      <c r="G260" s="94" t="s">
        <v>208</v>
      </c>
      <c r="J260" s="151">
        <f t="shared" ref="J260:Y260" si="37">J253 + J258 + J259</f>
        <v>2765513.5778142381</v>
      </c>
      <c r="K260" s="151">
        <f t="shared" si="37"/>
        <v>22694.611658437898</v>
      </c>
      <c r="L260" s="151">
        <f t="shared" si="37"/>
        <v>744136.89576981449</v>
      </c>
      <c r="M260" s="151">
        <f t="shared" si="37"/>
        <v>11266.245993465296</v>
      </c>
      <c r="N260" s="151">
        <f t="shared" si="37"/>
        <v>585796.89561699633</v>
      </c>
      <c r="O260" s="151">
        <f t="shared" si="37"/>
        <v>294508.20384664467</v>
      </c>
      <c r="P260" s="151">
        <f t="shared" si="37"/>
        <v>989775.14268737985</v>
      </c>
      <c r="Q260" s="151">
        <f t="shared" si="37"/>
        <v>65820.427370404781</v>
      </c>
      <c r="R260" s="151">
        <f t="shared" si="37"/>
        <v>50604.015593424534</v>
      </c>
      <c r="S260" s="151">
        <f t="shared" si="37"/>
        <v>11582.900696102439</v>
      </c>
      <c r="T260" s="151">
        <f t="shared" si="37"/>
        <v>30711.018749331204</v>
      </c>
      <c r="U260" s="151">
        <f t="shared" si="37"/>
        <v>0</v>
      </c>
      <c r="V260" s="151">
        <f t="shared" si="37"/>
        <v>0</v>
      </c>
      <c r="W260" s="151">
        <f t="shared" si="37"/>
        <v>0</v>
      </c>
      <c r="X260" s="151">
        <f t="shared" si="37"/>
        <v>252665.02390971759</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413</v>
      </c>
      <c r="I262" t="s">
        <v>155</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412</v>
      </c>
      <c r="G264" s="94" t="s">
        <v>208</v>
      </c>
      <c r="J264" s="168">
        <f t="shared" ref="J264:Y264" si="38">J260 + J249 + J238</f>
        <v>5530451.7385002496</v>
      </c>
      <c r="K264" s="168">
        <f t="shared" si="38"/>
        <v>25621.294108878443</v>
      </c>
      <c r="L264" s="168">
        <f t="shared" si="38"/>
        <v>1775230.5033188723</v>
      </c>
      <c r="M264" s="168">
        <f t="shared" si="38"/>
        <v>12883.818406193388</v>
      </c>
      <c r="N264" s="168">
        <f t="shared" si="38"/>
        <v>1318569.5837677845</v>
      </c>
      <c r="O264" s="168">
        <f t="shared" si="38"/>
        <v>629601.96604548185</v>
      </c>
      <c r="P264" s="168">
        <f t="shared" si="38"/>
        <v>1994380.6090782918</v>
      </c>
      <c r="Q264" s="168">
        <f t="shared" si="38"/>
        <v>99106.414557944823</v>
      </c>
      <c r="R264" s="168">
        <f t="shared" si="38"/>
        <v>184189.02434769864</v>
      </c>
      <c r="S264" s="168">
        <f t="shared" si="38"/>
        <v>24257.585850642608</v>
      </c>
      <c r="T264" s="168">
        <f t="shared" si="38"/>
        <v>77326.91170261096</v>
      </c>
      <c r="U264" s="168">
        <f t="shared" si="38"/>
        <v>0</v>
      </c>
      <c r="V264" s="168">
        <f t="shared" si="38"/>
        <v>0</v>
      </c>
      <c r="W264" s="168">
        <f t="shared" si="38"/>
        <v>0</v>
      </c>
      <c r="X264" s="168">
        <f t="shared" si="38"/>
        <v>627309.69461242959</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213</v>
      </c>
      <c r="I266" t="s">
        <v>155</v>
      </c>
      <c r="J266" s="106"/>
      <c r="K266" s="106"/>
      <c r="L266" s="106"/>
      <c r="M266" s="106"/>
      <c r="N266" s="106"/>
      <c r="O266" s="106"/>
      <c r="P266" s="106"/>
      <c r="Q266" s="106"/>
      <c r="R266" s="106"/>
      <c r="S266" s="106"/>
      <c r="T266" s="106"/>
      <c r="U266" s="106"/>
      <c r="V266" s="106"/>
      <c r="W266" s="106"/>
      <c r="X266" s="106"/>
      <c r="Y266" s="106"/>
      <c r="AA266" t="s">
        <v>310</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405</v>
      </c>
      <c r="G268" s="94" t="s">
        <v>213</v>
      </c>
      <c r="J268" s="168">
        <f t="shared" ref="J268:Y268" si="39">J202</f>
        <v>1521199.0698093434</v>
      </c>
      <c r="K268" s="168">
        <f t="shared" si="39"/>
        <v>0</v>
      </c>
      <c r="L268" s="168">
        <f t="shared" si="39"/>
        <v>139344.77139611001</v>
      </c>
      <c r="M268" s="168">
        <f t="shared" si="39"/>
        <v>0</v>
      </c>
      <c r="N268" s="168">
        <f t="shared" si="39"/>
        <v>8754.6579525143989</v>
      </c>
      <c r="O268" s="168">
        <f t="shared" si="39"/>
        <v>1697.1378227327129</v>
      </c>
      <c r="P268" s="168">
        <f t="shared" si="39"/>
        <v>1126.2316396770004</v>
      </c>
      <c r="Q268" s="168">
        <f t="shared" si="39"/>
        <v>1657</v>
      </c>
      <c r="R268" s="168">
        <f t="shared" si="39"/>
        <v>0</v>
      </c>
      <c r="S268" s="168">
        <f t="shared" si="39"/>
        <v>0</v>
      </c>
      <c r="T268" s="168">
        <f t="shared" si="39"/>
        <v>0</v>
      </c>
      <c r="U268" s="168">
        <f t="shared" si="39"/>
        <v>0</v>
      </c>
      <c r="V268" s="168">
        <f t="shared" si="39"/>
        <v>0</v>
      </c>
      <c r="W268" s="168">
        <f t="shared" si="39"/>
        <v>0</v>
      </c>
      <c r="X268" s="168">
        <f t="shared" si="39"/>
        <v>320.50176836858998</v>
      </c>
      <c r="Y268" s="168">
        <f t="shared" si="39"/>
        <v>0</v>
      </c>
      <c r="AQ268" s="3"/>
    </row>
    <row r="269" spans="5:43" x14ac:dyDescent="0.25">
      <c r="F269" s="94" t="s">
        <v>406</v>
      </c>
      <c r="G269" s="94" t="s">
        <v>213</v>
      </c>
      <c r="J269" s="168">
        <f t="shared" ref="J269:Y269" si="40">J211</f>
        <v>21273.515194887394</v>
      </c>
      <c r="K269" s="168">
        <f t="shared" si="40"/>
        <v>0</v>
      </c>
      <c r="L269" s="168">
        <f t="shared" si="40"/>
        <v>515.29324029899419</v>
      </c>
      <c r="M269" s="168">
        <f t="shared" si="40"/>
        <v>0</v>
      </c>
      <c r="N269" s="168">
        <f t="shared" si="40"/>
        <v>161.91258922113039</v>
      </c>
      <c r="O269" s="168">
        <f t="shared" si="40"/>
        <v>0</v>
      </c>
      <c r="P269" s="168">
        <f t="shared" si="40"/>
        <v>0</v>
      </c>
      <c r="Q269" s="168">
        <f t="shared" si="40"/>
        <v>80.95629461056518</v>
      </c>
      <c r="R269" s="168">
        <f t="shared" si="40"/>
        <v>0</v>
      </c>
      <c r="S269" s="168">
        <f t="shared" si="40"/>
        <v>0</v>
      </c>
      <c r="T269" s="168">
        <f t="shared" si="40"/>
        <v>1.2850205493740503</v>
      </c>
      <c r="U269" s="168">
        <f t="shared" si="40"/>
        <v>0</v>
      </c>
      <c r="V269" s="168">
        <f t="shared" si="40"/>
        <v>0</v>
      </c>
      <c r="W269" s="168">
        <f t="shared" si="40"/>
        <v>0</v>
      </c>
      <c r="X269" s="168">
        <f t="shared" si="40"/>
        <v>0</v>
      </c>
      <c r="Y269" s="168">
        <f t="shared" si="40"/>
        <v>0</v>
      </c>
      <c r="AQ269" s="3"/>
    </row>
    <row r="270" spans="5:43" x14ac:dyDescent="0.25">
      <c r="F270" s="94" t="s">
        <v>407</v>
      </c>
      <c r="G270" s="94" t="s">
        <v>213</v>
      </c>
      <c r="J270" s="168">
        <f t="shared" ref="J270:Y270" si="41">J220</f>
        <v>69257.467529063841</v>
      </c>
      <c r="K270" s="168">
        <f t="shared" si="41"/>
        <v>0</v>
      </c>
      <c r="L270" s="168">
        <f t="shared" si="41"/>
        <v>1696.2271251737466</v>
      </c>
      <c r="M270" s="168">
        <f t="shared" si="41"/>
        <v>0</v>
      </c>
      <c r="N270" s="168">
        <f t="shared" si="41"/>
        <v>507.58311700274993</v>
      </c>
      <c r="O270" s="168">
        <f t="shared" si="41"/>
        <v>39.835637030595571</v>
      </c>
      <c r="P270" s="168">
        <f t="shared" si="41"/>
        <v>14.135226043114557</v>
      </c>
      <c r="Q270" s="168">
        <f t="shared" si="41"/>
        <v>221.02353449233675</v>
      </c>
      <c r="R270" s="168">
        <f t="shared" si="41"/>
        <v>0</v>
      </c>
      <c r="S270" s="168">
        <f t="shared" si="41"/>
        <v>0</v>
      </c>
      <c r="T270" s="168">
        <f t="shared" si="41"/>
        <v>8.9951438456183546</v>
      </c>
      <c r="U270" s="168">
        <f t="shared" si="41"/>
        <v>0</v>
      </c>
      <c r="V270" s="168">
        <f t="shared" si="41"/>
        <v>0</v>
      </c>
      <c r="W270" s="168">
        <f t="shared" si="41"/>
        <v>0</v>
      </c>
      <c r="X270" s="168">
        <f t="shared" si="41"/>
        <v>0</v>
      </c>
      <c r="Y270" s="168">
        <f t="shared" si="41"/>
        <v>0</v>
      </c>
      <c r="AQ270" s="3"/>
    </row>
    <row r="271" spans="5:43" x14ac:dyDescent="0.25">
      <c r="F271" s="94" t="s">
        <v>408</v>
      </c>
      <c r="G271" s="94" t="s">
        <v>168</v>
      </c>
      <c r="J271" s="198">
        <f t="shared" ref="J271:Y271" si="42">IF(J$40, J$46, J$34)</f>
        <v>0.40616372981393162</v>
      </c>
      <c r="K271" s="198">
        <f t="shared" si="42"/>
        <v>0.40616372981393162</v>
      </c>
      <c r="L271" s="198">
        <f t="shared" si="42"/>
        <v>0.40616372981393162</v>
      </c>
      <c r="M271" s="198">
        <f t="shared" si="42"/>
        <v>0.40616372981393162</v>
      </c>
      <c r="N271" s="198">
        <f t="shared" si="42"/>
        <v>0.40616372981393162</v>
      </c>
      <c r="O271" s="198">
        <f t="shared" si="42"/>
        <v>0</v>
      </c>
      <c r="P271" s="198">
        <f t="shared" si="42"/>
        <v>0</v>
      </c>
      <c r="Q271" s="198">
        <f t="shared" si="42"/>
        <v>0.40616372981393162</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409</v>
      </c>
      <c r="G272" s="94" t="s">
        <v>168</v>
      </c>
      <c r="J272" s="198">
        <f t="shared" ref="J272:Y272" si="43">IF(J$40, J$46, J$35)</f>
        <v>0.60195264388674885</v>
      </c>
      <c r="K272" s="198">
        <f t="shared" si="43"/>
        <v>0.60195264388674885</v>
      </c>
      <c r="L272" s="198">
        <f t="shared" si="43"/>
        <v>0.60195264388674885</v>
      </c>
      <c r="M272" s="198">
        <f t="shared" si="43"/>
        <v>0.60195264388674885</v>
      </c>
      <c r="N272" s="198">
        <f t="shared" si="43"/>
        <v>0.60195264388674885</v>
      </c>
      <c r="O272" s="198">
        <f t="shared" si="43"/>
        <v>0.31001856356310609</v>
      </c>
      <c r="P272" s="198">
        <f t="shared" si="43"/>
        <v>0.18036070704437224</v>
      </c>
      <c r="Q272" s="198">
        <f t="shared" si="43"/>
        <v>0.60195264388674885</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410</v>
      </c>
      <c r="G273" s="94" t="s">
        <v>213</v>
      </c>
      <c r="J273" s="168">
        <f t="shared" ref="J273:Y273" si="44">J269 * (1 - J271)</f>
        <v>12632.984917078582</v>
      </c>
      <c r="K273" s="168">
        <f t="shared" si="44"/>
        <v>0</v>
      </c>
      <c r="L273" s="168">
        <f t="shared" si="44"/>
        <v>305.99981587124819</v>
      </c>
      <c r="M273" s="168">
        <f t="shared" si="44"/>
        <v>0</v>
      </c>
      <c r="N273" s="168">
        <f t="shared" si="44"/>
        <v>96.1495680792451</v>
      </c>
      <c r="O273" s="168">
        <f t="shared" si="44"/>
        <v>0</v>
      </c>
      <c r="P273" s="168">
        <f t="shared" si="44"/>
        <v>0</v>
      </c>
      <c r="Q273" s="168">
        <f t="shared" si="44"/>
        <v>48.074784039622543</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411</v>
      </c>
      <c r="G274" s="101" t="s">
        <v>213</v>
      </c>
      <c r="H274" s="96"/>
      <c r="I274" s="96"/>
      <c r="J274" s="173">
        <f t="shared" ref="J274:Y274" si="45">J270 * (1 - J272)</f>
        <v>27567.751841043202</v>
      </c>
      <c r="K274" s="173">
        <f t="shared" si="45"/>
        <v>0</v>
      </c>
      <c r="L274" s="173">
        <f t="shared" si="45"/>
        <v>675.1787225429905</v>
      </c>
      <c r="M274" s="173">
        <f t="shared" si="45"/>
        <v>0</v>
      </c>
      <c r="N274" s="173">
        <f t="shared" si="45"/>
        <v>202.04211773066763</v>
      </c>
      <c r="O274" s="173">
        <f t="shared" si="45"/>
        <v>27.485850059749055</v>
      </c>
      <c r="P274" s="173">
        <f t="shared" si="45"/>
        <v>11.585786679746391</v>
      </c>
      <c r="Q274" s="173">
        <f t="shared" si="45"/>
        <v>87.977833543480614</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412</v>
      </c>
      <c r="G275" s="94" t="s">
        <v>213</v>
      </c>
      <c r="J275" s="151">
        <f t="shared" ref="J275:Y275" si="46">J268 + J273 + J274</f>
        <v>1561399.8065674652</v>
      </c>
      <c r="K275" s="151">
        <f t="shared" si="46"/>
        <v>0</v>
      </c>
      <c r="L275" s="151">
        <f t="shared" si="46"/>
        <v>140325.94993452425</v>
      </c>
      <c r="M275" s="151">
        <f t="shared" si="46"/>
        <v>0</v>
      </c>
      <c r="N275" s="151">
        <f t="shared" si="46"/>
        <v>9052.8496383243109</v>
      </c>
      <c r="O275" s="151">
        <f t="shared" si="46"/>
        <v>1724.623672792462</v>
      </c>
      <c r="P275" s="151">
        <f t="shared" si="46"/>
        <v>1137.8174263567469</v>
      </c>
      <c r="Q275" s="151">
        <f t="shared" si="46"/>
        <v>1793.052617583103</v>
      </c>
      <c r="R275" s="151">
        <f t="shared" si="46"/>
        <v>0</v>
      </c>
      <c r="S275" s="151">
        <f t="shared" si="46"/>
        <v>0</v>
      </c>
      <c r="T275" s="151">
        <f t="shared" si="46"/>
        <v>0</v>
      </c>
      <c r="U275" s="151">
        <f t="shared" si="46"/>
        <v>0</v>
      </c>
      <c r="V275" s="151">
        <f t="shared" si="46"/>
        <v>0</v>
      </c>
      <c r="W275" s="151">
        <f t="shared" si="46"/>
        <v>0</v>
      </c>
      <c r="X275" s="151">
        <f t="shared" si="46"/>
        <v>320.50176836858998</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251</v>
      </c>
      <c r="I277" t="s">
        <v>155</v>
      </c>
      <c r="J277" s="106"/>
      <c r="K277" s="106"/>
      <c r="L277" s="106"/>
      <c r="M277" s="106"/>
      <c r="N277" s="106"/>
      <c r="O277" s="106"/>
      <c r="P277" s="106"/>
      <c r="Q277" s="106"/>
      <c r="R277" s="106"/>
      <c r="S277" s="106"/>
      <c r="T277" s="106"/>
      <c r="U277" s="106"/>
      <c r="V277" s="106"/>
      <c r="W277" s="106"/>
      <c r="X277" s="106"/>
      <c r="Y277" s="106"/>
      <c r="AA277" t="s">
        <v>310</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405</v>
      </c>
      <c r="G279" s="94" t="s">
        <v>252</v>
      </c>
      <c r="J279" s="168">
        <f t="shared" ref="J279:Y279" si="47">J203</f>
        <v>0</v>
      </c>
      <c r="K279" s="168">
        <f t="shared" si="47"/>
        <v>0</v>
      </c>
      <c r="L279" s="168">
        <f t="shared" si="47"/>
        <v>0</v>
      </c>
      <c r="M279" s="168">
        <f t="shared" si="47"/>
        <v>0</v>
      </c>
      <c r="N279" s="168">
        <f t="shared" si="47"/>
        <v>865126.27496316063</v>
      </c>
      <c r="O279" s="168">
        <f t="shared" si="47"/>
        <v>374141.02136121981</v>
      </c>
      <c r="P279" s="168">
        <f t="shared" si="47"/>
        <v>970786.86968417012</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406</v>
      </c>
      <c r="G280" s="94" t="s">
        <v>252</v>
      </c>
      <c r="J280" s="168">
        <f t="shared" ref="J280:Y280" si="48">J212</f>
        <v>0</v>
      </c>
      <c r="K280" s="168">
        <f t="shared" si="48"/>
        <v>0</v>
      </c>
      <c r="L280" s="168">
        <f t="shared" si="48"/>
        <v>0</v>
      </c>
      <c r="M280" s="168">
        <f t="shared" si="48"/>
        <v>0</v>
      </c>
      <c r="N280" s="168">
        <f t="shared" si="48"/>
        <v>27269.421078266725</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407</v>
      </c>
      <c r="G281" s="94" t="s">
        <v>252</v>
      </c>
      <c r="J281" s="168">
        <f t="shared" ref="J281:Y281" si="49">J221</f>
        <v>0</v>
      </c>
      <c r="K281" s="168">
        <f t="shared" si="49"/>
        <v>0</v>
      </c>
      <c r="L281" s="168">
        <f t="shared" si="49"/>
        <v>0</v>
      </c>
      <c r="M281" s="168">
        <f t="shared" si="49"/>
        <v>0</v>
      </c>
      <c r="N281" s="168">
        <f t="shared" si="49"/>
        <v>164274.45699087984</v>
      </c>
      <c r="O281" s="168">
        <f t="shared" si="49"/>
        <v>33112.409516270527</v>
      </c>
      <c r="P281" s="168">
        <f t="shared" si="49"/>
        <v>23965.63324582604</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408</v>
      </c>
      <c r="G282" s="94" t="s">
        <v>168</v>
      </c>
      <c r="J282" s="198">
        <f t="shared" ref="J282:Y282" si="50">IF(J$41, J$47, J$34)</f>
        <v>0.40616372981393162</v>
      </c>
      <c r="K282" s="198">
        <f t="shared" si="50"/>
        <v>0.40616372981393162</v>
      </c>
      <c r="L282" s="198">
        <f t="shared" si="50"/>
        <v>0.40616372981393162</v>
      </c>
      <c r="M282" s="198">
        <f t="shared" si="50"/>
        <v>0.40616372981393162</v>
      </c>
      <c r="N282" s="198">
        <f t="shared" si="50"/>
        <v>0.40616372981393162</v>
      </c>
      <c r="O282" s="198">
        <f t="shared" si="50"/>
        <v>0</v>
      </c>
      <c r="P282" s="198">
        <f t="shared" si="50"/>
        <v>0</v>
      </c>
      <c r="Q282" s="198">
        <f t="shared" si="50"/>
        <v>0.40616372981393162</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409</v>
      </c>
      <c r="G283" s="94" t="s">
        <v>168</v>
      </c>
      <c r="J283" s="198">
        <f t="shared" ref="J283:Y283" si="51">IF(J$41, J$47, J$35)</f>
        <v>0.60195264388674885</v>
      </c>
      <c r="K283" s="198">
        <f t="shared" si="51"/>
        <v>0.60195264388674885</v>
      </c>
      <c r="L283" s="198">
        <f t="shared" si="51"/>
        <v>0.60195264388674885</v>
      </c>
      <c r="M283" s="198">
        <f t="shared" si="51"/>
        <v>0.60195264388674885</v>
      </c>
      <c r="N283" s="198">
        <f t="shared" si="51"/>
        <v>0.60195264388674885</v>
      </c>
      <c r="O283" s="198">
        <f t="shared" si="51"/>
        <v>0.31001856356310609</v>
      </c>
      <c r="P283" s="198">
        <f t="shared" si="51"/>
        <v>0.18036070704437224</v>
      </c>
      <c r="Q283" s="198">
        <f t="shared" si="51"/>
        <v>0.60195264388674885</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410</v>
      </c>
      <c r="G284" s="94" t="s">
        <v>252</v>
      </c>
      <c r="J284" s="168">
        <f t="shared" ref="J284:Y284" si="52">J280 * (1 - J282)</f>
        <v>0</v>
      </c>
      <c r="K284" s="168">
        <f t="shared" si="52"/>
        <v>0</v>
      </c>
      <c r="L284" s="168">
        <f t="shared" si="52"/>
        <v>0</v>
      </c>
      <c r="M284" s="168">
        <f t="shared" si="52"/>
        <v>0</v>
      </c>
      <c r="N284" s="168">
        <f t="shared" si="52"/>
        <v>16193.571303251269</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411</v>
      </c>
      <c r="G285" s="101" t="s">
        <v>252</v>
      </c>
      <c r="H285" s="96"/>
      <c r="I285" s="96"/>
      <c r="J285" s="173">
        <f t="shared" ref="J285:Y285" si="53">J281 * (1 - J283)</f>
        <v>0</v>
      </c>
      <c r="K285" s="173">
        <f t="shared" si="53"/>
        <v>0</v>
      </c>
      <c r="L285" s="173">
        <f t="shared" si="53"/>
        <v>0</v>
      </c>
      <c r="M285" s="173">
        <f t="shared" si="53"/>
        <v>0</v>
      </c>
      <c r="N285" s="173">
        <f t="shared" si="53"/>
        <v>65389.013282159707</v>
      </c>
      <c r="O285" s="173">
        <f t="shared" si="53"/>
        <v>22846.947881923013</v>
      </c>
      <c r="P285" s="173">
        <f t="shared" si="53"/>
        <v>19643.174688842741</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412</v>
      </c>
      <c r="G286" s="94" t="s">
        <v>252</v>
      </c>
      <c r="J286" s="151">
        <f t="shared" ref="J286:Y286" si="54">J279 + J284 + J285</f>
        <v>0</v>
      </c>
      <c r="K286" s="151">
        <f t="shared" si="54"/>
        <v>0</v>
      </c>
      <c r="L286" s="151">
        <f t="shared" si="54"/>
        <v>0</v>
      </c>
      <c r="M286" s="151">
        <f t="shared" si="54"/>
        <v>0</v>
      </c>
      <c r="N286" s="151">
        <f t="shared" si="54"/>
        <v>946708.85954857164</v>
      </c>
      <c r="O286" s="151">
        <f t="shared" si="54"/>
        <v>396987.96924314281</v>
      </c>
      <c r="P286" s="151">
        <f t="shared" si="54"/>
        <v>990430.04437301285</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253</v>
      </c>
      <c r="I288" t="s">
        <v>155</v>
      </c>
      <c r="J288" s="106"/>
      <c r="K288" s="106"/>
      <c r="L288" s="106"/>
      <c r="M288" s="106"/>
      <c r="N288" s="106"/>
      <c r="O288" s="106"/>
      <c r="P288" s="106"/>
      <c r="Q288" s="106"/>
      <c r="R288" s="106"/>
      <c r="S288" s="106"/>
      <c r="T288" s="106"/>
      <c r="U288" s="106"/>
      <c r="V288" s="106"/>
      <c r="W288" s="106"/>
      <c r="X288" s="106"/>
      <c r="Y288" s="106"/>
      <c r="AA288" t="s">
        <v>310</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405</v>
      </c>
      <c r="G290" s="94" t="s">
        <v>252</v>
      </c>
      <c r="J290" s="168">
        <f t="shared" ref="J290:Y290" si="55">J204</f>
        <v>0</v>
      </c>
      <c r="K290" s="168">
        <f t="shared" si="55"/>
        <v>0</v>
      </c>
      <c r="L290" s="168">
        <f t="shared" si="55"/>
        <v>0</v>
      </c>
      <c r="M290" s="168">
        <f t="shared" si="55"/>
        <v>0</v>
      </c>
      <c r="N290" s="168">
        <f t="shared" si="55"/>
        <v>27454.038251366124</v>
      </c>
      <c r="O290" s="168">
        <f t="shared" si="55"/>
        <v>4435.0710382513662</v>
      </c>
      <c r="P290" s="168">
        <f t="shared" si="55"/>
        <v>15085.710382513662</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406</v>
      </c>
      <c r="G291" s="94" t="s">
        <v>252</v>
      </c>
      <c r="J291" s="168">
        <f t="shared" ref="J291:Y291" si="56">J213</f>
        <v>0</v>
      </c>
      <c r="K291" s="168">
        <f t="shared" si="56"/>
        <v>0</v>
      </c>
      <c r="L291" s="168">
        <f t="shared" si="56"/>
        <v>0</v>
      </c>
      <c r="M291" s="168">
        <f t="shared" si="56"/>
        <v>0</v>
      </c>
      <c r="N291" s="168">
        <f t="shared" si="56"/>
        <v>134.68168233307625</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407</v>
      </c>
      <c r="G292" s="94" t="s">
        <v>252</v>
      </c>
      <c r="J292" s="168">
        <f t="shared" ref="J292:Y292" si="57">J222</f>
        <v>0</v>
      </c>
      <c r="K292" s="168">
        <f t="shared" si="57"/>
        <v>0</v>
      </c>
      <c r="L292" s="168">
        <f t="shared" si="57"/>
        <v>0</v>
      </c>
      <c r="M292" s="168">
        <f t="shared" si="57"/>
        <v>0</v>
      </c>
      <c r="N292" s="168">
        <f t="shared" si="57"/>
        <v>571.85494409830881</v>
      </c>
      <c r="O292" s="168">
        <f t="shared" si="57"/>
        <v>0</v>
      </c>
      <c r="P292" s="168">
        <f t="shared" si="57"/>
        <v>0</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408</v>
      </c>
      <c r="G293" s="94" t="s">
        <v>168</v>
      </c>
      <c r="J293" s="198">
        <f t="shared" ref="J293:Y293" si="58">IF(J$42, J$48, J$34)</f>
        <v>0.40616372981393162</v>
      </c>
      <c r="K293" s="198">
        <f t="shared" si="58"/>
        <v>0.40616372981393162</v>
      </c>
      <c r="L293" s="198">
        <f t="shared" si="58"/>
        <v>0.40616372981393162</v>
      </c>
      <c r="M293" s="198">
        <f t="shared" si="58"/>
        <v>0.40616372981393162</v>
      </c>
      <c r="N293" s="198">
        <f t="shared" si="58"/>
        <v>0.40616372981393162</v>
      </c>
      <c r="O293" s="198">
        <f t="shared" si="58"/>
        <v>0</v>
      </c>
      <c r="P293" s="198">
        <f t="shared" si="58"/>
        <v>0</v>
      </c>
      <c r="Q293" s="198">
        <f t="shared" si="58"/>
        <v>0.40616372981393162</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409</v>
      </c>
      <c r="G294" s="94" t="s">
        <v>168</v>
      </c>
      <c r="J294" s="198">
        <f t="shared" ref="J294:Y294" si="59">IF(J$42, J$48, J$35)</f>
        <v>0.60195264388674885</v>
      </c>
      <c r="K294" s="198">
        <f t="shared" si="59"/>
        <v>0.60195264388674885</v>
      </c>
      <c r="L294" s="198">
        <f t="shared" si="59"/>
        <v>0.60195264388674885</v>
      </c>
      <c r="M294" s="198">
        <f t="shared" si="59"/>
        <v>0.60195264388674885</v>
      </c>
      <c r="N294" s="198">
        <f t="shared" si="59"/>
        <v>0.60195264388674885</v>
      </c>
      <c r="O294" s="198">
        <f t="shared" si="59"/>
        <v>0.31001856356310609</v>
      </c>
      <c r="P294" s="198">
        <f t="shared" si="59"/>
        <v>0.18036070704437224</v>
      </c>
      <c r="Q294" s="198">
        <f t="shared" si="59"/>
        <v>0.60195264388674885</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410</v>
      </c>
      <c r="G295" s="94" t="s">
        <v>252</v>
      </c>
      <c r="J295" s="168">
        <f t="shared" ref="J295:Y295" si="60">J291 * (1 - J293)</f>
        <v>0</v>
      </c>
      <c r="K295" s="168">
        <f t="shared" si="60"/>
        <v>0</v>
      </c>
      <c r="L295" s="168">
        <f t="shared" si="60"/>
        <v>0</v>
      </c>
      <c r="M295" s="168">
        <f t="shared" si="60"/>
        <v>0</v>
      </c>
      <c r="N295" s="168">
        <f t="shared" si="60"/>
        <v>79.978867899058912</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411</v>
      </c>
      <c r="G296" s="101" t="s">
        <v>252</v>
      </c>
      <c r="H296" s="96"/>
      <c r="I296" s="96"/>
      <c r="J296" s="173">
        <f t="shared" ref="J296:Y296" si="61">J292 * (1 - J294)</f>
        <v>0</v>
      </c>
      <c r="K296" s="173">
        <f t="shared" si="61"/>
        <v>0</v>
      </c>
      <c r="L296" s="173">
        <f t="shared" si="61"/>
        <v>0</v>
      </c>
      <c r="M296" s="173">
        <f t="shared" si="61"/>
        <v>0</v>
      </c>
      <c r="N296" s="173">
        <f t="shared" si="61"/>
        <v>227.62534857862286</v>
      </c>
      <c r="O296" s="173">
        <f t="shared" si="61"/>
        <v>0</v>
      </c>
      <c r="P296" s="173">
        <f t="shared" si="61"/>
        <v>0</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412</v>
      </c>
      <c r="G297" s="94" t="s">
        <v>252</v>
      </c>
      <c r="J297" s="151">
        <f t="shared" ref="J297:Y297" si="62">J290 + J295 + J296</f>
        <v>0</v>
      </c>
      <c r="K297" s="151">
        <f t="shared" si="62"/>
        <v>0</v>
      </c>
      <c r="L297" s="151">
        <f t="shared" si="62"/>
        <v>0</v>
      </c>
      <c r="M297" s="151">
        <f t="shared" si="62"/>
        <v>0</v>
      </c>
      <c r="N297" s="151">
        <f t="shared" si="62"/>
        <v>27761.642467843805</v>
      </c>
      <c r="O297" s="151">
        <f t="shared" si="62"/>
        <v>4435.0710382513662</v>
      </c>
      <c r="P297" s="151">
        <f t="shared" si="62"/>
        <v>15085.710382513662</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254</v>
      </c>
      <c r="I299" t="s">
        <v>155</v>
      </c>
      <c r="J299" s="106"/>
      <c r="K299" s="106"/>
      <c r="L299" s="106"/>
      <c r="M299" s="106"/>
      <c r="N299" s="106"/>
      <c r="O299" s="106"/>
      <c r="P299" s="106"/>
      <c r="Q299" s="106"/>
      <c r="R299" s="106"/>
      <c r="S299" s="106"/>
      <c r="T299" s="106"/>
      <c r="U299" s="106"/>
      <c r="V299" s="106"/>
      <c r="W299" s="106"/>
      <c r="X299" s="106"/>
      <c r="Y299" s="106"/>
      <c r="AA299" t="s">
        <v>310</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405</v>
      </c>
      <c r="G301" s="94" t="s">
        <v>255</v>
      </c>
      <c r="J301" s="168">
        <f t="shared" ref="J301:Y301" si="63">J205</f>
        <v>0</v>
      </c>
      <c r="K301" s="168">
        <f t="shared" si="63"/>
        <v>0</v>
      </c>
      <c r="L301" s="168">
        <f t="shared" si="63"/>
        <v>0</v>
      </c>
      <c r="M301" s="168">
        <f t="shared" si="63"/>
        <v>0</v>
      </c>
      <c r="N301" s="168">
        <f t="shared" si="63"/>
        <v>99487.138000000006</v>
      </c>
      <c r="O301" s="168">
        <f t="shared" si="63"/>
        <v>55240.727000000014</v>
      </c>
      <c r="P301" s="168">
        <f t="shared" si="63"/>
        <v>145285.217</v>
      </c>
      <c r="Q301" s="168">
        <f t="shared" si="63"/>
        <v>0</v>
      </c>
      <c r="R301" s="168">
        <f t="shared" si="63"/>
        <v>0</v>
      </c>
      <c r="S301" s="168">
        <f t="shared" si="63"/>
        <v>0</v>
      </c>
      <c r="T301" s="168">
        <f t="shared" si="63"/>
        <v>5802.6510000000007</v>
      </c>
      <c r="U301" s="168">
        <f t="shared" si="63"/>
        <v>0</v>
      </c>
      <c r="V301" s="168">
        <f t="shared" si="63"/>
        <v>0</v>
      </c>
      <c r="W301" s="168">
        <f t="shared" si="63"/>
        <v>0</v>
      </c>
      <c r="X301" s="168">
        <f t="shared" si="63"/>
        <v>7364.4659999999994</v>
      </c>
      <c r="Y301" s="168">
        <f t="shared" si="63"/>
        <v>0</v>
      </c>
      <c r="AQ301" s="3"/>
    </row>
    <row r="302" spans="5:43" x14ac:dyDescent="0.25">
      <c r="F302" s="94" t="s">
        <v>406</v>
      </c>
      <c r="G302" s="94" t="s">
        <v>255</v>
      </c>
      <c r="J302" s="168">
        <f t="shared" ref="J302:Y302" si="64">J214</f>
        <v>0</v>
      </c>
      <c r="K302" s="168">
        <f t="shared" si="64"/>
        <v>0</v>
      </c>
      <c r="L302" s="168">
        <f t="shared" si="64"/>
        <v>0</v>
      </c>
      <c r="M302" s="168">
        <f t="shared" si="64"/>
        <v>0</v>
      </c>
      <c r="N302" s="168">
        <f t="shared" si="64"/>
        <v>953.57060731603974</v>
      </c>
      <c r="O302" s="168">
        <f t="shared" si="64"/>
        <v>0</v>
      </c>
      <c r="P302" s="168">
        <f t="shared" si="64"/>
        <v>0</v>
      </c>
      <c r="Q302" s="168">
        <f t="shared" si="64"/>
        <v>0</v>
      </c>
      <c r="R302" s="168">
        <f t="shared" si="64"/>
        <v>0</v>
      </c>
      <c r="S302" s="168">
        <f t="shared" si="64"/>
        <v>0</v>
      </c>
      <c r="T302" s="168">
        <f t="shared" si="64"/>
        <v>4.4468923790347121</v>
      </c>
      <c r="U302" s="168">
        <f t="shared" si="64"/>
        <v>0</v>
      </c>
      <c r="V302" s="168">
        <f t="shared" si="64"/>
        <v>0</v>
      </c>
      <c r="W302" s="168">
        <f t="shared" si="64"/>
        <v>0</v>
      </c>
      <c r="X302" s="168">
        <f t="shared" si="64"/>
        <v>0</v>
      </c>
      <c r="Y302" s="168">
        <f t="shared" si="64"/>
        <v>0</v>
      </c>
      <c r="AQ302" s="3"/>
    </row>
    <row r="303" spans="5:43" x14ac:dyDescent="0.25">
      <c r="F303" s="94" t="s">
        <v>407</v>
      </c>
      <c r="G303" s="94" t="s">
        <v>255</v>
      </c>
      <c r="J303" s="168">
        <f t="shared" ref="J303:Y303" si="65">J223</f>
        <v>0</v>
      </c>
      <c r="K303" s="168">
        <f t="shared" si="65"/>
        <v>0</v>
      </c>
      <c r="L303" s="168">
        <f t="shared" si="65"/>
        <v>0</v>
      </c>
      <c r="M303" s="168">
        <f t="shared" si="65"/>
        <v>0</v>
      </c>
      <c r="N303" s="168">
        <f t="shared" si="65"/>
        <v>9779.5332027316181</v>
      </c>
      <c r="O303" s="168">
        <f t="shared" si="65"/>
        <v>760.61600057525345</v>
      </c>
      <c r="P303" s="168">
        <f t="shared" si="65"/>
        <v>391.59390691429655</v>
      </c>
      <c r="Q303" s="168">
        <f t="shared" si="65"/>
        <v>0</v>
      </c>
      <c r="R303" s="168">
        <f t="shared" si="65"/>
        <v>0</v>
      </c>
      <c r="S303" s="168">
        <f t="shared" si="65"/>
        <v>0</v>
      </c>
      <c r="T303" s="168">
        <f t="shared" si="65"/>
        <v>73.562570455005527</v>
      </c>
      <c r="U303" s="168">
        <f t="shared" si="65"/>
        <v>0</v>
      </c>
      <c r="V303" s="168">
        <f t="shared" si="65"/>
        <v>0</v>
      </c>
      <c r="W303" s="168">
        <f t="shared" si="65"/>
        <v>0</v>
      </c>
      <c r="X303" s="168">
        <f t="shared" si="65"/>
        <v>0</v>
      </c>
      <c r="Y303" s="168">
        <f t="shared" si="65"/>
        <v>0</v>
      </c>
      <c r="AQ303" s="3"/>
    </row>
    <row r="304" spans="5:43" x14ac:dyDescent="0.25">
      <c r="F304" s="94" t="s">
        <v>408</v>
      </c>
      <c r="G304" s="94" t="s">
        <v>168</v>
      </c>
      <c r="J304" s="198">
        <f t="shared" ref="J304:Y304" si="66">IF(J$43, J$49, J$34)</f>
        <v>0.40616372981393162</v>
      </c>
      <c r="K304" s="198">
        <f t="shared" si="66"/>
        <v>0.40616372981393162</v>
      </c>
      <c r="L304" s="198">
        <f t="shared" si="66"/>
        <v>0.40616372981393162</v>
      </c>
      <c r="M304" s="198">
        <f t="shared" si="66"/>
        <v>0.40616372981393162</v>
      </c>
      <c r="N304" s="198">
        <f t="shared" si="66"/>
        <v>0.40616372981393162</v>
      </c>
      <c r="O304" s="198">
        <f t="shared" si="66"/>
        <v>0</v>
      </c>
      <c r="P304" s="198">
        <f t="shared" si="66"/>
        <v>0</v>
      </c>
      <c r="Q304" s="198">
        <f t="shared" si="66"/>
        <v>0.40616372981393162</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409</v>
      </c>
      <c r="G305" s="94" t="s">
        <v>168</v>
      </c>
      <c r="J305" s="198">
        <f t="shared" ref="J305:Y305" si="67">IF(J$43, J$49, J$35)</f>
        <v>0.60195264388674885</v>
      </c>
      <c r="K305" s="198">
        <f t="shared" si="67"/>
        <v>0.60195264388674885</v>
      </c>
      <c r="L305" s="198">
        <f t="shared" si="67"/>
        <v>0.60195264388674885</v>
      </c>
      <c r="M305" s="198">
        <f t="shared" si="67"/>
        <v>0.60195264388674885</v>
      </c>
      <c r="N305" s="198">
        <f t="shared" si="67"/>
        <v>0.60195264388674885</v>
      </c>
      <c r="O305" s="198">
        <f t="shared" si="67"/>
        <v>0.31001856356310609</v>
      </c>
      <c r="P305" s="198">
        <f t="shared" si="67"/>
        <v>0.18036070704437224</v>
      </c>
      <c r="Q305" s="198">
        <f t="shared" si="67"/>
        <v>0.60195264388674885</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410</v>
      </c>
      <c r="G306" s="94" t="s">
        <v>255</v>
      </c>
      <c r="J306" s="168">
        <f t="shared" ref="J306:Y306" si="68">J302 * (1 - J304)</f>
        <v>0</v>
      </c>
      <c r="K306" s="168">
        <f t="shared" si="68"/>
        <v>0</v>
      </c>
      <c r="L306" s="168">
        <f t="shared" si="68"/>
        <v>0</v>
      </c>
      <c r="M306" s="168">
        <f t="shared" si="68"/>
        <v>0</v>
      </c>
      <c r="N306" s="168">
        <f t="shared" si="68"/>
        <v>566.26481280762118</v>
      </c>
      <c r="O306" s="168">
        <f t="shared" si="68"/>
        <v>0</v>
      </c>
      <c r="P306" s="168">
        <f t="shared" si="68"/>
        <v>0</v>
      </c>
      <c r="Q306" s="168">
        <f t="shared" si="68"/>
        <v>0</v>
      </c>
      <c r="R306" s="168">
        <f t="shared" si="68"/>
        <v>0</v>
      </c>
      <c r="S306" s="168">
        <f t="shared" si="68"/>
        <v>0</v>
      </c>
      <c r="T306" s="168">
        <f t="shared" si="68"/>
        <v>4.4468923790347121</v>
      </c>
      <c r="U306" s="168">
        <f t="shared" si="68"/>
        <v>0</v>
      </c>
      <c r="V306" s="168">
        <f t="shared" si="68"/>
        <v>0</v>
      </c>
      <c r="W306" s="168">
        <f t="shared" si="68"/>
        <v>0</v>
      </c>
      <c r="X306" s="168">
        <f t="shared" si="68"/>
        <v>0</v>
      </c>
      <c r="Y306" s="168">
        <f t="shared" si="68"/>
        <v>0</v>
      </c>
      <c r="AQ306" s="3"/>
    </row>
    <row r="307" spans="2:43" x14ac:dyDescent="0.25">
      <c r="F307" s="101" t="s">
        <v>411</v>
      </c>
      <c r="G307" s="101" t="s">
        <v>255</v>
      </c>
      <c r="H307" s="96"/>
      <c r="I307" s="96"/>
      <c r="J307" s="173">
        <f t="shared" ref="J307:Y307" si="69">J303 * (1 - J305)</f>
        <v>0</v>
      </c>
      <c r="K307" s="173">
        <f t="shared" si="69"/>
        <v>0</v>
      </c>
      <c r="L307" s="173">
        <f t="shared" si="69"/>
        <v>0</v>
      </c>
      <c r="M307" s="173">
        <f t="shared" si="69"/>
        <v>0</v>
      </c>
      <c r="N307" s="173">
        <f t="shared" si="69"/>
        <v>3892.717335369076</v>
      </c>
      <c r="O307" s="173">
        <f t="shared" si="69"/>
        <v>524.81092065379869</v>
      </c>
      <c r="P307" s="173">
        <f t="shared" si="69"/>
        <v>320.96575298896596</v>
      </c>
      <c r="Q307" s="173">
        <f t="shared" si="69"/>
        <v>0</v>
      </c>
      <c r="R307" s="173">
        <f t="shared" si="69"/>
        <v>0</v>
      </c>
      <c r="S307" s="173">
        <f t="shared" si="69"/>
        <v>0</v>
      </c>
      <c r="T307" s="173">
        <f t="shared" si="69"/>
        <v>73.562570455005527</v>
      </c>
      <c r="U307" s="173">
        <f t="shared" si="69"/>
        <v>0</v>
      </c>
      <c r="V307" s="173">
        <f t="shared" si="69"/>
        <v>0</v>
      </c>
      <c r="W307" s="173">
        <f t="shared" si="69"/>
        <v>0</v>
      </c>
      <c r="X307" s="173">
        <f t="shared" si="69"/>
        <v>0</v>
      </c>
      <c r="Y307" s="173">
        <f t="shared" si="69"/>
        <v>0</v>
      </c>
      <c r="AQ307" s="3"/>
    </row>
    <row r="308" spans="2:43" x14ac:dyDescent="0.25">
      <c r="F308" s="94" t="s">
        <v>412</v>
      </c>
      <c r="G308" s="94" t="s">
        <v>255</v>
      </c>
      <c r="J308" s="151">
        <f t="shared" ref="J308:Y308" si="70">J301 + J306 + J307</f>
        <v>0</v>
      </c>
      <c r="K308" s="151">
        <f t="shared" si="70"/>
        <v>0</v>
      </c>
      <c r="L308" s="151">
        <f t="shared" si="70"/>
        <v>0</v>
      </c>
      <c r="M308" s="151">
        <f t="shared" si="70"/>
        <v>0</v>
      </c>
      <c r="N308" s="151">
        <f t="shared" si="70"/>
        <v>103946.12014817671</v>
      </c>
      <c r="O308" s="151">
        <f t="shared" si="70"/>
        <v>55765.537920653813</v>
      </c>
      <c r="P308" s="151">
        <f t="shared" si="70"/>
        <v>145606.18275298897</v>
      </c>
      <c r="Q308" s="151">
        <f t="shared" si="70"/>
        <v>0</v>
      </c>
      <c r="R308" s="151">
        <f t="shared" si="70"/>
        <v>0</v>
      </c>
      <c r="S308" s="151">
        <f t="shared" si="70"/>
        <v>0</v>
      </c>
      <c r="T308" s="151">
        <f t="shared" si="70"/>
        <v>5880.660462834041</v>
      </c>
      <c r="U308" s="151">
        <f t="shared" si="70"/>
        <v>0</v>
      </c>
      <c r="V308" s="151">
        <f t="shared" si="70"/>
        <v>0</v>
      </c>
      <c r="W308" s="151">
        <f t="shared" si="70"/>
        <v>0</v>
      </c>
      <c r="X308" s="151">
        <f t="shared" si="70"/>
        <v>7364.4659999999994</v>
      </c>
      <c r="Y308" s="151">
        <f t="shared" si="70"/>
        <v>0</v>
      </c>
      <c r="AQ308" s="3"/>
    </row>
    <row r="309" spans="2:43" x14ac:dyDescent="0.25">
      <c r="D309" s="75"/>
      <c r="AQ309" s="3"/>
    </row>
    <row r="310" spans="2:43" x14ac:dyDescent="0.25">
      <c r="B310" s="85" t="s">
        <v>878</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982</v>
      </c>
      <c r="AQ312" s="3"/>
    </row>
    <row r="313" spans="2:43" x14ac:dyDescent="0.25">
      <c r="C313" s="75"/>
      <c r="AQ313" s="3"/>
    </row>
    <row r="314" spans="2:43" x14ac:dyDescent="0.25">
      <c r="C314" s="75"/>
      <c r="E314" s="75" t="s">
        <v>408</v>
      </c>
      <c r="AQ314" s="3"/>
    </row>
    <row r="315" spans="2:43" x14ac:dyDescent="0.25">
      <c r="C315" s="75"/>
      <c r="F315" s="116" t="s">
        <v>248</v>
      </c>
      <c r="G315" s="95" t="s">
        <v>168</v>
      </c>
      <c r="H315" s="95"/>
      <c r="I315" s="95"/>
      <c r="J315" s="199">
        <f>IF(J$39, J$45, J$34)</f>
        <v>0.40616372981393162</v>
      </c>
      <c r="K315" s="199">
        <f t="shared" ref="K315:Y315" si="71">IF(K$39, K$45, K$34)</f>
        <v>0.40616372981393162</v>
      </c>
      <c r="L315" s="199">
        <f t="shared" si="71"/>
        <v>0.40616372981393162</v>
      </c>
      <c r="M315" s="199">
        <f t="shared" si="71"/>
        <v>0.40616372981393162</v>
      </c>
      <c r="N315" s="199">
        <f t="shared" si="71"/>
        <v>0.40616372981393162</v>
      </c>
      <c r="O315" s="199">
        <f t="shared" si="71"/>
        <v>0</v>
      </c>
      <c r="P315" s="199">
        <f t="shared" si="71"/>
        <v>0</v>
      </c>
      <c r="Q315" s="199">
        <f t="shared" si="71"/>
        <v>0.40616372981393162</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249</v>
      </c>
      <c r="G316" t="s">
        <v>168</v>
      </c>
      <c r="J316" s="197">
        <f t="shared" ref="J316:Y317" si="72">IF(J$39, J$45, J$34)</f>
        <v>0.40616372981393162</v>
      </c>
      <c r="K316" s="197">
        <f t="shared" si="72"/>
        <v>0.40616372981393162</v>
      </c>
      <c r="L316" s="197">
        <f t="shared" si="72"/>
        <v>0.40616372981393162</v>
      </c>
      <c r="M316" s="197">
        <f t="shared" si="72"/>
        <v>0.40616372981393162</v>
      </c>
      <c r="N316" s="197">
        <f t="shared" si="72"/>
        <v>0.40616372981393162</v>
      </c>
      <c r="O316" s="197">
        <f t="shared" si="72"/>
        <v>0</v>
      </c>
      <c r="P316" s="197">
        <f t="shared" si="72"/>
        <v>0</v>
      </c>
      <c r="Q316" s="197">
        <f t="shared" si="72"/>
        <v>0.40616372981393162</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250</v>
      </c>
      <c r="G317" s="96" t="s">
        <v>168</v>
      </c>
      <c r="H317" s="96"/>
      <c r="I317" s="96"/>
      <c r="J317" s="200">
        <f t="shared" si="72"/>
        <v>0.40616372981393162</v>
      </c>
      <c r="K317" s="200">
        <f t="shared" si="72"/>
        <v>0.40616372981393162</v>
      </c>
      <c r="L317" s="200">
        <f t="shared" si="72"/>
        <v>0.40616372981393162</v>
      </c>
      <c r="M317" s="200">
        <f t="shared" si="72"/>
        <v>0.40616372981393162</v>
      </c>
      <c r="N317" s="200">
        <f t="shared" si="72"/>
        <v>0.40616372981393162</v>
      </c>
      <c r="O317" s="200">
        <f t="shared" si="72"/>
        <v>0</v>
      </c>
      <c r="P317" s="200">
        <f t="shared" si="72"/>
        <v>0</v>
      </c>
      <c r="Q317" s="200">
        <f t="shared" si="72"/>
        <v>0.40616372981393162</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213</v>
      </c>
      <c r="G318" t="s">
        <v>168</v>
      </c>
      <c r="J318" s="197">
        <f t="shared" ref="J318:Y318" si="73">IF(J$39, J46, J$34)</f>
        <v>0.40616372981393162</v>
      </c>
      <c r="K318" s="197">
        <f t="shared" si="73"/>
        <v>0.40616372981393162</v>
      </c>
      <c r="L318" s="197">
        <f t="shared" si="73"/>
        <v>0.40616372981393162</v>
      </c>
      <c r="M318" s="197">
        <f t="shared" si="73"/>
        <v>0.40616372981393162</v>
      </c>
      <c r="N318" s="197">
        <f t="shared" si="73"/>
        <v>0.40616372981393162</v>
      </c>
      <c r="O318" s="197">
        <f t="shared" si="73"/>
        <v>0</v>
      </c>
      <c r="P318" s="197">
        <f t="shared" si="73"/>
        <v>0</v>
      </c>
      <c r="Q318" s="197">
        <f t="shared" si="73"/>
        <v>0.40616372981393162</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251</v>
      </c>
      <c r="G319" t="s">
        <v>168</v>
      </c>
      <c r="J319" s="197">
        <f t="shared" ref="J319:Y319" si="74">IF(J$39, J47, J$34)</f>
        <v>0.40616372981393162</v>
      </c>
      <c r="K319" s="197">
        <f t="shared" si="74"/>
        <v>0.40616372981393162</v>
      </c>
      <c r="L319" s="197">
        <f t="shared" si="74"/>
        <v>0.40616372981393162</v>
      </c>
      <c r="M319" s="197">
        <f t="shared" si="74"/>
        <v>0.40616372981393162</v>
      </c>
      <c r="N319" s="197">
        <f t="shared" si="74"/>
        <v>0.40616372981393162</v>
      </c>
      <c r="O319" s="197">
        <f t="shared" si="74"/>
        <v>0</v>
      </c>
      <c r="P319" s="197">
        <f t="shared" si="74"/>
        <v>0</v>
      </c>
      <c r="Q319" s="197">
        <f t="shared" si="74"/>
        <v>0.40616372981393162</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253</v>
      </c>
      <c r="G320" t="s">
        <v>168</v>
      </c>
      <c r="J320" s="197">
        <f t="shared" ref="J320:Y320" si="75">IF(J$39, J48, J$34)</f>
        <v>0.40616372981393162</v>
      </c>
      <c r="K320" s="197">
        <f t="shared" si="75"/>
        <v>0.40616372981393162</v>
      </c>
      <c r="L320" s="197">
        <f t="shared" si="75"/>
        <v>0.40616372981393162</v>
      </c>
      <c r="M320" s="197">
        <f t="shared" si="75"/>
        <v>0.40616372981393162</v>
      </c>
      <c r="N320" s="197">
        <f t="shared" si="75"/>
        <v>0.40616372981393162</v>
      </c>
      <c r="O320" s="197">
        <f t="shared" si="75"/>
        <v>0</v>
      </c>
      <c r="P320" s="197">
        <f t="shared" si="75"/>
        <v>0</v>
      </c>
      <c r="Q320" s="197">
        <f t="shared" si="75"/>
        <v>0.40616372981393162</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254</v>
      </c>
      <c r="G321" s="96" t="s">
        <v>168</v>
      </c>
      <c r="H321" s="96"/>
      <c r="I321" s="96"/>
      <c r="J321" s="200">
        <f t="shared" ref="J321:Y321" si="76">IF(J$39, J49, J$34)</f>
        <v>0.40616372981393162</v>
      </c>
      <c r="K321" s="200">
        <f t="shared" si="76"/>
        <v>0.40616372981393162</v>
      </c>
      <c r="L321" s="200">
        <f t="shared" si="76"/>
        <v>0.40616372981393162</v>
      </c>
      <c r="M321" s="200">
        <f t="shared" si="76"/>
        <v>0.40616372981393162</v>
      </c>
      <c r="N321" s="200">
        <f t="shared" si="76"/>
        <v>0.40616372981393162</v>
      </c>
      <c r="O321" s="200">
        <f t="shared" si="76"/>
        <v>0</v>
      </c>
      <c r="P321" s="200">
        <f t="shared" si="76"/>
        <v>0</v>
      </c>
      <c r="Q321" s="200">
        <f t="shared" si="76"/>
        <v>0.40616372981393162</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409</v>
      </c>
      <c r="AQ323" s="3"/>
    </row>
    <row r="324" spans="3:43" x14ac:dyDescent="0.25">
      <c r="C324" s="75"/>
      <c r="F324" s="116" t="s">
        <v>248</v>
      </c>
      <c r="G324" s="95" t="s">
        <v>168</v>
      </c>
      <c r="H324" s="95"/>
      <c r="I324" s="95"/>
      <c r="J324" s="199">
        <f>IF(J$39, J$45, J$35)</f>
        <v>0.60195264388674885</v>
      </c>
      <c r="K324" s="199">
        <f t="shared" ref="K324:Y326" si="77">IF(K$39, K$45, K$35)</f>
        <v>0.60195264388674885</v>
      </c>
      <c r="L324" s="199">
        <f t="shared" si="77"/>
        <v>0.60195264388674885</v>
      </c>
      <c r="M324" s="199">
        <f t="shared" si="77"/>
        <v>0.60195264388674885</v>
      </c>
      <c r="N324" s="199">
        <f t="shared" si="77"/>
        <v>0.60195264388674885</v>
      </c>
      <c r="O324" s="199">
        <f t="shared" si="77"/>
        <v>0.31001856356310609</v>
      </c>
      <c r="P324" s="199">
        <f t="shared" si="77"/>
        <v>0.18036070704437224</v>
      </c>
      <c r="Q324" s="199">
        <f t="shared" si="77"/>
        <v>0.60195264388674885</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249</v>
      </c>
      <c r="G325" t="s">
        <v>168</v>
      </c>
      <c r="J325" s="197">
        <f t="shared" ref="J325:J326" si="78">IF(J$39, J$45, J$35)</f>
        <v>0.60195264388674885</v>
      </c>
      <c r="K325" s="197">
        <f t="shared" si="77"/>
        <v>0.60195264388674885</v>
      </c>
      <c r="L325" s="197">
        <f t="shared" si="77"/>
        <v>0.60195264388674885</v>
      </c>
      <c r="M325" s="197">
        <f t="shared" si="77"/>
        <v>0.60195264388674885</v>
      </c>
      <c r="N325" s="197">
        <f t="shared" si="77"/>
        <v>0.60195264388674885</v>
      </c>
      <c r="O325" s="197">
        <f t="shared" si="77"/>
        <v>0.31001856356310609</v>
      </c>
      <c r="P325" s="197">
        <f t="shared" si="77"/>
        <v>0.18036070704437224</v>
      </c>
      <c r="Q325" s="197">
        <f t="shared" si="77"/>
        <v>0.60195264388674885</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250</v>
      </c>
      <c r="G326" s="96" t="s">
        <v>168</v>
      </c>
      <c r="H326" s="96"/>
      <c r="I326" s="96"/>
      <c r="J326" s="200">
        <f t="shared" si="78"/>
        <v>0.60195264388674885</v>
      </c>
      <c r="K326" s="200">
        <f t="shared" si="77"/>
        <v>0.60195264388674885</v>
      </c>
      <c r="L326" s="200">
        <f t="shared" si="77"/>
        <v>0.60195264388674885</v>
      </c>
      <c r="M326" s="200">
        <f t="shared" si="77"/>
        <v>0.60195264388674885</v>
      </c>
      <c r="N326" s="200">
        <f t="shared" si="77"/>
        <v>0.60195264388674885</v>
      </c>
      <c r="O326" s="200">
        <f t="shared" si="77"/>
        <v>0.31001856356310609</v>
      </c>
      <c r="P326" s="200">
        <f t="shared" si="77"/>
        <v>0.18036070704437224</v>
      </c>
      <c r="Q326" s="200">
        <f t="shared" si="77"/>
        <v>0.60195264388674885</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213</v>
      </c>
      <c r="G327" t="s">
        <v>168</v>
      </c>
      <c r="J327" s="197">
        <f t="shared" ref="J327:Y327" si="79">IF(J$39, J46, J$35)</f>
        <v>0.60195264388674885</v>
      </c>
      <c r="K327" s="197">
        <f t="shared" si="79"/>
        <v>0.60195264388674885</v>
      </c>
      <c r="L327" s="197">
        <f t="shared" si="79"/>
        <v>0.60195264388674885</v>
      </c>
      <c r="M327" s="197">
        <f t="shared" si="79"/>
        <v>0.60195264388674885</v>
      </c>
      <c r="N327" s="197">
        <f t="shared" si="79"/>
        <v>0.60195264388674885</v>
      </c>
      <c r="O327" s="197">
        <f t="shared" si="79"/>
        <v>0.31001856356310609</v>
      </c>
      <c r="P327" s="197">
        <f t="shared" si="79"/>
        <v>0.18036070704437224</v>
      </c>
      <c r="Q327" s="197">
        <f t="shared" si="79"/>
        <v>0.60195264388674885</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251</v>
      </c>
      <c r="G328" t="s">
        <v>168</v>
      </c>
      <c r="J328" s="197">
        <f t="shared" ref="J328:Y328" si="80">IF(J$39, J47, J$35)</f>
        <v>0.60195264388674885</v>
      </c>
      <c r="K328" s="197">
        <f t="shared" si="80"/>
        <v>0.60195264388674885</v>
      </c>
      <c r="L328" s="197">
        <f t="shared" si="80"/>
        <v>0.60195264388674885</v>
      </c>
      <c r="M328" s="197">
        <f t="shared" si="80"/>
        <v>0.60195264388674885</v>
      </c>
      <c r="N328" s="197">
        <f t="shared" si="80"/>
        <v>0.60195264388674885</v>
      </c>
      <c r="O328" s="197">
        <f t="shared" si="80"/>
        <v>0.31001856356310609</v>
      </c>
      <c r="P328" s="197">
        <f t="shared" si="80"/>
        <v>0.18036070704437224</v>
      </c>
      <c r="Q328" s="197">
        <f t="shared" si="80"/>
        <v>0.60195264388674885</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253</v>
      </c>
      <c r="G329" t="s">
        <v>168</v>
      </c>
      <c r="J329" s="197">
        <f t="shared" ref="J329:Y329" si="81">IF(J$39, J48, J$35)</f>
        <v>0.60195264388674885</v>
      </c>
      <c r="K329" s="197">
        <f t="shared" si="81"/>
        <v>0.60195264388674885</v>
      </c>
      <c r="L329" s="197">
        <f t="shared" si="81"/>
        <v>0.60195264388674885</v>
      </c>
      <c r="M329" s="197">
        <f t="shared" si="81"/>
        <v>0.60195264388674885</v>
      </c>
      <c r="N329" s="197">
        <f t="shared" si="81"/>
        <v>0.60195264388674885</v>
      </c>
      <c r="O329" s="197">
        <f t="shared" si="81"/>
        <v>0.31001856356310609</v>
      </c>
      <c r="P329" s="197">
        <f t="shared" si="81"/>
        <v>0.18036070704437224</v>
      </c>
      <c r="Q329" s="197">
        <f t="shared" si="81"/>
        <v>0.60195264388674885</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254</v>
      </c>
      <c r="G330" s="96" t="s">
        <v>168</v>
      </c>
      <c r="H330" s="96"/>
      <c r="I330" s="96"/>
      <c r="J330" s="200">
        <f t="shared" ref="J330:Y330" si="82">IF(J$39, J49, J$35)</f>
        <v>0.60195264388674885</v>
      </c>
      <c r="K330" s="200">
        <f t="shared" si="82"/>
        <v>0.60195264388674885</v>
      </c>
      <c r="L330" s="200">
        <f t="shared" si="82"/>
        <v>0.60195264388674885</v>
      </c>
      <c r="M330" s="200">
        <f t="shared" si="82"/>
        <v>0.60195264388674885</v>
      </c>
      <c r="N330" s="200">
        <f t="shared" si="82"/>
        <v>0.60195264388674885</v>
      </c>
      <c r="O330" s="200">
        <f t="shared" si="82"/>
        <v>0.31001856356310609</v>
      </c>
      <c r="P330" s="200">
        <f t="shared" si="82"/>
        <v>0.18036070704437224</v>
      </c>
      <c r="Q330" s="200">
        <f t="shared" si="82"/>
        <v>0.60195264388674885</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control'!$H$42:$H$65,MATCH($A$1,'Version control'!$F$42:$F$65,0),1)&amp;"-D: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915</v>
      </c>
      <c r="G334" s="61"/>
      <c r="I334" t="s">
        <v>155</v>
      </c>
      <c r="AQ334" s="3"/>
    </row>
    <row r="335" spans="3:43" x14ac:dyDescent="0.25">
      <c r="E335" s="75"/>
      <c r="F335" s="116" t="s">
        <v>248</v>
      </c>
      <c r="G335" s="116" t="s">
        <v>208</v>
      </c>
      <c r="H335" s="95"/>
      <c r="I335" s="95"/>
      <c r="J335" s="117"/>
      <c r="K335" s="147">
        <f t="shared" ref="K335:P341" si="83">(1 - K315) * K105</f>
        <v>0</v>
      </c>
      <c r="L335" s="147">
        <f t="shared" si="83"/>
        <v>29.702919555655566</v>
      </c>
      <c r="M335" s="147">
        <f t="shared" si="83"/>
        <v>0</v>
      </c>
      <c r="N335" s="147">
        <f t="shared" si="83"/>
        <v>0</v>
      </c>
      <c r="O335" s="147">
        <f t="shared" si="83"/>
        <v>0</v>
      </c>
      <c r="P335" s="147">
        <f t="shared" si="83"/>
        <v>0</v>
      </c>
      <c r="Q335" s="117"/>
      <c r="R335" s="147">
        <f t="shared" ref="R335:Y341" si="84">(1 - R315) * R105</f>
        <v>145.32512484445286</v>
      </c>
      <c r="S335" s="147">
        <f t="shared" si="84"/>
        <v>0</v>
      </c>
      <c r="T335" s="147">
        <f t="shared" si="84"/>
        <v>5.0228258684195506</v>
      </c>
      <c r="U335" s="147">
        <f t="shared" si="84"/>
        <v>0</v>
      </c>
      <c r="V335" s="147">
        <f t="shared" si="84"/>
        <v>0</v>
      </c>
      <c r="W335" s="147">
        <f t="shared" si="84"/>
        <v>0</v>
      </c>
      <c r="X335" s="147">
        <f t="shared" si="84"/>
        <v>0</v>
      </c>
      <c r="Y335" s="147">
        <f t="shared" si="84"/>
        <v>0</v>
      </c>
      <c r="AQ335" s="3"/>
    </row>
    <row r="336" spans="3:43" x14ac:dyDescent="0.25">
      <c r="E336" s="75"/>
      <c r="F336" s="118" t="s">
        <v>249</v>
      </c>
      <c r="G336" s="118" t="s">
        <v>208</v>
      </c>
      <c r="J336" s="126"/>
      <c r="K336" s="194">
        <f t="shared" si="83"/>
        <v>0</v>
      </c>
      <c r="L336" s="194">
        <f t="shared" si="83"/>
        <v>265.17399145904818</v>
      </c>
      <c r="M336" s="194">
        <f t="shared" si="83"/>
        <v>0</v>
      </c>
      <c r="N336" s="194">
        <f t="shared" si="83"/>
        <v>0</v>
      </c>
      <c r="O336" s="194">
        <f t="shared" si="83"/>
        <v>0</v>
      </c>
      <c r="P336" s="194">
        <f t="shared" si="83"/>
        <v>0</v>
      </c>
      <c r="Q336" s="126"/>
      <c r="R336" s="194">
        <f t="shared" si="84"/>
        <v>1495.6729981168003</v>
      </c>
      <c r="S336" s="194">
        <f t="shared" si="84"/>
        <v>0</v>
      </c>
      <c r="T336" s="194">
        <f t="shared" si="84"/>
        <v>51.732406322701706</v>
      </c>
      <c r="U336" s="194">
        <f t="shared" si="84"/>
        <v>0</v>
      </c>
      <c r="V336" s="194">
        <f t="shared" si="84"/>
        <v>0</v>
      </c>
      <c r="W336" s="194">
        <f t="shared" si="84"/>
        <v>0</v>
      </c>
      <c r="X336" s="194">
        <f t="shared" si="84"/>
        <v>0</v>
      </c>
      <c r="Y336" s="194">
        <f t="shared" si="84"/>
        <v>0</v>
      </c>
      <c r="AQ336" s="3"/>
    </row>
    <row r="337" spans="5:43" x14ac:dyDescent="0.25">
      <c r="E337" s="75"/>
      <c r="F337" s="118" t="s">
        <v>250</v>
      </c>
      <c r="G337" s="118" t="s">
        <v>208</v>
      </c>
      <c r="J337" s="126"/>
      <c r="K337" s="194">
        <f t="shared" si="83"/>
        <v>0</v>
      </c>
      <c r="L337" s="194">
        <f t="shared" si="83"/>
        <v>188.69011814063299</v>
      </c>
      <c r="M337" s="194">
        <f t="shared" si="83"/>
        <v>0</v>
      </c>
      <c r="N337" s="194">
        <f t="shared" si="83"/>
        <v>0</v>
      </c>
      <c r="O337" s="194">
        <f t="shared" si="83"/>
        <v>0</v>
      </c>
      <c r="P337" s="194">
        <f t="shared" si="83"/>
        <v>0</v>
      </c>
      <c r="Q337" s="126"/>
      <c r="R337" s="194">
        <f t="shared" si="84"/>
        <v>617.57032877021857</v>
      </c>
      <c r="S337" s="194">
        <f t="shared" si="84"/>
        <v>0</v>
      </c>
      <c r="T337" s="194">
        <f t="shared" si="84"/>
        <v>23.479247066598283</v>
      </c>
      <c r="U337" s="194">
        <f t="shared" si="84"/>
        <v>0</v>
      </c>
      <c r="V337" s="194">
        <f t="shared" si="84"/>
        <v>0</v>
      </c>
      <c r="W337" s="194">
        <f t="shared" si="84"/>
        <v>0</v>
      </c>
      <c r="X337" s="194">
        <f t="shared" si="84"/>
        <v>0</v>
      </c>
      <c r="Y337" s="194">
        <f t="shared" si="84"/>
        <v>0</v>
      </c>
      <c r="AQ337" s="3"/>
    </row>
    <row r="338" spans="5:43" x14ac:dyDescent="0.25">
      <c r="E338" s="75"/>
      <c r="F338" s="118" t="s">
        <v>213</v>
      </c>
      <c r="G338" s="118" t="s">
        <v>213</v>
      </c>
      <c r="J338" s="126"/>
      <c r="K338" s="194">
        <f t="shared" si="83"/>
        <v>0</v>
      </c>
      <c r="L338" s="194">
        <f t="shared" si="83"/>
        <v>77.072272825426609</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251</v>
      </c>
      <c r="G339" s="118" t="s">
        <v>252</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253</v>
      </c>
      <c r="G340" s="118" t="s">
        <v>252</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254</v>
      </c>
      <c r="G341" s="120" t="s">
        <v>255</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4.4468923790347121</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916</v>
      </c>
      <c r="G343" s="61"/>
      <c r="I343" t="s">
        <v>155</v>
      </c>
      <c r="AQ343" s="3"/>
    </row>
    <row r="344" spans="5:43" x14ac:dyDescent="0.25">
      <c r="E344" s="75"/>
      <c r="F344" s="116" t="s">
        <v>248</v>
      </c>
      <c r="G344" s="116" t="s">
        <v>208</v>
      </c>
      <c r="H344" s="95"/>
      <c r="I344" s="95"/>
      <c r="J344" s="117"/>
      <c r="K344" s="147">
        <f t="shared" ref="K344:P350" si="85">(1 - K324) * K152</f>
        <v>0</v>
      </c>
      <c r="L344" s="147">
        <f t="shared" si="85"/>
        <v>30.159266529056556</v>
      </c>
      <c r="M344" s="147">
        <f t="shared" si="85"/>
        <v>0</v>
      </c>
      <c r="N344" s="147">
        <f t="shared" si="85"/>
        <v>4.0140604566046063</v>
      </c>
      <c r="O344" s="147">
        <f t="shared" si="85"/>
        <v>0</v>
      </c>
      <c r="P344" s="147">
        <f t="shared" si="85"/>
        <v>0</v>
      </c>
      <c r="Q344" s="117"/>
      <c r="R344" s="147">
        <f t="shared" ref="R344:Y350" si="86">(1 - R324) * R152</f>
        <v>466.59485317295298</v>
      </c>
      <c r="S344" s="147">
        <f t="shared" si="86"/>
        <v>0</v>
      </c>
      <c r="T344" s="147">
        <f t="shared" si="86"/>
        <v>16.956105770532645</v>
      </c>
      <c r="U344" s="147">
        <f t="shared" si="86"/>
        <v>0</v>
      </c>
      <c r="V344" s="147">
        <f t="shared" si="86"/>
        <v>0</v>
      </c>
      <c r="W344" s="147">
        <f t="shared" si="86"/>
        <v>0</v>
      </c>
      <c r="X344" s="147">
        <f t="shared" si="86"/>
        <v>0</v>
      </c>
      <c r="Y344" s="147">
        <f t="shared" si="86"/>
        <v>0</v>
      </c>
      <c r="AQ344" s="3"/>
    </row>
    <row r="345" spans="5:43" x14ac:dyDescent="0.25">
      <c r="E345" s="75"/>
      <c r="F345" s="118" t="s">
        <v>249</v>
      </c>
      <c r="G345" s="118" t="s">
        <v>208</v>
      </c>
      <c r="J345" s="126"/>
      <c r="K345" s="194">
        <f t="shared" si="85"/>
        <v>0</v>
      </c>
      <c r="L345" s="194">
        <f t="shared" si="85"/>
        <v>260.02302310969083</v>
      </c>
      <c r="M345" s="194">
        <f t="shared" si="85"/>
        <v>0</v>
      </c>
      <c r="N345" s="194">
        <f t="shared" si="85"/>
        <v>37.413413163640428</v>
      </c>
      <c r="O345" s="194">
        <f t="shared" si="85"/>
        <v>0</v>
      </c>
      <c r="P345" s="194">
        <f t="shared" si="85"/>
        <v>0</v>
      </c>
      <c r="Q345" s="126"/>
      <c r="R345" s="194">
        <f t="shared" si="86"/>
        <v>4555.8514617856754</v>
      </c>
      <c r="S345" s="194">
        <f t="shared" si="86"/>
        <v>0</v>
      </c>
      <c r="T345" s="194">
        <f t="shared" si="86"/>
        <v>198.68381871026503</v>
      </c>
      <c r="U345" s="194">
        <f t="shared" si="86"/>
        <v>0</v>
      </c>
      <c r="V345" s="194">
        <f t="shared" si="86"/>
        <v>0</v>
      </c>
      <c r="W345" s="194">
        <f t="shared" si="86"/>
        <v>0</v>
      </c>
      <c r="X345" s="194">
        <f t="shared" si="86"/>
        <v>0</v>
      </c>
      <c r="Y345" s="194">
        <f t="shared" si="86"/>
        <v>0</v>
      </c>
      <c r="AQ345" s="3"/>
    </row>
    <row r="346" spans="5:43" x14ac:dyDescent="0.25">
      <c r="E346" s="75"/>
      <c r="F346" s="118" t="s">
        <v>250</v>
      </c>
      <c r="G346" s="118" t="s">
        <v>208</v>
      </c>
      <c r="J346" s="126"/>
      <c r="K346" s="194">
        <f t="shared" si="85"/>
        <v>0</v>
      </c>
      <c r="L346" s="194">
        <f t="shared" si="85"/>
        <v>191.71169822165007</v>
      </c>
      <c r="M346" s="194">
        <f t="shared" si="85"/>
        <v>0</v>
      </c>
      <c r="N346" s="194">
        <f t="shared" si="85"/>
        <v>24.993934507940512</v>
      </c>
      <c r="O346" s="194">
        <f t="shared" si="85"/>
        <v>0</v>
      </c>
      <c r="P346" s="194">
        <f t="shared" si="85"/>
        <v>0</v>
      </c>
      <c r="Q346" s="126"/>
      <c r="R346" s="194">
        <f t="shared" si="86"/>
        <v>1893.3826305946161</v>
      </c>
      <c r="S346" s="194">
        <f t="shared" si="86"/>
        <v>0</v>
      </c>
      <c r="T346" s="194">
        <f t="shared" si="86"/>
        <v>172.2190311826773</v>
      </c>
      <c r="U346" s="194">
        <f t="shared" si="86"/>
        <v>0</v>
      </c>
      <c r="V346" s="194">
        <f t="shared" si="86"/>
        <v>0</v>
      </c>
      <c r="W346" s="194">
        <f t="shared" si="86"/>
        <v>0</v>
      </c>
      <c r="X346" s="194">
        <f t="shared" si="86"/>
        <v>0</v>
      </c>
      <c r="Y346" s="194">
        <f t="shared" si="86"/>
        <v>0</v>
      </c>
      <c r="AQ346" s="3"/>
    </row>
    <row r="347" spans="5:43" x14ac:dyDescent="0.25">
      <c r="E347" s="75"/>
      <c r="F347" s="118" t="s">
        <v>213</v>
      </c>
      <c r="G347" s="118" t="s">
        <v>213</v>
      </c>
      <c r="J347" s="126"/>
      <c r="K347" s="194">
        <f t="shared" si="85"/>
        <v>0</v>
      </c>
      <c r="L347" s="194">
        <f t="shared" si="85"/>
        <v>63.937379028692277</v>
      </c>
      <c r="M347" s="194">
        <f t="shared" si="85"/>
        <v>0</v>
      </c>
      <c r="N347" s="194">
        <f t="shared" si="85"/>
        <v>1.5344970966886151</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251</v>
      </c>
      <c r="G348" s="118" t="s">
        <v>252</v>
      </c>
      <c r="J348" s="126"/>
      <c r="K348" s="194">
        <f t="shared" si="85"/>
        <v>0</v>
      </c>
      <c r="L348" s="194">
        <f t="shared" si="85"/>
        <v>0</v>
      </c>
      <c r="M348" s="194">
        <f t="shared" si="85"/>
        <v>0</v>
      </c>
      <c r="N348" s="194">
        <f t="shared" si="85"/>
        <v>306.89941933772292</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253</v>
      </c>
      <c r="G349" s="118" t="s">
        <v>252</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254</v>
      </c>
      <c r="G350" s="120" t="s">
        <v>255</v>
      </c>
      <c r="H350" s="96"/>
      <c r="I350" s="96"/>
      <c r="J350" s="121"/>
      <c r="K350" s="173">
        <f t="shared" si="85"/>
        <v>0</v>
      </c>
      <c r="L350" s="173">
        <f t="shared" si="85"/>
        <v>0</v>
      </c>
      <c r="M350" s="173">
        <f t="shared" si="85"/>
        <v>0</v>
      </c>
      <c r="N350" s="173">
        <f t="shared" si="85"/>
        <v>0.34570233929827721</v>
      </c>
      <c r="O350" s="173">
        <f t="shared" si="85"/>
        <v>0</v>
      </c>
      <c r="P350" s="173">
        <f t="shared" si="85"/>
        <v>0</v>
      </c>
      <c r="Q350" s="121"/>
      <c r="R350" s="173">
        <f t="shared" si="86"/>
        <v>0</v>
      </c>
      <c r="S350" s="173">
        <f t="shared" si="86"/>
        <v>0</v>
      </c>
      <c r="T350" s="173">
        <f t="shared" si="86"/>
        <v>73.562570455005527</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917</v>
      </c>
      <c r="G352" s="61"/>
      <c r="I352" t="s">
        <v>155</v>
      </c>
      <c r="AQ352" s="3"/>
    </row>
    <row r="353" spans="3:43" x14ac:dyDescent="0.25">
      <c r="E353" s="75"/>
      <c r="F353" s="116" t="s">
        <v>248</v>
      </c>
      <c r="G353" s="116" t="s">
        <v>208</v>
      </c>
      <c r="H353" s="95"/>
      <c r="I353" s="95"/>
      <c r="J353" s="117"/>
      <c r="K353" s="147">
        <f t="shared" ref="K353:P359" si="87">K58+K335+K344</f>
        <v>36.928307828276772</v>
      </c>
      <c r="L353" s="147">
        <f t="shared" si="87"/>
        <v>110.22088993802085</v>
      </c>
      <c r="M353" s="147">
        <f t="shared" si="87"/>
        <v>26.004708483632935</v>
      </c>
      <c r="N353" s="147">
        <f t="shared" si="87"/>
        <v>129.50544300070618</v>
      </c>
      <c r="O353" s="147">
        <f t="shared" si="87"/>
        <v>39.501171005630091</v>
      </c>
      <c r="P353" s="147">
        <f t="shared" si="87"/>
        <v>471.94648344763874</v>
      </c>
      <c r="Q353" s="117"/>
      <c r="R353" s="147">
        <f t="shared" ref="R353:Y359" si="88">R58+R335+R344</f>
        <v>11199.507843454163</v>
      </c>
      <c r="S353" s="147">
        <f t="shared" si="88"/>
        <v>1296.193700379747</v>
      </c>
      <c r="T353" s="147">
        <f t="shared" si="88"/>
        <v>4453.5338269398771</v>
      </c>
      <c r="U353" s="147">
        <f t="shared" si="88"/>
        <v>0</v>
      </c>
      <c r="V353" s="147">
        <f t="shared" si="88"/>
        <v>0</v>
      </c>
      <c r="W353" s="147">
        <f t="shared" si="88"/>
        <v>0</v>
      </c>
      <c r="X353" s="147">
        <f t="shared" si="88"/>
        <v>57918.120807023566</v>
      </c>
      <c r="Y353" s="147">
        <f t="shared" si="88"/>
        <v>0</v>
      </c>
      <c r="AQ353" s="3"/>
    </row>
    <row r="354" spans="3:43" x14ac:dyDescent="0.25">
      <c r="E354" s="75"/>
      <c r="F354" s="118" t="s">
        <v>249</v>
      </c>
      <c r="G354" s="118" t="s">
        <v>208</v>
      </c>
      <c r="J354" s="126"/>
      <c r="K354" s="194">
        <f t="shared" si="87"/>
        <v>2889.7541426122689</v>
      </c>
      <c r="L354" s="194">
        <f t="shared" si="87"/>
        <v>942.04155705548749</v>
      </c>
      <c r="M354" s="194">
        <f t="shared" si="87"/>
        <v>1591.5677042444584</v>
      </c>
      <c r="N354" s="194">
        <f t="shared" si="87"/>
        <v>856.71139491996382</v>
      </c>
      <c r="O354" s="194">
        <f t="shared" si="87"/>
        <v>434.30240671719349</v>
      </c>
      <c r="P354" s="194">
        <f t="shared" si="87"/>
        <v>7574.7482435674356</v>
      </c>
      <c r="Q354" s="126"/>
      <c r="R354" s="194">
        <f t="shared" si="88"/>
        <v>122385.50091081993</v>
      </c>
      <c r="S354" s="194">
        <f t="shared" si="88"/>
        <v>11378.491454160423</v>
      </c>
      <c r="T354" s="194">
        <f t="shared" si="88"/>
        <v>42162.359126339878</v>
      </c>
      <c r="U354" s="194">
        <f t="shared" si="88"/>
        <v>0</v>
      </c>
      <c r="V354" s="194">
        <f t="shared" si="88"/>
        <v>0</v>
      </c>
      <c r="W354" s="194">
        <f t="shared" si="88"/>
        <v>0</v>
      </c>
      <c r="X354" s="194">
        <f t="shared" si="88"/>
        <v>316726.54989568843</v>
      </c>
      <c r="Y354" s="194">
        <f t="shared" si="88"/>
        <v>0</v>
      </c>
      <c r="AQ354" s="3"/>
    </row>
    <row r="355" spans="3:43" x14ac:dyDescent="0.25">
      <c r="E355" s="75"/>
      <c r="F355" s="118" t="s">
        <v>250</v>
      </c>
      <c r="G355" s="118" t="s">
        <v>208</v>
      </c>
      <c r="J355" s="126"/>
      <c r="K355" s="194">
        <f t="shared" si="87"/>
        <v>22694.611658437898</v>
      </c>
      <c r="L355" s="194">
        <f t="shared" si="87"/>
        <v>799.08941219628446</v>
      </c>
      <c r="M355" s="194">
        <f t="shared" si="87"/>
        <v>11266.245993465296</v>
      </c>
      <c r="N355" s="194">
        <f t="shared" si="87"/>
        <v>1018.4553052564441</v>
      </c>
      <c r="O355" s="194">
        <f t="shared" si="87"/>
        <v>289.40239347849558</v>
      </c>
      <c r="P355" s="194">
        <f t="shared" si="87"/>
        <v>10292.028157480876</v>
      </c>
      <c r="Q355" s="126"/>
      <c r="R355" s="194">
        <f t="shared" si="88"/>
        <v>50604.015593424534</v>
      </c>
      <c r="S355" s="194">
        <f t="shared" si="88"/>
        <v>11582.900696102439</v>
      </c>
      <c r="T355" s="194">
        <f t="shared" si="88"/>
        <v>30711.018749331204</v>
      </c>
      <c r="U355" s="194">
        <f t="shared" si="88"/>
        <v>0</v>
      </c>
      <c r="V355" s="194">
        <f t="shared" si="88"/>
        <v>0</v>
      </c>
      <c r="W355" s="194">
        <f t="shared" si="88"/>
        <v>0</v>
      </c>
      <c r="X355" s="194">
        <f t="shared" si="88"/>
        <v>252665.02390971759</v>
      </c>
      <c r="Y355" s="194">
        <f t="shared" si="88"/>
        <v>0</v>
      </c>
      <c r="AQ355" s="3"/>
    </row>
    <row r="356" spans="3:43" x14ac:dyDescent="0.25">
      <c r="E356" s="75"/>
      <c r="F356" s="118" t="s">
        <v>213</v>
      </c>
      <c r="G356" s="118" t="s">
        <v>213</v>
      </c>
      <c r="J356" s="126"/>
      <c r="K356" s="194">
        <f t="shared" si="87"/>
        <v>0</v>
      </c>
      <c r="L356" s="194">
        <f t="shared" si="87"/>
        <v>200.66313779862551</v>
      </c>
      <c r="M356" s="194">
        <f t="shared" si="87"/>
        <v>0</v>
      </c>
      <c r="N356" s="194">
        <f t="shared" si="87"/>
        <v>70.677801427237753</v>
      </c>
      <c r="O356" s="194">
        <f t="shared" si="87"/>
        <v>11.234604758434388</v>
      </c>
      <c r="P356" s="194">
        <f t="shared" si="87"/>
        <v>166.27312445158776</v>
      </c>
      <c r="Q356" s="126"/>
      <c r="R356" s="194">
        <f t="shared" si="88"/>
        <v>0</v>
      </c>
      <c r="S356" s="194">
        <f t="shared" si="88"/>
        <v>0</v>
      </c>
      <c r="T356" s="194">
        <f t="shared" si="88"/>
        <v>0</v>
      </c>
      <c r="U356" s="194">
        <f t="shared" si="88"/>
        <v>0</v>
      </c>
      <c r="V356" s="194">
        <f t="shared" si="88"/>
        <v>0</v>
      </c>
      <c r="W356" s="194">
        <f t="shared" si="88"/>
        <v>0</v>
      </c>
      <c r="X356" s="194">
        <f t="shared" si="88"/>
        <v>320.50176836858998</v>
      </c>
      <c r="Y356" s="194">
        <f t="shared" si="88"/>
        <v>0</v>
      </c>
      <c r="AQ356" s="3"/>
    </row>
    <row r="357" spans="3:43" x14ac:dyDescent="0.25">
      <c r="E357" s="75"/>
      <c r="F357" s="118" t="s">
        <v>251</v>
      </c>
      <c r="G357" s="118" t="s">
        <v>252</v>
      </c>
      <c r="J357" s="126"/>
      <c r="K357" s="194">
        <f t="shared" si="87"/>
        <v>0</v>
      </c>
      <c r="L357" s="194">
        <f t="shared" si="87"/>
        <v>0</v>
      </c>
      <c r="M357" s="194">
        <f t="shared" si="87"/>
        <v>0</v>
      </c>
      <c r="N357" s="194">
        <f t="shared" si="87"/>
        <v>2575.1243165986407</v>
      </c>
      <c r="O357" s="194">
        <f t="shared" si="87"/>
        <v>823.52012126469754</v>
      </c>
      <c r="P357" s="194">
        <f t="shared" si="87"/>
        <v>29704.539007986918</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253</v>
      </c>
      <c r="G358" s="118" t="s">
        <v>252</v>
      </c>
      <c r="J358" s="126"/>
      <c r="K358" s="194">
        <f t="shared" si="87"/>
        <v>0</v>
      </c>
      <c r="L358" s="194">
        <f t="shared" si="87"/>
        <v>0</v>
      </c>
      <c r="M358" s="194">
        <f t="shared" si="87"/>
        <v>0</v>
      </c>
      <c r="N358" s="194">
        <f t="shared" si="87"/>
        <v>193.55191256830602</v>
      </c>
      <c r="O358" s="194">
        <f t="shared" si="87"/>
        <v>66.306010928961754</v>
      </c>
      <c r="P358" s="194">
        <f t="shared" si="87"/>
        <v>7327.4153005464477</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254</v>
      </c>
      <c r="G359" s="120" t="s">
        <v>255</v>
      </c>
      <c r="H359" s="96"/>
      <c r="I359" s="96"/>
      <c r="J359" s="121"/>
      <c r="K359" s="173">
        <f t="shared" si="87"/>
        <v>0</v>
      </c>
      <c r="L359" s="173">
        <f t="shared" si="87"/>
        <v>0</v>
      </c>
      <c r="M359" s="173">
        <f t="shared" si="87"/>
        <v>0</v>
      </c>
      <c r="N359" s="173">
        <f t="shared" si="87"/>
        <v>439.39170233929832</v>
      </c>
      <c r="O359" s="173">
        <f t="shared" si="87"/>
        <v>101.444</v>
      </c>
      <c r="P359" s="173">
        <f t="shared" si="87"/>
        <v>5273.9209999999994</v>
      </c>
      <c r="Q359" s="121"/>
      <c r="R359" s="173">
        <f t="shared" si="88"/>
        <v>0</v>
      </c>
      <c r="S359" s="173">
        <f t="shared" si="88"/>
        <v>0</v>
      </c>
      <c r="T359" s="173">
        <f t="shared" si="88"/>
        <v>5880.660462834041</v>
      </c>
      <c r="U359" s="173">
        <f t="shared" si="88"/>
        <v>0</v>
      </c>
      <c r="V359" s="173">
        <f t="shared" si="88"/>
        <v>0</v>
      </c>
      <c r="W359" s="173">
        <f t="shared" si="88"/>
        <v>0</v>
      </c>
      <c r="X359" s="173">
        <f t="shared" si="88"/>
        <v>7364.4659999999994</v>
      </c>
      <c r="Y359" s="173">
        <f t="shared" si="88"/>
        <v>0</v>
      </c>
      <c r="AQ359" s="3"/>
    </row>
    <row r="360" spans="3:43" x14ac:dyDescent="0.25">
      <c r="AQ360" s="3"/>
    </row>
    <row r="361" spans="3:43" x14ac:dyDescent="0.25">
      <c r="C361" s="93" t="str">
        <f ca="1">INDEX('Version control'!$H$42:$H$65,MATCH($A$1,'Version control'!$F$42:$F$65,0),1)&amp;"-E: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913</v>
      </c>
      <c r="G363" s="61"/>
      <c r="I363" t="s">
        <v>155</v>
      </c>
      <c r="AQ363" s="3"/>
    </row>
    <row r="364" spans="3:43" x14ac:dyDescent="0.25">
      <c r="E364" s="75"/>
      <c r="F364" s="116" t="s">
        <v>248</v>
      </c>
      <c r="G364" s="116" t="s">
        <v>208</v>
      </c>
      <c r="H364" s="95"/>
      <c r="I364" s="95"/>
      <c r="J364" s="147">
        <f t="shared" ref="J364:J370" si="89">(1 - J315) * J114</f>
        <v>2974.859575683884</v>
      </c>
      <c r="K364" s="117"/>
      <c r="L364" s="147">
        <f t="shared" ref="L364:L370" si="90">(1 - L315) * L114</f>
        <v>13.678694558502498</v>
      </c>
      <c r="M364" s="117"/>
      <c r="N364" s="147">
        <f t="shared" ref="N364:Q370" si="91">(1 - N315) * N114</f>
        <v>29.610286478713892</v>
      </c>
      <c r="O364" s="147">
        <f t="shared" si="91"/>
        <v>0</v>
      </c>
      <c r="P364" s="147">
        <f t="shared" si="91"/>
        <v>0</v>
      </c>
      <c r="Q364" s="147">
        <f t="shared" si="91"/>
        <v>1.1521629756500027</v>
      </c>
      <c r="R364" s="117"/>
      <c r="S364" s="117"/>
      <c r="T364" s="117"/>
      <c r="U364" s="117"/>
      <c r="V364" s="117"/>
      <c r="W364" s="117"/>
      <c r="X364" s="117"/>
      <c r="Y364" s="117"/>
      <c r="AQ364" s="3"/>
    </row>
    <row r="365" spans="3:43" x14ac:dyDescent="0.25">
      <c r="E365" s="75"/>
      <c r="F365" s="118" t="s">
        <v>249</v>
      </c>
      <c r="G365" s="118" t="s">
        <v>208</v>
      </c>
      <c r="J365" s="194">
        <f t="shared" si="89"/>
        <v>15694.079019216364</v>
      </c>
      <c r="K365" s="126"/>
      <c r="L365" s="194">
        <f t="shared" si="90"/>
        <v>107.20663847912913</v>
      </c>
      <c r="M365" s="126"/>
      <c r="N365" s="194">
        <f t="shared" si="91"/>
        <v>223.78161214665894</v>
      </c>
      <c r="O365" s="194">
        <f t="shared" si="91"/>
        <v>0</v>
      </c>
      <c r="P365" s="194">
        <f t="shared" si="91"/>
        <v>0</v>
      </c>
      <c r="Q365" s="194">
        <f t="shared" si="91"/>
        <v>12.554086902515193</v>
      </c>
      <c r="R365" s="126"/>
      <c r="S365" s="126"/>
      <c r="T365" s="126"/>
      <c r="U365" s="126"/>
      <c r="V365" s="126"/>
      <c r="W365" s="126"/>
      <c r="X365" s="126"/>
      <c r="Y365" s="126"/>
      <c r="AQ365" s="3"/>
    </row>
    <row r="366" spans="3:43" x14ac:dyDescent="0.25">
      <c r="E366" s="75"/>
      <c r="F366" s="118" t="s">
        <v>250</v>
      </c>
      <c r="G366" s="118" t="s">
        <v>208</v>
      </c>
      <c r="J366" s="194">
        <f t="shared" si="89"/>
        <v>16833.800322267023</v>
      </c>
      <c r="K366" s="126"/>
      <c r="L366" s="194">
        <f t="shared" si="90"/>
        <v>83.207888273864668</v>
      </c>
      <c r="M366" s="126"/>
      <c r="N366" s="194">
        <f t="shared" si="91"/>
        <v>207.25794861554957</v>
      </c>
      <c r="O366" s="194">
        <f t="shared" si="91"/>
        <v>0</v>
      </c>
      <c r="P366" s="194">
        <f t="shared" si="91"/>
        <v>0</v>
      </c>
      <c r="Q366" s="194">
        <f t="shared" si="91"/>
        <v>66.65663508104987</v>
      </c>
      <c r="R366" s="126"/>
      <c r="S366" s="126"/>
      <c r="T366" s="126"/>
      <c r="U366" s="126"/>
      <c r="V366" s="126"/>
      <c r="W366" s="126"/>
      <c r="X366" s="126"/>
      <c r="Y366" s="126"/>
      <c r="AQ366" s="3"/>
    </row>
    <row r="367" spans="3:43" x14ac:dyDescent="0.25">
      <c r="E367" s="75"/>
      <c r="F367" s="118" t="s">
        <v>213</v>
      </c>
      <c r="G367" s="118" t="s">
        <v>213</v>
      </c>
      <c r="J367" s="194">
        <f t="shared" si="89"/>
        <v>12632.984917078582</v>
      </c>
      <c r="K367" s="126"/>
      <c r="L367" s="194">
        <f t="shared" si="90"/>
        <v>58.75806938176089</v>
      </c>
      <c r="M367" s="126"/>
      <c r="N367" s="194">
        <f t="shared" si="91"/>
        <v>11.446377152291076</v>
      </c>
      <c r="O367" s="194">
        <f t="shared" si="91"/>
        <v>0</v>
      </c>
      <c r="P367" s="194">
        <f t="shared" si="91"/>
        <v>0</v>
      </c>
      <c r="Q367" s="194">
        <f t="shared" si="91"/>
        <v>48.074784039622543</v>
      </c>
      <c r="R367" s="126"/>
      <c r="S367" s="126"/>
      <c r="T367" s="126"/>
      <c r="U367" s="126"/>
      <c r="V367" s="126"/>
      <c r="W367" s="126"/>
      <c r="X367" s="126"/>
      <c r="Y367" s="126"/>
      <c r="AQ367" s="3"/>
    </row>
    <row r="368" spans="3:43" x14ac:dyDescent="0.25">
      <c r="E368" s="75"/>
      <c r="F368" s="118" t="s">
        <v>251</v>
      </c>
      <c r="G368" s="118" t="s">
        <v>252</v>
      </c>
      <c r="J368" s="194">
        <f t="shared" si="89"/>
        <v>0</v>
      </c>
      <c r="K368" s="126"/>
      <c r="L368" s="194">
        <f t="shared" si="90"/>
        <v>0</v>
      </c>
      <c r="M368" s="126"/>
      <c r="N368" s="194">
        <f t="shared" si="91"/>
        <v>812.69277781266669</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253</v>
      </c>
      <c r="G369" s="118" t="s">
        <v>252</v>
      </c>
      <c r="J369" s="194">
        <f t="shared" si="89"/>
        <v>0</v>
      </c>
      <c r="K369" s="126"/>
      <c r="L369" s="194">
        <f t="shared" si="90"/>
        <v>0</v>
      </c>
      <c r="M369" s="126"/>
      <c r="N369" s="194">
        <f t="shared" si="91"/>
        <v>28.024961029537874</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254</v>
      </c>
      <c r="G370" s="120" t="s">
        <v>255</v>
      </c>
      <c r="H370" s="96"/>
      <c r="I370" s="96"/>
      <c r="J370" s="173">
        <f t="shared" si="89"/>
        <v>0</v>
      </c>
      <c r="K370" s="121"/>
      <c r="L370" s="173">
        <f t="shared" si="90"/>
        <v>0</v>
      </c>
      <c r="M370" s="121"/>
      <c r="N370" s="173">
        <f t="shared" si="91"/>
        <v>59.530247955959368</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914</v>
      </c>
      <c r="G372" s="61"/>
      <c r="I372" t="s">
        <v>155</v>
      </c>
      <c r="AQ372" s="3"/>
    </row>
    <row r="373" spans="5:43" x14ac:dyDescent="0.25">
      <c r="E373" s="75"/>
      <c r="F373" s="116" t="s">
        <v>248</v>
      </c>
      <c r="G373" s="116" t="s">
        <v>208</v>
      </c>
      <c r="H373" s="95"/>
      <c r="I373" s="95"/>
      <c r="J373" s="147">
        <f t="shared" ref="J373:J379" si="92">(1 - J324) * J161</f>
        <v>6291.9027705073195</v>
      </c>
      <c r="K373" s="117"/>
      <c r="L373" s="147">
        <f t="shared" ref="L373:L379" si="93">(1 - L324) * L161</f>
        <v>88.007331104869877</v>
      </c>
      <c r="M373" s="117"/>
      <c r="N373" s="147">
        <f t="shared" ref="N373:Q379" si="94">(1 - N324) * N161</f>
        <v>212.01753985782912</v>
      </c>
      <c r="O373" s="147">
        <f t="shared" si="94"/>
        <v>0</v>
      </c>
      <c r="P373" s="147">
        <f t="shared" si="94"/>
        <v>9.694919380161787</v>
      </c>
      <c r="Q373" s="147">
        <f t="shared" si="94"/>
        <v>7.1004363417085798</v>
      </c>
      <c r="R373" s="117"/>
      <c r="S373" s="117"/>
      <c r="T373" s="117"/>
      <c r="U373" s="117"/>
      <c r="V373" s="117"/>
      <c r="W373" s="117"/>
      <c r="X373" s="117"/>
      <c r="Y373" s="117"/>
      <c r="AQ373" s="3"/>
    </row>
    <row r="374" spans="5:43" x14ac:dyDescent="0.25">
      <c r="E374" s="75"/>
      <c r="F374" s="118" t="s">
        <v>249</v>
      </c>
      <c r="G374" s="118" t="s">
        <v>208</v>
      </c>
      <c r="J374" s="194">
        <f t="shared" si="92"/>
        <v>33137.806720333443</v>
      </c>
      <c r="K374" s="126"/>
      <c r="L374" s="194">
        <f t="shared" si="93"/>
        <v>756.69650103782203</v>
      </c>
      <c r="M374" s="126"/>
      <c r="N374" s="194">
        <f t="shared" si="94"/>
        <v>1386.5419082846945</v>
      </c>
      <c r="O374" s="194">
        <f t="shared" si="94"/>
        <v>0</v>
      </c>
      <c r="P374" s="194">
        <f t="shared" si="94"/>
        <v>136.51609615542864</v>
      </c>
      <c r="Q374" s="194">
        <f t="shared" si="94"/>
        <v>59.767607424477006</v>
      </c>
      <c r="R374" s="126"/>
      <c r="S374" s="126"/>
      <c r="T374" s="126"/>
      <c r="U374" s="126"/>
      <c r="V374" s="126"/>
      <c r="W374" s="126"/>
      <c r="X374" s="126"/>
      <c r="Y374" s="126"/>
      <c r="AQ374" s="3"/>
    </row>
    <row r="375" spans="5:43" x14ac:dyDescent="0.25">
      <c r="E375" s="75"/>
      <c r="F375" s="118" t="s">
        <v>250</v>
      </c>
      <c r="G375" s="118" t="s">
        <v>208</v>
      </c>
      <c r="J375" s="194">
        <f t="shared" si="92"/>
        <v>35652.124957021922</v>
      </c>
      <c r="K375" s="126"/>
      <c r="L375" s="194">
        <f t="shared" si="93"/>
        <v>561.18796795380104</v>
      </c>
      <c r="M375" s="126"/>
      <c r="N375" s="194">
        <f t="shared" si="94"/>
        <v>1155.8250525005992</v>
      </c>
      <c r="O375" s="194">
        <f t="shared" si="94"/>
        <v>0</v>
      </c>
      <c r="P375" s="194">
        <f t="shared" si="94"/>
        <v>78.691773882913282</v>
      </c>
      <c r="Q375" s="194">
        <f t="shared" si="94"/>
        <v>219.94980833816982</v>
      </c>
      <c r="R375" s="126"/>
      <c r="S375" s="126"/>
      <c r="T375" s="126"/>
      <c r="U375" s="126"/>
      <c r="V375" s="126"/>
      <c r="W375" s="126"/>
      <c r="X375" s="126"/>
      <c r="Y375" s="126"/>
      <c r="AQ375" s="3"/>
    </row>
    <row r="376" spans="5:43" x14ac:dyDescent="0.25">
      <c r="E376" s="75"/>
      <c r="F376" s="118" t="s">
        <v>213</v>
      </c>
      <c r="G376" s="118" t="s">
        <v>213</v>
      </c>
      <c r="J376" s="194">
        <f t="shared" si="92"/>
        <v>27567.751841043202</v>
      </c>
      <c r="K376" s="126"/>
      <c r="L376" s="194">
        <f t="shared" si="93"/>
        <v>246.54253353463739</v>
      </c>
      <c r="M376" s="126"/>
      <c r="N376" s="194">
        <f t="shared" si="94"/>
        <v>30.178442901542748</v>
      </c>
      <c r="O376" s="194">
        <f t="shared" si="94"/>
        <v>0</v>
      </c>
      <c r="P376" s="194">
        <f t="shared" si="94"/>
        <v>1.0532533345223989</v>
      </c>
      <c r="Q376" s="194">
        <f t="shared" si="94"/>
        <v>87.977833543480614</v>
      </c>
      <c r="R376" s="126"/>
      <c r="S376" s="126"/>
      <c r="T376" s="126"/>
      <c r="U376" s="126"/>
      <c r="V376" s="126"/>
      <c r="W376" s="126"/>
      <c r="X376" s="126"/>
      <c r="Y376" s="126"/>
      <c r="AQ376" s="3"/>
    </row>
    <row r="377" spans="5:43" x14ac:dyDescent="0.25">
      <c r="E377" s="75"/>
      <c r="F377" s="118" t="s">
        <v>251</v>
      </c>
      <c r="G377" s="118" t="s">
        <v>252</v>
      </c>
      <c r="J377" s="194">
        <f t="shared" si="92"/>
        <v>0</v>
      </c>
      <c r="K377" s="126"/>
      <c r="L377" s="194">
        <f t="shared" si="93"/>
        <v>0</v>
      </c>
      <c r="M377" s="126"/>
      <c r="N377" s="194">
        <f t="shared" si="94"/>
        <v>1764.6716611919073</v>
      </c>
      <c r="O377" s="194">
        <f t="shared" si="94"/>
        <v>0</v>
      </c>
      <c r="P377" s="194">
        <f t="shared" si="94"/>
        <v>421.3013338089595</v>
      </c>
      <c r="Q377" s="194">
        <f t="shared" si="94"/>
        <v>0</v>
      </c>
      <c r="R377" s="126"/>
      <c r="S377" s="126"/>
      <c r="T377" s="126"/>
      <c r="U377" s="126"/>
      <c r="V377" s="126"/>
      <c r="W377" s="126"/>
      <c r="X377" s="126"/>
      <c r="Y377" s="126"/>
      <c r="AQ377" s="3"/>
    </row>
    <row r="378" spans="5:43" x14ac:dyDescent="0.25">
      <c r="E378" s="75"/>
      <c r="F378" s="118" t="s">
        <v>253</v>
      </c>
      <c r="G378" s="118" t="s">
        <v>252</v>
      </c>
      <c r="J378" s="194">
        <f t="shared" si="92"/>
        <v>0</v>
      </c>
      <c r="K378" s="126"/>
      <c r="L378" s="194">
        <f t="shared" si="93"/>
        <v>0</v>
      </c>
      <c r="M378" s="126"/>
      <c r="N378" s="194">
        <f t="shared" si="94"/>
        <v>47.172547704950794</v>
      </c>
      <c r="O378" s="194">
        <f t="shared" si="94"/>
        <v>0</v>
      </c>
      <c r="P378" s="194">
        <f t="shared" si="94"/>
        <v>0</v>
      </c>
      <c r="Q378" s="194">
        <f t="shared" si="94"/>
        <v>0</v>
      </c>
      <c r="R378" s="126"/>
      <c r="S378" s="126"/>
      <c r="T378" s="126"/>
      <c r="U378" s="126"/>
      <c r="V378" s="126"/>
      <c r="W378" s="126"/>
      <c r="X378" s="126"/>
      <c r="Y378" s="126"/>
      <c r="AQ378" s="3"/>
    </row>
    <row r="379" spans="5:43" x14ac:dyDescent="0.25">
      <c r="E379" s="75"/>
      <c r="F379" s="120" t="s">
        <v>254</v>
      </c>
      <c r="G379" s="120" t="s">
        <v>255</v>
      </c>
      <c r="H379" s="96"/>
      <c r="I379" s="96"/>
      <c r="J379" s="173">
        <f t="shared" si="92"/>
        <v>0</v>
      </c>
      <c r="K379" s="121"/>
      <c r="L379" s="173">
        <f t="shared" si="93"/>
        <v>0</v>
      </c>
      <c r="M379" s="121"/>
      <c r="N379" s="173">
        <f t="shared" si="94"/>
        <v>149.76161012280897</v>
      </c>
      <c r="O379" s="173">
        <f t="shared" si="94"/>
        <v>0</v>
      </c>
      <c r="P379" s="173">
        <f t="shared" si="94"/>
        <v>53.256278394606888</v>
      </c>
      <c r="Q379" s="173">
        <f t="shared" si="94"/>
        <v>0</v>
      </c>
      <c r="R379" s="121"/>
      <c r="S379" s="121"/>
      <c r="T379" s="121"/>
      <c r="U379" s="121"/>
      <c r="V379" s="121"/>
      <c r="W379" s="121"/>
      <c r="X379" s="121"/>
      <c r="Y379" s="121"/>
      <c r="AQ379" s="3"/>
    </row>
    <row r="380" spans="5:43" x14ac:dyDescent="0.25">
      <c r="AQ380" s="3"/>
    </row>
    <row r="381" spans="5:43" x14ac:dyDescent="0.25">
      <c r="E381" s="75" t="s">
        <v>912</v>
      </c>
      <c r="G381" s="61"/>
      <c r="I381" t="s">
        <v>155</v>
      </c>
      <c r="AQ381" s="3"/>
    </row>
    <row r="382" spans="5:43" x14ac:dyDescent="0.25">
      <c r="E382" s="75"/>
      <c r="F382" s="116" t="s">
        <v>248</v>
      </c>
      <c r="G382" s="116" t="s">
        <v>208</v>
      </c>
      <c r="H382" s="95"/>
      <c r="I382" s="95"/>
      <c r="J382" s="147">
        <f t="shared" ref="J382:J388" si="95">J67+J364+J373</f>
        <v>438764.76682252146</v>
      </c>
      <c r="K382" s="117"/>
      <c r="L382" s="147">
        <f t="shared" ref="L382:L388" si="96">L67+L364+L373</f>
        <v>8837.4372229143428</v>
      </c>
      <c r="M382" s="117"/>
      <c r="N382" s="147">
        <f t="shared" ref="N382:Q388" si="97">N67+N364+N373</f>
        <v>28966.177273742094</v>
      </c>
      <c r="O382" s="147">
        <f t="shared" si="97"/>
        <v>2911.3441055235471</v>
      </c>
      <c r="P382" s="147">
        <f t="shared" si="97"/>
        <v>16772.556915985522</v>
      </c>
      <c r="Q382" s="147">
        <f t="shared" si="97"/>
        <v>2860.6386819365989</v>
      </c>
      <c r="R382" s="117"/>
      <c r="S382" s="117"/>
      <c r="T382" s="117"/>
      <c r="U382" s="117"/>
      <c r="V382" s="117"/>
      <c r="W382" s="117"/>
      <c r="X382" s="117"/>
      <c r="Y382" s="117"/>
      <c r="AQ382" s="3"/>
    </row>
    <row r="383" spans="5:43" x14ac:dyDescent="0.25">
      <c r="E383" s="75"/>
      <c r="F383" s="118" t="s">
        <v>249</v>
      </c>
      <c r="G383" s="118" t="s">
        <v>208</v>
      </c>
      <c r="J383" s="194">
        <f t="shared" si="95"/>
        <v>2326173.3938634903</v>
      </c>
      <c r="K383" s="126"/>
      <c r="L383" s="194">
        <f t="shared" si="96"/>
        <v>74438.875574890757</v>
      </c>
      <c r="M383" s="126"/>
      <c r="N383" s="194">
        <f t="shared" si="97"/>
        <v>206519.99534722982</v>
      </c>
      <c r="O383" s="194">
        <f t="shared" si="97"/>
        <v>20771.059895505616</v>
      </c>
      <c r="P383" s="194">
        <f t="shared" si="97"/>
        <v>114903.87344757051</v>
      </c>
      <c r="Q383" s="194">
        <f t="shared" si="97"/>
        <v>30425.348505603444</v>
      </c>
      <c r="R383" s="126"/>
      <c r="S383" s="126"/>
      <c r="T383" s="126"/>
      <c r="U383" s="126"/>
      <c r="V383" s="126"/>
      <c r="W383" s="126"/>
      <c r="X383" s="126"/>
      <c r="Y383" s="126"/>
      <c r="AQ383" s="3"/>
    </row>
    <row r="384" spans="5:43" x14ac:dyDescent="0.25">
      <c r="E384" s="75"/>
      <c r="F384" s="118" t="s">
        <v>250</v>
      </c>
      <c r="G384" s="118" t="s">
        <v>208</v>
      </c>
      <c r="J384" s="194">
        <f t="shared" si="95"/>
        <v>2765513.5778142381</v>
      </c>
      <c r="K384" s="126"/>
      <c r="L384" s="194">
        <f t="shared" si="96"/>
        <v>60065.482726741175</v>
      </c>
      <c r="M384" s="126"/>
      <c r="N384" s="194">
        <f t="shared" si="97"/>
        <v>188416.95583883696</v>
      </c>
      <c r="O384" s="194">
        <f t="shared" si="97"/>
        <v>21026.992263570053</v>
      </c>
      <c r="P384" s="194">
        <f t="shared" si="97"/>
        <v>129392.77752484499</v>
      </c>
      <c r="Q384" s="194">
        <f t="shared" si="97"/>
        <v>65820.427370404781</v>
      </c>
      <c r="R384" s="126"/>
      <c r="S384" s="126"/>
      <c r="T384" s="126"/>
      <c r="U384" s="126"/>
      <c r="V384" s="126"/>
      <c r="W384" s="126"/>
      <c r="X384" s="126"/>
      <c r="Y384" s="126"/>
      <c r="AQ384" s="3"/>
    </row>
    <row r="385" spans="3:43" x14ac:dyDescent="0.25">
      <c r="E385" s="75"/>
      <c r="F385" s="118" t="s">
        <v>213</v>
      </c>
      <c r="G385" s="118" t="s">
        <v>213</v>
      </c>
      <c r="J385" s="194">
        <f t="shared" si="95"/>
        <v>1561399.8065674652</v>
      </c>
      <c r="K385" s="126"/>
      <c r="L385" s="194">
        <f t="shared" si="96"/>
        <v>60526.820419003758</v>
      </c>
      <c r="M385" s="126"/>
      <c r="N385" s="194">
        <f t="shared" si="97"/>
        <v>4840.1397864801875</v>
      </c>
      <c r="O385" s="194">
        <f t="shared" si="97"/>
        <v>382.30885363765054</v>
      </c>
      <c r="P385" s="194">
        <f t="shared" si="97"/>
        <v>399.43603715306864</v>
      </c>
      <c r="Q385" s="194">
        <f t="shared" si="97"/>
        <v>1793.052617583103</v>
      </c>
      <c r="R385" s="126"/>
      <c r="S385" s="126"/>
      <c r="T385" s="126"/>
      <c r="U385" s="126"/>
      <c r="V385" s="126"/>
      <c r="W385" s="126"/>
      <c r="X385" s="126"/>
      <c r="Y385" s="126"/>
      <c r="AQ385" s="3"/>
    </row>
    <row r="386" spans="3:43" x14ac:dyDescent="0.25">
      <c r="E386" s="75"/>
      <c r="F386" s="118" t="s">
        <v>251</v>
      </c>
      <c r="G386" s="118" t="s">
        <v>252</v>
      </c>
      <c r="J386" s="194">
        <f t="shared" si="95"/>
        <v>0</v>
      </c>
      <c r="K386" s="126"/>
      <c r="L386" s="194">
        <f t="shared" si="96"/>
        <v>0</v>
      </c>
      <c r="M386" s="126"/>
      <c r="N386" s="194">
        <f t="shared" si="97"/>
        <v>215854.20806633524</v>
      </c>
      <c r="O386" s="194">
        <f t="shared" si="97"/>
        <v>20797.24763972445</v>
      </c>
      <c r="P386" s="194">
        <f t="shared" si="97"/>
        <v>110601.53153037807</v>
      </c>
      <c r="Q386" s="194">
        <f t="shared" si="97"/>
        <v>0</v>
      </c>
      <c r="R386" s="126"/>
      <c r="S386" s="126"/>
      <c r="T386" s="126"/>
      <c r="U386" s="126"/>
      <c r="V386" s="126"/>
      <c r="W386" s="126"/>
      <c r="X386" s="126"/>
      <c r="Y386" s="126"/>
      <c r="AQ386" s="3"/>
    </row>
    <row r="387" spans="3:43" x14ac:dyDescent="0.25">
      <c r="E387" s="75"/>
      <c r="F387" s="118" t="s">
        <v>253</v>
      </c>
      <c r="G387" s="118" t="s">
        <v>252</v>
      </c>
      <c r="J387" s="194">
        <f t="shared" si="95"/>
        <v>0</v>
      </c>
      <c r="K387" s="126"/>
      <c r="L387" s="194">
        <f t="shared" si="96"/>
        <v>0</v>
      </c>
      <c r="M387" s="126"/>
      <c r="N387" s="194">
        <f t="shared" si="97"/>
        <v>6813.3052214002355</v>
      </c>
      <c r="O387" s="194">
        <f t="shared" si="97"/>
        <v>243.38073583802102</v>
      </c>
      <c r="P387" s="194">
        <f t="shared" si="97"/>
        <v>908.32726340729596</v>
      </c>
      <c r="Q387" s="194">
        <f t="shared" si="97"/>
        <v>0</v>
      </c>
      <c r="R387" s="126"/>
      <c r="S387" s="126"/>
      <c r="T387" s="126"/>
      <c r="U387" s="126"/>
      <c r="V387" s="126"/>
      <c r="W387" s="126"/>
      <c r="X387" s="126"/>
      <c r="Y387" s="126"/>
      <c r="AQ387" s="3"/>
    </row>
    <row r="388" spans="3:43" x14ac:dyDescent="0.25">
      <c r="E388" s="75"/>
      <c r="F388" s="120" t="s">
        <v>254</v>
      </c>
      <c r="G388" s="120" t="s">
        <v>255</v>
      </c>
      <c r="H388" s="96"/>
      <c r="I388" s="96"/>
      <c r="J388" s="173">
        <f t="shared" si="95"/>
        <v>0</v>
      </c>
      <c r="K388" s="121"/>
      <c r="L388" s="173">
        <f t="shared" si="96"/>
        <v>0</v>
      </c>
      <c r="M388" s="121"/>
      <c r="N388" s="173">
        <f t="shared" si="97"/>
        <v>33235.641739213905</v>
      </c>
      <c r="O388" s="173">
        <f t="shared" si="97"/>
        <v>4054.4751424410956</v>
      </c>
      <c r="P388" s="173">
        <f t="shared" si="97"/>
        <v>18650.780803801492</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control'!$H$42:$H$65,MATCH($A$1,'Version control'!$F$42:$F$65,0),1)&amp;"-F: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924</v>
      </c>
      <c r="G392" s="61"/>
      <c r="I392" t="s">
        <v>155</v>
      </c>
      <c r="AQ392" s="3"/>
    </row>
    <row r="393" spans="3:43" x14ac:dyDescent="0.25">
      <c r="E393" s="75"/>
      <c r="F393" s="116" t="s">
        <v>248</v>
      </c>
      <c r="G393" s="116" t="s">
        <v>208</v>
      </c>
      <c r="H393" s="95"/>
      <c r="I393" s="95"/>
      <c r="J393" s="117"/>
      <c r="K393" s="117"/>
      <c r="L393" s="147">
        <f t="shared" ref="L393:L399" si="98">(1 - L315) * L123</f>
        <v>11.556853011292469</v>
      </c>
      <c r="M393" s="117"/>
      <c r="N393" s="147">
        <f t="shared" ref="N393:P399" si="99">(1 - N315) * N123</f>
        <v>140.32124753379222</v>
      </c>
      <c r="O393" s="147">
        <f t="shared" si="99"/>
        <v>0</v>
      </c>
      <c r="P393" s="147">
        <f t="shared" si="99"/>
        <v>0</v>
      </c>
      <c r="Q393" s="117"/>
      <c r="R393" s="117"/>
      <c r="S393" s="117"/>
      <c r="T393" s="117"/>
      <c r="U393" s="117"/>
      <c r="V393" s="117"/>
      <c r="W393" s="117"/>
      <c r="X393" s="117"/>
      <c r="Y393" s="117"/>
      <c r="AQ393" s="3"/>
    </row>
    <row r="394" spans="3:43" x14ac:dyDescent="0.25">
      <c r="E394" s="75"/>
      <c r="F394" s="118" t="s">
        <v>249</v>
      </c>
      <c r="G394" s="118" t="s">
        <v>208</v>
      </c>
      <c r="J394" s="126"/>
      <c r="K394" s="126"/>
      <c r="L394" s="194">
        <f t="shared" si="98"/>
        <v>100.66854068603291</v>
      </c>
      <c r="M394" s="126"/>
      <c r="N394" s="194">
        <f t="shared" si="99"/>
        <v>978.44378928429705</v>
      </c>
      <c r="O394" s="194">
        <f t="shared" si="99"/>
        <v>0</v>
      </c>
      <c r="P394" s="194">
        <f t="shared" si="99"/>
        <v>0</v>
      </c>
      <c r="Q394" s="126"/>
      <c r="R394" s="126"/>
      <c r="S394" s="126"/>
      <c r="T394" s="126"/>
      <c r="U394" s="126"/>
      <c r="V394" s="126"/>
      <c r="W394" s="126"/>
      <c r="X394" s="126"/>
      <c r="Y394" s="126"/>
      <c r="AQ394" s="3"/>
    </row>
    <row r="395" spans="3:43" x14ac:dyDescent="0.25">
      <c r="E395" s="75"/>
      <c r="F395" s="118" t="s">
        <v>250</v>
      </c>
      <c r="G395" s="118" t="s">
        <v>208</v>
      </c>
      <c r="J395" s="126"/>
      <c r="K395" s="126"/>
      <c r="L395" s="194">
        <f t="shared" si="98"/>
        <v>74.804518676830682</v>
      </c>
      <c r="M395" s="126"/>
      <c r="N395" s="194">
        <f t="shared" si="99"/>
        <v>742.67317418827838</v>
      </c>
      <c r="O395" s="194">
        <f t="shared" si="99"/>
        <v>0</v>
      </c>
      <c r="P395" s="194">
        <f t="shared" si="99"/>
        <v>0</v>
      </c>
      <c r="Q395" s="126"/>
      <c r="R395" s="126"/>
      <c r="S395" s="126"/>
      <c r="T395" s="126"/>
      <c r="U395" s="126"/>
      <c r="V395" s="126"/>
      <c r="W395" s="126"/>
      <c r="X395" s="126"/>
      <c r="Y395" s="126"/>
      <c r="AQ395" s="3"/>
    </row>
    <row r="396" spans="3:43" x14ac:dyDescent="0.25">
      <c r="E396" s="75"/>
      <c r="F396" s="118" t="s">
        <v>213</v>
      </c>
      <c r="G396" s="118" t="s">
        <v>213</v>
      </c>
      <c r="J396" s="126"/>
      <c r="K396" s="126"/>
      <c r="L396" s="194">
        <f t="shared" si="98"/>
        <v>34.339131456873247</v>
      </c>
      <c r="M396" s="126"/>
      <c r="N396" s="194">
        <f t="shared" si="99"/>
        <v>32.812947836567773</v>
      </c>
      <c r="O396" s="194">
        <f t="shared" si="99"/>
        <v>0</v>
      </c>
      <c r="P396" s="194">
        <f t="shared" si="99"/>
        <v>0</v>
      </c>
      <c r="Q396" s="126"/>
      <c r="R396" s="126"/>
      <c r="S396" s="126"/>
      <c r="T396" s="126"/>
      <c r="U396" s="126"/>
      <c r="V396" s="126"/>
      <c r="W396" s="126"/>
      <c r="X396" s="126"/>
      <c r="Y396" s="126"/>
      <c r="AQ396" s="3"/>
    </row>
    <row r="397" spans="3:43" x14ac:dyDescent="0.25">
      <c r="E397" s="75"/>
      <c r="F397" s="118" t="s">
        <v>251</v>
      </c>
      <c r="G397" s="118" t="s">
        <v>252</v>
      </c>
      <c r="J397" s="126"/>
      <c r="K397" s="126"/>
      <c r="L397" s="194">
        <f t="shared" si="98"/>
        <v>0</v>
      </c>
      <c r="M397" s="126"/>
      <c r="N397" s="194">
        <f t="shared" si="99"/>
        <v>4000.1272688206573</v>
      </c>
      <c r="O397" s="194">
        <f t="shared" si="99"/>
        <v>0</v>
      </c>
      <c r="P397" s="194">
        <f t="shared" si="99"/>
        <v>0</v>
      </c>
      <c r="Q397" s="126"/>
      <c r="R397" s="126"/>
      <c r="S397" s="126"/>
      <c r="T397" s="126"/>
      <c r="U397" s="126"/>
      <c r="V397" s="126"/>
      <c r="W397" s="126"/>
      <c r="X397" s="126"/>
      <c r="Y397" s="126"/>
      <c r="AQ397" s="3"/>
    </row>
    <row r="398" spans="3:43" x14ac:dyDescent="0.25">
      <c r="E398" s="75"/>
      <c r="F398" s="118" t="s">
        <v>253</v>
      </c>
      <c r="G398" s="118" t="s">
        <v>252</v>
      </c>
      <c r="J398" s="126"/>
      <c r="K398" s="126"/>
      <c r="L398" s="194">
        <f t="shared" si="98"/>
        <v>0</v>
      </c>
      <c r="M398" s="126"/>
      <c r="N398" s="194">
        <f t="shared" si="99"/>
        <v>3.7376281225548875</v>
      </c>
      <c r="O398" s="194">
        <f t="shared" si="99"/>
        <v>0</v>
      </c>
      <c r="P398" s="194">
        <f t="shared" si="99"/>
        <v>0</v>
      </c>
      <c r="Q398" s="126"/>
      <c r="R398" s="126"/>
      <c r="S398" s="126"/>
      <c r="T398" s="126"/>
      <c r="U398" s="126"/>
      <c r="V398" s="126"/>
      <c r="W398" s="126"/>
      <c r="X398" s="126"/>
      <c r="Y398" s="126"/>
      <c r="AQ398" s="3"/>
    </row>
    <row r="399" spans="3:43" x14ac:dyDescent="0.25">
      <c r="E399" s="75"/>
      <c r="F399" s="120" t="s">
        <v>254</v>
      </c>
      <c r="G399" s="120" t="s">
        <v>255</v>
      </c>
      <c r="H399" s="96"/>
      <c r="I399" s="96"/>
      <c r="J399" s="121"/>
      <c r="K399" s="121"/>
      <c r="L399" s="173">
        <f t="shared" si="98"/>
        <v>0</v>
      </c>
      <c r="M399" s="121"/>
      <c r="N399" s="173">
        <f t="shared" si="99"/>
        <v>235.70820083126281</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925</v>
      </c>
      <c r="G401" s="61"/>
      <c r="I401" t="s">
        <v>155</v>
      </c>
      <c r="AQ401" s="3"/>
    </row>
    <row r="402" spans="5:43" x14ac:dyDescent="0.25">
      <c r="E402" s="75"/>
      <c r="F402" s="116" t="s">
        <v>248</v>
      </c>
      <c r="G402" s="116" t="s">
        <v>208</v>
      </c>
      <c r="H402" s="95"/>
      <c r="I402" s="95"/>
      <c r="J402" s="117"/>
      <c r="K402" s="117"/>
      <c r="L402" s="147">
        <f t="shared" ref="L402:L408" si="100">(1 - L324) * L170</f>
        <v>91.103568093745963</v>
      </c>
      <c r="M402" s="117"/>
      <c r="N402" s="147">
        <f t="shared" ref="N402:P408" si="101">(1 - N324) * N170</f>
        <v>512.00292832337482</v>
      </c>
      <c r="O402" s="147">
        <f t="shared" si="101"/>
        <v>0.60926958894355576</v>
      </c>
      <c r="P402" s="147">
        <f t="shared" si="101"/>
        <v>185.61869915046384</v>
      </c>
      <c r="Q402" s="117"/>
      <c r="R402" s="117"/>
      <c r="S402" s="117"/>
      <c r="T402" s="117"/>
      <c r="U402" s="117"/>
      <c r="V402" s="117"/>
      <c r="W402" s="117"/>
      <c r="X402" s="117"/>
      <c r="Y402" s="117"/>
      <c r="AQ402" s="3"/>
    </row>
    <row r="403" spans="5:43" x14ac:dyDescent="0.25">
      <c r="E403" s="75"/>
      <c r="F403" s="118" t="s">
        <v>249</v>
      </c>
      <c r="G403" s="118" t="s">
        <v>208</v>
      </c>
      <c r="J403" s="126"/>
      <c r="K403" s="126"/>
      <c r="L403" s="194">
        <f t="shared" si="100"/>
        <v>784.4823881300257</v>
      </c>
      <c r="M403" s="126"/>
      <c r="N403" s="194">
        <f t="shared" si="101"/>
        <v>3464.1859638935393</v>
      </c>
      <c r="O403" s="194">
        <f t="shared" si="101"/>
        <v>3.7311515394625561</v>
      </c>
      <c r="P403" s="194">
        <f t="shared" si="101"/>
        <v>1460.0263754291248</v>
      </c>
      <c r="Q403" s="126"/>
      <c r="R403" s="126"/>
      <c r="S403" s="126"/>
      <c r="T403" s="126"/>
      <c r="U403" s="126"/>
      <c r="V403" s="126"/>
      <c r="W403" s="126"/>
      <c r="X403" s="126"/>
      <c r="Y403" s="126"/>
      <c r="AQ403" s="3"/>
    </row>
    <row r="404" spans="5:43" x14ac:dyDescent="0.25">
      <c r="E404" s="75"/>
      <c r="F404" s="118" t="s">
        <v>250</v>
      </c>
      <c r="G404" s="118" t="s">
        <v>208</v>
      </c>
      <c r="J404" s="126"/>
      <c r="K404" s="126"/>
      <c r="L404" s="194">
        <f t="shared" si="100"/>
        <v>593.94919152179534</v>
      </c>
      <c r="M404" s="126"/>
      <c r="N404" s="194">
        <f t="shared" si="101"/>
        <v>3098.4305643809826</v>
      </c>
      <c r="O404" s="194">
        <f t="shared" si="101"/>
        <v>5.0872212479693468</v>
      </c>
      <c r="P404" s="194">
        <f t="shared" si="101"/>
        <v>1191.5436802238257</v>
      </c>
      <c r="Q404" s="126"/>
      <c r="R404" s="126"/>
      <c r="S404" s="126"/>
      <c r="T404" s="126"/>
      <c r="U404" s="126"/>
      <c r="V404" s="126"/>
      <c r="W404" s="126"/>
      <c r="X404" s="126"/>
      <c r="Y404" s="126"/>
      <c r="AQ404" s="3"/>
    </row>
    <row r="405" spans="5:43" x14ac:dyDescent="0.25">
      <c r="E405" s="75"/>
      <c r="F405" s="118" t="s">
        <v>213</v>
      </c>
      <c r="G405" s="118" t="s">
        <v>213</v>
      </c>
      <c r="J405" s="126"/>
      <c r="K405" s="126"/>
      <c r="L405" s="194">
        <f t="shared" si="100"/>
        <v>168.79468063574768</v>
      </c>
      <c r="M405" s="126"/>
      <c r="N405" s="194">
        <f t="shared" si="101"/>
        <v>64.448878060921828</v>
      </c>
      <c r="O405" s="194">
        <f t="shared" si="101"/>
        <v>0.88664032450803376</v>
      </c>
      <c r="P405" s="194">
        <f t="shared" si="101"/>
        <v>3.1597600035671976</v>
      </c>
      <c r="Q405" s="126"/>
      <c r="R405" s="126"/>
      <c r="S405" s="126"/>
      <c r="T405" s="126"/>
      <c r="U405" s="126"/>
      <c r="V405" s="126"/>
      <c r="W405" s="126"/>
      <c r="X405" s="126"/>
      <c r="Y405" s="126"/>
      <c r="AQ405" s="3"/>
    </row>
    <row r="406" spans="5:43" x14ac:dyDescent="0.25">
      <c r="E406" s="75"/>
      <c r="F406" s="118" t="s">
        <v>251</v>
      </c>
      <c r="G406" s="118" t="s">
        <v>252</v>
      </c>
      <c r="J406" s="126"/>
      <c r="K406" s="126"/>
      <c r="L406" s="194">
        <f t="shared" si="100"/>
        <v>0</v>
      </c>
      <c r="M406" s="126"/>
      <c r="N406" s="194">
        <f t="shared" si="101"/>
        <v>7675.0429786042205</v>
      </c>
      <c r="O406" s="194">
        <f t="shared" si="101"/>
        <v>123.24300510661666</v>
      </c>
      <c r="P406" s="194">
        <f t="shared" si="101"/>
        <v>2527.808002853757</v>
      </c>
      <c r="Q406" s="126"/>
      <c r="R406" s="126"/>
      <c r="S406" s="126"/>
      <c r="T406" s="126"/>
      <c r="U406" s="126"/>
      <c r="V406" s="126"/>
      <c r="W406" s="126"/>
      <c r="X406" s="126"/>
      <c r="Y406" s="126"/>
      <c r="AQ406" s="3"/>
    </row>
    <row r="407" spans="5:43" x14ac:dyDescent="0.25">
      <c r="E407" s="75"/>
      <c r="F407" s="118" t="s">
        <v>253</v>
      </c>
      <c r="G407" s="118" t="s">
        <v>252</v>
      </c>
      <c r="J407" s="126"/>
      <c r="K407" s="126"/>
      <c r="L407" s="194">
        <f t="shared" si="100"/>
        <v>0</v>
      </c>
      <c r="M407" s="126"/>
      <c r="N407" s="194">
        <f t="shared" si="101"/>
        <v>105.89020006196181</v>
      </c>
      <c r="O407" s="194">
        <f t="shared" si="101"/>
        <v>0</v>
      </c>
      <c r="P407" s="194">
        <f t="shared" si="101"/>
        <v>0</v>
      </c>
      <c r="Q407" s="126"/>
      <c r="R407" s="126"/>
      <c r="S407" s="126"/>
      <c r="T407" s="126"/>
      <c r="U407" s="126"/>
      <c r="V407" s="126"/>
      <c r="W407" s="126"/>
      <c r="X407" s="126"/>
      <c r="Y407" s="126"/>
      <c r="AQ407" s="3"/>
    </row>
    <row r="408" spans="5:43" x14ac:dyDescent="0.25">
      <c r="E408" s="75"/>
      <c r="F408" s="120" t="s">
        <v>254</v>
      </c>
      <c r="G408" s="120" t="s">
        <v>255</v>
      </c>
      <c r="H408" s="96"/>
      <c r="I408" s="96"/>
      <c r="J408" s="121"/>
      <c r="K408" s="121"/>
      <c r="L408" s="173">
        <f t="shared" si="100"/>
        <v>0</v>
      </c>
      <c r="M408" s="121"/>
      <c r="N408" s="173">
        <f t="shared" si="101"/>
        <v>676.29705687157309</v>
      </c>
      <c r="O408" s="173">
        <f t="shared" si="101"/>
        <v>0</v>
      </c>
      <c r="P408" s="173">
        <f t="shared" si="101"/>
        <v>2.6401726464792739</v>
      </c>
      <c r="Q408" s="121"/>
      <c r="R408" s="121"/>
      <c r="S408" s="121"/>
      <c r="T408" s="121"/>
      <c r="U408" s="121"/>
      <c r="V408" s="121"/>
      <c r="W408" s="121"/>
      <c r="X408" s="121"/>
      <c r="Y408" s="121"/>
      <c r="AQ408" s="3"/>
    </row>
    <row r="409" spans="5:43" x14ac:dyDescent="0.25">
      <c r="AQ409" s="3"/>
    </row>
    <row r="410" spans="5:43" x14ac:dyDescent="0.25">
      <c r="E410" s="75" t="s">
        <v>926</v>
      </c>
      <c r="G410" s="61"/>
      <c r="I410" t="s">
        <v>155</v>
      </c>
      <c r="AQ410" s="3"/>
    </row>
    <row r="411" spans="5:43" x14ac:dyDescent="0.25">
      <c r="E411" s="75"/>
      <c r="F411" s="116" t="s">
        <v>248</v>
      </c>
      <c r="G411" s="116" t="s">
        <v>208</v>
      </c>
      <c r="H411" s="95"/>
      <c r="I411" s="95"/>
      <c r="J411" s="117"/>
      <c r="K411" s="117"/>
      <c r="L411" s="147">
        <f t="shared" ref="L411:L417" si="102">L76+L393+L402</f>
        <v>25872.123685434846</v>
      </c>
      <c r="M411" s="117"/>
      <c r="N411" s="147">
        <f t="shared" ref="N411:P417" si="103">N76+N393+N402</f>
        <v>25503.656211323978</v>
      </c>
      <c r="O411" s="147">
        <f t="shared" si="103"/>
        <v>5339.2572559956634</v>
      </c>
      <c r="P411" s="147">
        <f t="shared" si="103"/>
        <v>31102.699588118739</v>
      </c>
      <c r="Q411" s="117"/>
      <c r="R411" s="117"/>
      <c r="S411" s="117"/>
      <c r="T411" s="117"/>
      <c r="U411" s="117"/>
      <c r="V411" s="117"/>
      <c r="W411" s="117"/>
      <c r="X411" s="117"/>
      <c r="Y411" s="117"/>
      <c r="AQ411" s="3"/>
    </row>
    <row r="412" spans="5:43" x14ac:dyDescent="0.25">
      <c r="E412" s="75"/>
      <c r="F412" s="118" t="s">
        <v>249</v>
      </c>
      <c r="G412" s="118" t="s">
        <v>208</v>
      </c>
      <c r="J412" s="126"/>
      <c r="K412" s="126"/>
      <c r="L412" s="194">
        <f t="shared" si="102"/>
        <v>217922.87402057351</v>
      </c>
      <c r="M412" s="126"/>
      <c r="N412" s="194">
        <f t="shared" si="103"/>
        <v>181722.28739133276</v>
      </c>
      <c r="O412" s="194">
        <f t="shared" si="103"/>
        <v>38092.453428061002</v>
      </c>
      <c r="P412" s="194">
        <f t="shared" si="103"/>
        <v>213134.60028562334</v>
      </c>
      <c r="Q412" s="126"/>
      <c r="R412" s="126"/>
      <c r="S412" s="126"/>
      <c r="T412" s="126"/>
      <c r="U412" s="126"/>
      <c r="V412" s="126"/>
      <c r="W412" s="126"/>
      <c r="X412" s="126"/>
      <c r="Y412" s="126"/>
      <c r="AQ412" s="3"/>
    </row>
    <row r="413" spans="5:43" x14ac:dyDescent="0.25">
      <c r="E413" s="75"/>
      <c r="F413" s="118" t="s">
        <v>250</v>
      </c>
      <c r="G413" s="118" t="s">
        <v>208</v>
      </c>
      <c r="J413" s="126"/>
      <c r="K413" s="126"/>
      <c r="L413" s="194">
        <f t="shared" si="102"/>
        <v>175954.1390950426</v>
      </c>
      <c r="M413" s="126"/>
      <c r="N413" s="194">
        <f t="shared" si="103"/>
        <v>165672.63780393818</v>
      </c>
      <c r="O413" s="194">
        <f t="shared" si="103"/>
        <v>38563.122904876298</v>
      </c>
      <c r="P413" s="194">
        <f t="shared" si="103"/>
        <v>239695.80685766402</v>
      </c>
      <c r="Q413" s="126"/>
      <c r="R413" s="126"/>
      <c r="S413" s="126"/>
      <c r="T413" s="126"/>
      <c r="U413" s="126"/>
      <c r="V413" s="126"/>
      <c r="W413" s="126"/>
      <c r="X413" s="126"/>
      <c r="Y413" s="126"/>
      <c r="AQ413" s="3"/>
    </row>
    <row r="414" spans="5:43" x14ac:dyDescent="0.25">
      <c r="E414" s="75"/>
      <c r="F414" s="118" t="s">
        <v>213</v>
      </c>
      <c r="G414" s="118" t="s">
        <v>213</v>
      </c>
      <c r="J414" s="126"/>
      <c r="K414" s="126"/>
      <c r="L414" s="194">
        <f t="shared" si="102"/>
        <v>43509.210892087875</v>
      </c>
      <c r="M414" s="126"/>
      <c r="N414" s="194">
        <f t="shared" si="103"/>
        <v>2414.9626783771373</v>
      </c>
      <c r="O414" s="194">
        <f t="shared" si="103"/>
        <v>409.79946058127348</v>
      </c>
      <c r="P414" s="194">
        <f t="shared" si="103"/>
        <v>320.90602854317882</v>
      </c>
      <c r="Q414" s="126"/>
      <c r="R414" s="126"/>
      <c r="S414" s="126"/>
      <c r="T414" s="126"/>
      <c r="U414" s="126"/>
      <c r="V414" s="126"/>
      <c r="W414" s="126"/>
      <c r="X414" s="126"/>
      <c r="Y414" s="126"/>
      <c r="AQ414" s="3"/>
    </row>
    <row r="415" spans="5:43" x14ac:dyDescent="0.25">
      <c r="E415" s="75"/>
      <c r="F415" s="118" t="s">
        <v>251</v>
      </c>
      <c r="G415" s="118" t="s">
        <v>252</v>
      </c>
      <c r="J415" s="126"/>
      <c r="K415" s="126"/>
      <c r="L415" s="194">
        <f t="shared" si="102"/>
        <v>0</v>
      </c>
      <c r="M415" s="126"/>
      <c r="N415" s="194">
        <f t="shared" si="103"/>
        <v>280897.15435304202</v>
      </c>
      <c r="O415" s="194">
        <f t="shared" si="103"/>
        <v>51037.036254424456</v>
      </c>
      <c r="P415" s="194">
        <f t="shared" si="103"/>
        <v>232758.40545438204</v>
      </c>
      <c r="Q415" s="126"/>
      <c r="R415" s="126"/>
      <c r="S415" s="126"/>
      <c r="T415" s="126"/>
      <c r="U415" s="126"/>
      <c r="V415" s="126"/>
      <c r="W415" s="126"/>
      <c r="X415" s="126"/>
      <c r="Y415" s="126"/>
      <c r="AQ415" s="3"/>
    </row>
    <row r="416" spans="5:43" x14ac:dyDescent="0.25">
      <c r="E416" s="75"/>
      <c r="F416" s="118" t="s">
        <v>253</v>
      </c>
      <c r="G416" s="118" t="s">
        <v>252</v>
      </c>
      <c r="J416" s="126"/>
      <c r="K416" s="126"/>
      <c r="L416" s="194">
        <f t="shared" si="102"/>
        <v>0</v>
      </c>
      <c r="M416" s="126"/>
      <c r="N416" s="194">
        <f t="shared" si="103"/>
        <v>8615.2241070332857</v>
      </c>
      <c r="O416" s="194">
        <f t="shared" si="103"/>
        <v>595.82097977499575</v>
      </c>
      <c r="P416" s="194">
        <f t="shared" si="103"/>
        <v>1898.0240662293093</v>
      </c>
      <c r="Q416" s="126"/>
      <c r="R416" s="126"/>
      <c r="S416" s="126"/>
      <c r="T416" s="126"/>
      <c r="U416" s="126"/>
      <c r="V416" s="126"/>
      <c r="W416" s="126"/>
      <c r="X416" s="126"/>
      <c r="Y416" s="126"/>
      <c r="AQ416" s="3"/>
    </row>
    <row r="417" spans="3:43" x14ac:dyDescent="0.25">
      <c r="E417" s="75"/>
      <c r="F417" s="120" t="s">
        <v>254</v>
      </c>
      <c r="G417" s="120" t="s">
        <v>255</v>
      </c>
      <c r="H417" s="96"/>
      <c r="I417" s="96"/>
      <c r="J417" s="121"/>
      <c r="K417" s="121"/>
      <c r="L417" s="173">
        <f t="shared" si="102"/>
        <v>0</v>
      </c>
      <c r="M417" s="121"/>
      <c r="N417" s="173">
        <f t="shared" si="103"/>
        <v>29485.083081547364</v>
      </c>
      <c r="O417" s="173">
        <f t="shared" si="103"/>
        <v>7434.8530337112988</v>
      </c>
      <c r="P417" s="173">
        <f t="shared" si="103"/>
        <v>34303.535222848244</v>
      </c>
      <c r="Q417" s="121"/>
      <c r="R417" s="121"/>
      <c r="S417" s="121"/>
      <c r="T417" s="121"/>
      <c r="U417" s="121"/>
      <c r="V417" s="121"/>
      <c r="W417" s="121"/>
      <c r="X417" s="121"/>
      <c r="Y417" s="121"/>
      <c r="AQ417" s="3"/>
    </row>
    <row r="418" spans="3:43" x14ac:dyDescent="0.25">
      <c r="AQ418" s="3"/>
    </row>
    <row r="419" spans="3:43" x14ac:dyDescent="0.25">
      <c r="C419" s="93" t="str">
        <f ca="1">INDEX('Version control'!$H$42:$H$65,MATCH($A$1,'Version control'!$F$42:$F$65,0),1)&amp;"-G: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921</v>
      </c>
      <c r="G421" s="61"/>
      <c r="I421" t="s">
        <v>155</v>
      </c>
      <c r="AQ421" s="3"/>
    </row>
    <row r="422" spans="3:43" x14ac:dyDescent="0.25">
      <c r="E422" s="75"/>
      <c r="F422" s="116" t="s">
        <v>248</v>
      </c>
      <c r="G422" s="116" t="s">
        <v>208</v>
      </c>
      <c r="H422" s="95"/>
      <c r="I422" s="95"/>
      <c r="J422" s="117"/>
      <c r="K422" s="117"/>
      <c r="L422" s="147">
        <f t="shared" ref="L422:L428" si="104">(1 - L315) * L132</f>
        <v>21.114840589544201</v>
      </c>
      <c r="M422" s="117"/>
      <c r="N422" s="147">
        <f t="shared" ref="N422:P428" si="105">(1 - N315) * N132</f>
        <v>276.07994697888324</v>
      </c>
      <c r="O422" s="147">
        <f t="shared" si="105"/>
        <v>0</v>
      </c>
      <c r="P422" s="147">
        <f t="shared" si="105"/>
        <v>0</v>
      </c>
      <c r="Q422" s="117"/>
      <c r="R422" s="117"/>
      <c r="S422" s="117"/>
      <c r="T422" s="117"/>
      <c r="U422" s="117"/>
      <c r="V422" s="117"/>
      <c r="W422" s="117"/>
      <c r="X422" s="117"/>
      <c r="Y422" s="117"/>
      <c r="AQ422" s="3"/>
    </row>
    <row r="423" spans="3:43" x14ac:dyDescent="0.25">
      <c r="E423" s="75"/>
      <c r="F423" s="118" t="s">
        <v>249</v>
      </c>
      <c r="G423" s="118" t="s">
        <v>208</v>
      </c>
      <c r="J423" s="126"/>
      <c r="K423" s="126"/>
      <c r="L423" s="194">
        <f t="shared" si="104"/>
        <v>177.56594837969956</v>
      </c>
      <c r="M423" s="126"/>
      <c r="N423" s="194">
        <f t="shared" si="105"/>
        <v>1914.2373242821461</v>
      </c>
      <c r="O423" s="194">
        <f t="shared" si="105"/>
        <v>0</v>
      </c>
      <c r="P423" s="194">
        <f t="shared" si="105"/>
        <v>0</v>
      </c>
      <c r="Q423" s="126"/>
      <c r="R423" s="126"/>
      <c r="S423" s="126"/>
      <c r="T423" s="126"/>
      <c r="U423" s="126"/>
      <c r="V423" s="126"/>
      <c r="W423" s="126"/>
      <c r="X423" s="126"/>
      <c r="Y423" s="126"/>
      <c r="AQ423" s="3"/>
    </row>
    <row r="424" spans="3:43" x14ac:dyDescent="0.25">
      <c r="E424" s="75"/>
      <c r="F424" s="118" t="s">
        <v>250</v>
      </c>
      <c r="G424" s="118" t="s">
        <v>208</v>
      </c>
      <c r="J424" s="126"/>
      <c r="K424" s="126"/>
      <c r="L424" s="194">
        <f t="shared" si="104"/>
        <v>125.89139492122936</v>
      </c>
      <c r="M424" s="126"/>
      <c r="N424" s="194">
        <f t="shared" si="105"/>
        <v>998.11973043101671</v>
      </c>
      <c r="O424" s="194">
        <f t="shared" si="105"/>
        <v>0</v>
      </c>
      <c r="P424" s="194">
        <f t="shared" si="105"/>
        <v>0</v>
      </c>
      <c r="Q424" s="126"/>
      <c r="R424" s="126"/>
      <c r="S424" s="126"/>
      <c r="T424" s="126"/>
      <c r="U424" s="126"/>
      <c r="V424" s="126"/>
      <c r="W424" s="126"/>
      <c r="X424" s="126"/>
      <c r="Y424" s="126"/>
      <c r="AQ424" s="3"/>
    </row>
    <row r="425" spans="3:43" x14ac:dyDescent="0.25">
      <c r="E425" s="75"/>
      <c r="F425" s="118" t="s">
        <v>213</v>
      </c>
      <c r="G425" s="118" t="s">
        <v>213</v>
      </c>
      <c r="J425" s="126"/>
      <c r="K425" s="126"/>
      <c r="L425" s="194">
        <f t="shared" si="104"/>
        <v>61.810436622371832</v>
      </c>
      <c r="M425" s="126"/>
      <c r="N425" s="194">
        <f t="shared" si="105"/>
        <v>43.496233178706113</v>
      </c>
      <c r="O425" s="194">
        <f t="shared" si="105"/>
        <v>0</v>
      </c>
      <c r="P425" s="194">
        <f t="shared" si="105"/>
        <v>0</v>
      </c>
      <c r="Q425" s="126"/>
      <c r="R425" s="126"/>
      <c r="S425" s="126"/>
      <c r="T425" s="126"/>
      <c r="U425" s="126"/>
      <c r="V425" s="126"/>
      <c r="W425" s="126"/>
      <c r="X425" s="126"/>
      <c r="Y425" s="126"/>
      <c r="AQ425" s="3"/>
    </row>
    <row r="426" spans="3:43" x14ac:dyDescent="0.25">
      <c r="E426" s="75"/>
      <c r="F426" s="118" t="s">
        <v>251</v>
      </c>
      <c r="G426" s="118" t="s">
        <v>252</v>
      </c>
      <c r="J426" s="126"/>
      <c r="K426" s="126"/>
      <c r="L426" s="194">
        <f t="shared" si="104"/>
        <v>0</v>
      </c>
      <c r="M426" s="126"/>
      <c r="N426" s="194">
        <f t="shared" si="105"/>
        <v>7778.9579126970166</v>
      </c>
      <c r="O426" s="194">
        <f t="shared" si="105"/>
        <v>0</v>
      </c>
      <c r="P426" s="194">
        <f t="shared" si="105"/>
        <v>0</v>
      </c>
      <c r="Q426" s="126"/>
      <c r="R426" s="126"/>
      <c r="S426" s="126"/>
      <c r="T426" s="126"/>
      <c r="U426" s="126"/>
      <c r="V426" s="126"/>
      <c r="W426" s="126"/>
      <c r="X426" s="126"/>
      <c r="Y426" s="126"/>
      <c r="AQ426" s="3"/>
    </row>
    <row r="427" spans="3:43" x14ac:dyDescent="0.25">
      <c r="E427" s="75"/>
      <c r="F427" s="118" t="s">
        <v>253</v>
      </c>
      <c r="G427" s="118" t="s">
        <v>252</v>
      </c>
      <c r="J427" s="126"/>
      <c r="K427" s="126"/>
      <c r="L427" s="194">
        <f t="shared" si="104"/>
        <v>0</v>
      </c>
      <c r="M427" s="126"/>
      <c r="N427" s="194">
        <f t="shared" si="105"/>
        <v>46.253260509416933</v>
      </c>
      <c r="O427" s="194">
        <f t="shared" si="105"/>
        <v>0</v>
      </c>
      <c r="P427" s="194">
        <f t="shared" si="105"/>
        <v>0</v>
      </c>
      <c r="Q427" s="126"/>
      <c r="R427" s="126"/>
      <c r="S427" s="126"/>
      <c r="T427" s="126"/>
      <c r="U427" s="126"/>
      <c r="V427" s="126"/>
      <c r="W427" s="126"/>
      <c r="X427" s="126"/>
      <c r="Y427" s="126"/>
      <c r="AQ427" s="3"/>
    </row>
    <row r="428" spans="3:43" x14ac:dyDescent="0.25">
      <c r="E428" s="75"/>
      <c r="F428" s="120" t="s">
        <v>254</v>
      </c>
      <c r="G428" s="120" t="s">
        <v>255</v>
      </c>
      <c r="H428" s="96"/>
      <c r="I428" s="96"/>
      <c r="J428" s="121"/>
      <c r="K428" s="121"/>
      <c r="L428" s="173">
        <f t="shared" si="104"/>
        <v>0</v>
      </c>
      <c r="M428" s="121"/>
      <c r="N428" s="173">
        <f t="shared" si="105"/>
        <v>163.08524537196607</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922</v>
      </c>
      <c r="G430" s="61"/>
      <c r="I430" t="s">
        <v>155</v>
      </c>
      <c r="AQ430" s="3"/>
    </row>
    <row r="431" spans="3:43" x14ac:dyDescent="0.25">
      <c r="E431" s="75"/>
      <c r="F431" s="116" t="s">
        <v>248</v>
      </c>
      <c r="G431" s="116" t="s">
        <v>208</v>
      </c>
      <c r="H431" s="95"/>
      <c r="I431" s="95"/>
      <c r="J431" s="117"/>
      <c r="K431" s="117"/>
      <c r="L431" s="147">
        <f t="shared" ref="L431:L437" si="106">(1 - L324) * L179</f>
        <v>84.062751871129407</v>
      </c>
      <c r="M431" s="117"/>
      <c r="N431" s="147">
        <f t="shared" ref="N431:P437" si="107">(1 - N324) * N179</f>
        <v>386.7540856462457</v>
      </c>
      <c r="O431" s="147">
        <f t="shared" si="107"/>
        <v>36.858344692091222</v>
      </c>
      <c r="P431" s="147">
        <f t="shared" si="107"/>
        <v>606.13493593085263</v>
      </c>
      <c r="Q431" s="117"/>
      <c r="R431" s="117"/>
      <c r="S431" s="117"/>
      <c r="T431" s="117"/>
      <c r="U431" s="117"/>
      <c r="V431" s="117"/>
      <c r="W431" s="117"/>
      <c r="X431" s="117"/>
      <c r="Y431" s="117"/>
      <c r="AQ431" s="3"/>
    </row>
    <row r="432" spans="3:43" x14ac:dyDescent="0.25">
      <c r="E432" s="75"/>
      <c r="F432" s="118" t="s">
        <v>249</v>
      </c>
      <c r="G432" s="118" t="s">
        <v>208</v>
      </c>
      <c r="J432" s="126"/>
      <c r="K432" s="126"/>
      <c r="L432" s="194">
        <f t="shared" si="106"/>
        <v>714.29340530076422</v>
      </c>
      <c r="M432" s="126"/>
      <c r="N432" s="194">
        <f t="shared" si="107"/>
        <v>2533.7246954887737</v>
      </c>
      <c r="O432" s="194">
        <f t="shared" si="107"/>
        <v>204.12684237332766</v>
      </c>
      <c r="P432" s="194">
        <f t="shared" si="107"/>
        <v>3929.0889417260714</v>
      </c>
      <c r="Q432" s="126"/>
      <c r="R432" s="126"/>
      <c r="S432" s="126"/>
      <c r="T432" s="126"/>
      <c r="U432" s="126"/>
      <c r="V432" s="126"/>
      <c r="W432" s="126"/>
      <c r="X432" s="126"/>
      <c r="Y432" s="126"/>
      <c r="AQ432" s="3"/>
    </row>
    <row r="433" spans="3:43" x14ac:dyDescent="0.25">
      <c r="E433" s="75"/>
      <c r="F433" s="118" t="s">
        <v>250</v>
      </c>
      <c r="G433" s="118" t="s">
        <v>208</v>
      </c>
      <c r="J433" s="126"/>
      <c r="K433" s="126"/>
      <c r="L433" s="194">
        <f t="shared" si="106"/>
        <v>544.4170738664518</v>
      </c>
      <c r="M433" s="126"/>
      <c r="N433" s="194">
        <f t="shared" si="107"/>
        <v>2349.1344887751179</v>
      </c>
      <c r="O433" s="194">
        <f t="shared" si="107"/>
        <v>251.49046616579903</v>
      </c>
      <c r="P433" s="194">
        <f t="shared" si="107"/>
        <v>4659.1924633453855</v>
      </c>
      <c r="Q433" s="126"/>
      <c r="R433" s="126"/>
      <c r="S433" s="126"/>
      <c r="T433" s="126"/>
      <c r="U433" s="126"/>
      <c r="V433" s="126"/>
      <c r="W433" s="126"/>
      <c r="X433" s="126"/>
      <c r="Y433" s="126"/>
      <c r="AQ433" s="3"/>
    </row>
    <row r="434" spans="3:43" x14ac:dyDescent="0.25">
      <c r="E434" s="75"/>
      <c r="F434" s="118" t="s">
        <v>213</v>
      </c>
      <c r="G434" s="118" t="s">
        <v>213</v>
      </c>
      <c r="J434" s="126"/>
      <c r="K434" s="126"/>
      <c r="L434" s="194">
        <f t="shared" si="106"/>
        <v>109.97229192935069</v>
      </c>
      <c r="M434" s="126"/>
      <c r="N434" s="194">
        <f t="shared" si="107"/>
        <v>32.224439030460914</v>
      </c>
      <c r="O434" s="194">
        <f t="shared" si="107"/>
        <v>0.88664032450803376</v>
      </c>
      <c r="P434" s="194">
        <f t="shared" si="107"/>
        <v>3.1597600035671976</v>
      </c>
      <c r="Q434" s="126"/>
      <c r="R434" s="126"/>
      <c r="S434" s="126"/>
      <c r="T434" s="126"/>
      <c r="U434" s="126"/>
      <c r="V434" s="126"/>
      <c r="W434" s="126"/>
      <c r="X434" s="126"/>
      <c r="Y434" s="126"/>
      <c r="AQ434" s="3"/>
    </row>
    <row r="435" spans="3:43" x14ac:dyDescent="0.25">
      <c r="E435" s="75"/>
      <c r="F435" s="118" t="s">
        <v>251</v>
      </c>
      <c r="G435" s="118" t="s">
        <v>252</v>
      </c>
      <c r="J435" s="126"/>
      <c r="K435" s="126"/>
      <c r="L435" s="194">
        <f t="shared" si="106"/>
        <v>0</v>
      </c>
      <c r="M435" s="126"/>
      <c r="N435" s="194">
        <f t="shared" si="107"/>
        <v>6124.6894119164908</v>
      </c>
      <c r="O435" s="194">
        <f t="shared" si="107"/>
        <v>181.76126652414695</v>
      </c>
      <c r="P435" s="194">
        <f t="shared" si="107"/>
        <v>4213.0133380895959</v>
      </c>
      <c r="Q435" s="126"/>
      <c r="R435" s="126"/>
      <c r="S435" s="126"/>
      <c r="T435" s="126"/>
      <c r="U435" s="126"/>
      <c r="V435" s="126"/>
      <c r="W435" s="126"/>
      <c r="X435" s="126"/>
      <c r="Y435" s="126"/>
      <c r="AQ435" s="3"/>
    </row>
    <row r="436" spans="3:43" x14ac:dyDescent="0.25">
      <c r="E436" s="75"/>
      <c r="F436" s="118" t="s">
        <v>253</v>
      </c>
      <c r="G436" s="118" t="s">
        <v>252</v>
      </c>
      <c r="J436" s="126"/>
      <c r="K436" s="126"/>
      <c r="L436" s="194">
        <f t="shared" si="106"/>
        <v>0</v>
      </c>
      <c r="M436" s="126"/>
      <c r="N436" s="194">
        <f t="shared" si="107"/>
        <v>14.395393011661367</v>
      </c>
      <c r="O436" s="194">
        <f t="shared" si="107"/>
        <v>0</v>
      </c>
      <c r="P436" s="194">
        <f t="shared" si="107"/>
        <v>0</v>
      </c>
      <c r="Q436" s="126"/>
      <c r="R436" s="126"/>
      <c r="S436" s="126"/>
      <c r="T436" s="126"/>
      <c r="U436" s="126"/>
      <c r="V436" s="126"/>
      <c r="W436" s="126"/>
      <c r="X436" s="126"/>
      <c r="Y436" s="126"/>
      <c r="AQ436" s="3"/>
    </row>
    <row r="437" spans="3:43" x14ac:dyDescent="0.25">
      <c r="E437" s="75"/>
      <c r="F437" s="120" t="s">
        <v>254</v>
      </c>
      <c r="G437" s="120" t="s">
        <v>255</v>
      </c>
      <c r="H437" s="96"/>
      <c r="I437" s="96"/>
      <c r="J437" s="121"/>
      <c r="K437" s="121"/>
      <c r="L437" s="173">
        <f t="shared" si="106"/>
        <v>0</v>
      </c>
      <c r="M437" s="121"/>
      <c r="N437" s="173">
        <f t="shared" si="107"/>
        <v>374.62812624502914</v>
      </c>
      <c r="O437" s="173">
        <f t="shared" si="107"/>
        <v>0.77714733144308845</v>
      </c>
      <c r="P437" s="173">
        <f t="shared" si="107"/>
        <v>260.02994173986355</v>
      </c>
      <c r="Q437" s="121"/>
      <c r="R437" s="121"/>
      <c r="S437" s="121"/>
      <c r="T437" s="121"/>
      <c r="U437" s="121"/>
      <c r="V437" s="121"/>
      <c r="W437" s="121"/>
      <c r="X437" s="121"/>
      <c r="Y437" s="121"/>
      <c r="AQ437" s="3"/>
    </row>
    <row r="438" spans="3:43" x14ac:dyDescent="0.25">
      <c r="AQ438" s="3"/>
    </row>
    <row r="439" spans="3:43" x14ac:dyDescent="0.25">
      <c r="E439" s="75" t="s">
        <v>923</v>
      </c>
      <c r="G439" s="61"/>
      <c r="I439" t="s">
        <v>155</v>
      </c>
      <c r="AQ439" s="3"/>
    </row>
    <row r="440" spans="3:43" x14ac:dyDescent="0.25">
      <c r="E440" s="75"/>
      <c r="F440" s="116" t="s">
        <v>248</v>
      </c>
      <c r="G440" s="116" t="s">
        <v>208</v>
      </c>
      <c r="H440" s="95"/>
      <c r="I440" s="95"/>
      <c r="J440" s="117"/>
      <c r="K440" s="117"/>
      <c r="L440" s="147">
        <f t="shared" ref="L440:L446" si="108">L85+L422+L431</f>
        <v>21143.134077991195</v>
      </c>
      <c r="M440" s="117"/>
      <c r="N440" s="147">
        <f t="shared" ref="N440:P446" si="109">N85+N422+N431</f>
        <v>18512.445429425872</v>
      </c>
      <c r="O440" s="147">
        <f t="shared" si="109"/>
        <v>8150.9479574246043</v>
      </c>
      <c r="P440" s="147">
        <f t="shared" si="109"/>
        <v>29116.286104214414</v>
      </c>
      <c r="Q440" s="117"/>
      <c r="R440" s="117"/>
      <c r="S440" s="117"/>
      <c r="T440" s="117"/>
      <c r="U440" s="117"/>
      <c r="V440" s="117"/>
      <c r="W440" s="117"/>
      <c r="X440" s="117"/>
      <c r="Y440" s="117"/>
      <c r="AQ440" s="3"/>
    </row>
    <row r="441" spans="3:43" x14ac:dyDescent="0.25">
      <c r="E441" s="75"/>
      <c r="F441" s="118" t="s">
        <v>249</v>
      </c>
      <c r="G441" s="118" t="s">
        <v>208</v>
      </c>
      <c r="J441" s="126"/>
      <c r="K441" s="126"/>
      <c r="L441" s="194">
        <f t="shared" si="108"/>
        <v>178079.4913694133</v>
      </c>
      <c r="M441" s="126"/>
      <c r="N441" s="194">
        <f t="shared" si="109"/>
        <v>131780.09024866749</v>
      </c>
      <c r="O441" s="194">
        <f t="shared" si="109"/>
        <v>58094.309258051326</v>
      </c>
      <c r="P441" s="194">
        <f t="shared" si="109"/>
        <v>199124.55782620906</v>
      </c>
      <c r="Q441" s="126"/>
      <c r="R441" s="126"/>
      <c r="S441" s="126"/>
      <c r="T441" s="126"/>
      <c r="U441" s="126"/>
      <c r="V441" s="126"/>
      <c r="W441" s="126"/>
      <c r="X441" s="126"/>
      <c r="Y441" s="126"/>
      <c r="AQ441" s="3"/>
    </row>
    <row r="442" spans="3:43" x14ac:dyDescent="0.25">
      <c r="E442" s="75"/>
      <c r="F442" s="118" t="s">
        <v>250</v>
      </c>
      <c r="G442" s="118" t="s">
        <v>208</v>
      </c>
      <c r="J442" s="126"/>
      <c r="K442" s="126"/>
      <c r="L442" s="194">
        <f t="shared" si="108"/>
        <v>143771.71001719512</v>
      </c>
      <c r="M442" s="126"/>
      <c r="N442" s="194">
        <f t="shared" si="109"/>
        <v>119583.67932078311</v>
      </c>
      <c r="O442" s="194">
        <f t="shared" si="109"/>
        <v>58854.971651760308</v>
      </c>
      <c r="P442" s="194">
        <f t="shared" si="109"/>
        <v>224595.62895580821</v>
      </c>
      <c r="Q442" s="126"/>
      <c r="R442" s="126"/>
      <c r="S442" s="126"/>
      <c r="T442" s="126"/>
      <c r="U442" s="126"/>
      <c r="V442" s="126"/>
      <c r="W442" s="126"/>
      <c r="X442" s="126"/>
      <c r="Y442" s="126"/>
      <c r="AQ442" s="3"/>
    </row>
    <row r="443" spans="3:43" x14ac:dyDescent="0.25">
      <c r="E443" s="75"/>
      <c r="F443" s="118" t="s">
        <v>213</v>
      </c>
      <c r="G443" s="118" t="s">
        <v>213</v>
      </c>
      <c r="J443" s="126"/>
      <c r="K443" s="126"/>
      <c r="L443" s="194">
        <f t="shared" si="108"/>
        <v>17687.373926380194</v>
      </c>
      <c r="M443" s="126"/>
      <c r="N443" s="194">
        <f t="shared" si="109"/>
        <v>1158.8780163302902</v>
      </c>
      <c r="O443" s="194">
        <f t="shared" si="109"/>
        <v>384.18082605916283</v>
      </c>
      <c r="P443" s="194">
        <f t="shared" si="109"/>
        <v>132.75415955899788</v>
      </c>
      <c r="Q443" s="126"/>
      <c r="R443" s="126"/>
      <c r="S443" s="126"/>
      <c r="T443" s="126"/>
      <c r="U443" s="126"/>
      <c r="V443" s="126"/>
      <c r="W443" s="126"/>
      <c r="X443" s="126"/>
      <c r="Y443" s="126"/>
      <c r="AQ443" s="3"/>
    </row>
    <row r="444" spans="3:43" x14ac:dyDescent="0.25">
      <c r="E444" s="75"/>
      <c r="F444" s="118" t="s">
        <v>251</v>
      </c>
      <c r="G444" s="118" t="s">
        <v>252</v>
      </c>
      <c r="J444" s="126"/>
      <c r="K444" s="126"/>
      <c r="L444" s="194">
        <f t="shared" si="108"/>
        <v>0</v>
      </c>
      <c r="M444" s="126"/>
      <c r="N444" s="194">
        <f t="shared" si="109"/>
        <v>217929.11546584047</v>
      </c>
      <c r="O444" s="194">
        <f t="shared" si="109"/>
        <v>78651.90763847687</v>
      </c>
      <c r="P444" s="194">
        <f t="shared" si="109"/>
        <v>190815.09053250562</v>
      </c>
      <c r="Q444" s="126"/>
      <c r="R444" s="126"/>
      <c r="S444" s="126"/>
      <c r="T444" s="126"/>
      <c r="U444" s="126"/>
      <c r="V444" s="126"/>
      <c r="W444" s="126"/>
      <c r="X444" s="126"/>
      <c r="Y444" s="126"/>
      <c r="AQ444" s="3"/>
    </row>
    <row r="445" spans="3:43" x14ac:dyDescent="0.25">
      <c r="E445" s="75"/>
      <c r="F445" s="118" t="s">
        <v>253</v>
      </c>
      <c r="G445" s="118" t="s">
        <v>252</v>
      </c>
      <c r="J445" s="126"/>
      <c r="K445" s="126"/>
      <c r="L445" s="194">
        <f t="shared" si="108"/>
        <v>0</v>
      </c>
      <c r="M445" s="126"/>
      <c r="N445" s="194">
        <f t="shared" si="109"/>
        <v>6506.4753878326692</v>
      </c>
      <c r="O445" s="194">
        <f t="shared" si="109"/>
        <v>918.3004547603739</v>
      </c>
      <c r="P445" s="194">
        <f t="shared" si="109"/>
        <v>1538.3499727830376</v>
      </c>
      <c r="Q445" s="126"/>
      <c r="R445" s="126"/>
      <c r="S445" s="126"/>
      <c r="T445" s="126"/>
      <c r="U445" s="126"/>
      <c r="V445" s="126"/>
      <c r="W445" s="126"/>
      <c r="X445" s="126"/>
      <c r="Y445" s="126"/>
      <c r="AQ445" s="3"/>
    </row>
    <row r="446" spans="3:43" x14ac:dyDescent="0.25">
      <c r="E446" s="75"/>
      <c r="F446" s="120" t="s">
        <v>254</v>
      </c>
      <c r="G446" s="120" t="s">
        <v>255</v>
      </c>
      <c r="H446" s="96"/>
      <c r="I446" s="96"/>
      <c r="J446" s="121"/>
      <c r="K446" s="121"/>
      <c r="L446" s="173">
        <f t="shared" si="108"/>
        <v>0</v>
      </c>
      <c r="M446" s="121"/>
      <c r="N446" s="173">
        <f t="shared" si="109"/>
        <v>21060.489971209023</v>
      </c>
      <c r="O446" s="173">
        <f t="shared" si="109"/>
        <v>11300.841119826839</v>
      </c>
      <c r="P446" s="173">
        <f t="shared" si="109"/>
        <v>31890.56151102592</v>
      </c>
      <c r="Q446" s="121"/>
      <c r="R446" s="121"/>
      <c r="S446" s="121"/>
      <c r="T446" s="121"/>
      <c r="U446" s="121"/>
      <c r="V446" s="121"/>
      <c r="W446" s="121"/>
      <c r="X446" s="121"/>
      <c r="Y446" s="121"/>
      <c r="AQ446" s="3"/>
    </row>
    <row r="447" spans="3:43" x14ac:dyDescent="0.25">
      <c r="AQ447" s="3"/>
    </row>
    <row r="448" spans="3:43" x14ac:dyDescent="0.25">
      <c r="C448" s="93" t="str">
        <f ca="1">INDEX('Version control'!$H$42:$H$65,MATCH($A$1,'Version control'!$F$42:$F$65,0),1)&amp;"-H: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918</v>
      </c>
      <c r="G450" s="61"/>
      <c r="I450" t="s">
        <v>155</v>
      </c>
      <c r="AQ450" s="3"/>
    </row>
    <row r="451" spans="3:43" x14ac:dyDescent="0.25">
      <c r="E451" s="75"/>
      <c r="F451" s="116" t="s">
        <v>248</v>
      </c>
      <c r="G451" s="116" t="s">
        <v>208</v>
      </c>
      <c r="H451" s="95"/>
      <c r="I451" s="95"/>
      <c r="J451" s="117"/>
      <c r="K451" s="117"/>
      <c r="L451" s="147">
        <f t="shared" ref="L451:L457" si="110">(1 - L315) * L141</f>
        <v>85.156098470847283</v>
      </c>
      <c r="M451" s="117"/>
      <c r="N451" s="147">
        <f t="shared" ref="N451:P457" si="111">(1 - N315) * N141</f>
        <v>182.56247561096299</v>
      </c>
      <c r="O451" s="147">
        <f t="shared" si="111"/>
        <v>0</v>
      </c>
      <c r="P451" s="147">
        <f t="shared" si="111"/>
        <v>0</v>
      </c>
      <c r="Q451" s="117"/>
      <c r="R451" s="117"/>
      <c r="S451" s="117"/>
      <c r="T451" s="117"/>
      <c r="U451" s="117"/>
      <c r="V451" s="117"/>
      <c r="W451" s="117"/>
      <c r="X451" s="117"/>
      <c r="Y451" s="117"/>
      <c r="AQ451" s="3"/>
    </row>
    <row r="452" spans="3:43" x14ac:dyDescent="0.25">
      <c r="E452" s="75"/>
      <c r="F452" s="118" t="s">
        <v>249</v>
      </c>
      <c r="G452" s="118" t="s">
        <v>208</v>
      </c>
      <c r="J452" s="126"/>
      <c r="K452" s="126"/>
      <c r="L452" s="194">
        <f t="shared" si="110"/>
        <v>728.82327681929098</v>
      </c>
      <c r="M452" s="126"/>
      <c r="N452" s="194">
        <f t="shared" si="111"/>
        <v>1206.0070856797904</v>
      </c>
      <c r="O452" s="194">
        <f t="shared" si="111"/>
        <v>0</v>
      </c>
      <c r="P452" s="194">
        <f t="shared" si="111"/>
        <v>0</v>
      </c>
      <c r="Q452" s="126"/>
      <c r="R452" s="126"/>
      <c r="S452" s="126"/>
      <c r="T452" s="126"/>
      <c r="U452" s="126"/>
      <c r="V452" s="126"/>
      <c r="W452" s="126"/>
      <c r="X452" s="126"/>
      <c r="Y452" s="126"/>
      <c r="AQ452" s="3"/>
    </row>
    <row r="453" spans="3:43" x14ac:dyDescent="0.25">
      <c r="E453" s="75"/>
      <c r="F453" s="118" t="s">
        <v>250</v>
      </c>
      <c r="G453" s="118" t="s">
        <v>208</v>
      </c>
      <c r="J453" s="126"/>
      <c r="K453" s="126"/>
      <c r="L453" s="194">
        <f t="shared" si="110"/>
        <v>548.22123680742754</v>
      </c>
      <c r="M453" s="126"/>
      <c r="N453" s="194">
        <f t="shared" si="111"/>
        <v>978.15343858938763</v>
      </c>
      <c r="O453" s="194">
        <f t="shared" si="111"/>
        <v>0</v>
      </c>
      <c r="P453" s="194">
        <f t="shared" si="111"/>
        <v>0</v>
      </c>
      <c r="Q453" s="126"/>
      <c r="R453" s="126"/>
      <c r="S453" s="126"/>
      <c r="T453" s="126"/>
      <c r="U453" s="126"/>
      <c r="V453" s="126"/>
      <c r="W453" s="126"/>
      <c r="X453" s="126"/>
      <c r="Y453" s="126"/>
      <c r="AQ453" s="3"/>
    </row>
    <row r="454" spans="3:43" x14ac:dyDescent="0.25">
      <c r="E454" s="75"/>
      <c r="F454" s="118" t="s">
        <v>213</v>
      </c>
      <c r="G454" s="118" t="s">
        <v>213</v>
      </c>
      <c r="J454" s="126"/>
      <c r="K454" s="126"/>
      <c r="L454" s="194">
        <f t="shared" si="110"/>
        <v>74.01990558481566</v>
      </c>
      <c r="M454" s="126"/>
      <c r="N454" s="194">
        <f t="shared" si="111"/>
        <v>8.3940099116801239</v>
      </c>
      <c r="O454" s="194">
        <f t="shared" si="111"/>
        <v>0</v>
      </c>
      <c r="P454" s="194">
        <f t="shared" si="111"/>
        <v>0</v>
      </c>
      <c r="Q454" s="126"/>
      <c r="R454" s="126"/>
      <c r="S454" s="126"/>
      <c r="T454" s="126"/>
      <c r="U454" s="126"/>
      <c r="V454" s="126"/>
      <c r="W454" s="126"/>
      <c r="X454" s="126"/>
      <c r="Y454" s="126"/>
      <c r="AQ454" s="3"/>
    </row>
    <row r="455" spans="3:43" x14ac:dyDescent="0.25">
      <c r="E455" s="75"/>
      <c r="F455" s="118" t="s">
        <v>251</v>
      </c>
      <c r="G455" s="118" t="s">
        <v>252</v>
      </c>
      <c r="J455" s="126"/>
      <c r="K455" s="126"/>
      <c r="L455" s="194">
        <f t="shared" si="110"/>
        <v>0</v>
      </c>
      <c r="M455" s="126"/>
      <c r="N455" s="194">
        <f t="shared" si="111"/>
        <v>3601.7933439209269</v>
      </c>
      <c r="O455" s="194">
        <f t="shared" si="111"/>
        <v>0</v>
      </c>
      <c r="P455" s="194">
        <f t="shared" si="111"/>
        <v>0</v>
      </c>
      <c r="Q455" s="126"/>
      <c r="R455" s="126"/>
      <c r="S455" s="126"/>
      <c r="T455" s="126"/>
      <c r="U455" s="126"/>
      <c r="V455" s="126"/>
      <c r="W455" s="126"/>
      <c r="X455" s="126"/>
      <c r="Y455" s="126"/>
      <c r="AQ455" s="3"/>
    </row>
    <row r="456" spans="3:43" x14ac:dyDescent="0.25">
      <c r="E456" s="75"/>
      <c r="F456" s="118" t="s">
        <v>253</v>
      </c>
      <c r="G456" s="118" t="s">
        <v>252</v>
      </c>
      <c r="J456" s="126"/>
      <c r="K456" s="126"/>
      <c r="L456" s="194">
        <f t="shared" si="110"/>
        <v>0</v>
      </c>
      <c r="M456" s="126"/>
      <c r="N456" s="194">
        <f t="shared" si="111"/>
        <v>1.963018237549216</v>
      </c>
      <c r="O456" s="194">
        <f t="shared" si="111"/>
        <v>0</v>
      </c>
      <c r="P456" s="194">
        <f t="shared" si="111"/>
        <v>0</v>
      </c>
      <c r="Q456" s="126"/>
      <c r="R456" s="126"/>
      <c r="S456" s="126"/>
      <c r="T456" s="126"/>
      <c r="U456" s="126"/>
      <c r="V456" s="126"/>
      <c r="W456" s="126"/>
      <c r="X456" s="126"/>
      <c r="Y456" s="126"/>
      <c r="AQ456" s="3"/>
    </row>
    <row r="457" spans="3:43" x14ac:dyDescent="0.25">
      <c r="E457" s="75"/>
      <c r="F457" s="120" t="s">
        <v>254</v>
      </c>
      <c r="G457" s="120" t="s">
        <v>255</v>
      </c>
      <c r="H457" s="96"/>
      <c r="I457" s="96"/>
      <c r="J457" s="121"/>
      <c r="K457" s="121"/>
      <c r="L457" s="173">
        <f t="shared" si="110"/>
        <v>0</v>
      </c>
      <c r="M457" s="121"/>
      <c r="N457" s="173">
        <f t="shared" si="111"/>
        <v>107.94111864843291</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919</v>
      </c>
      <c r="G459" s="61"/>
      <c r="I459" t="s">
        <v>155</v>
      </c>
      <c r="AQ459" s="3"/>
    </row>
    <row r="460" spans="3:43" x14ac:dyDescent="0.25">
      <c r="E460" s="75"/>
      <c r="F460" s="116" t="s">
        <v>248</v>
      </c>
      <c r="G460" s="116" t="s">
        <v>208</v>
      </c>
      <c r="H460" s="95"/>
      <c r="I460" s="95"/>
      <c r="J460" s="117"/>
      <c r="K460" s="117"/>
      <c r="L460" s="147">
        <f t="shared" ref="L460:L466" si="112">(1 - L324) * L188</f>
        <v>216.91315282005436</v>
      </c>
      <c r="M460" s="117"/>
      <c r="N460" s="147">
        <f t="shared" ref="N460:P466" si="113">(1 - N324) * N188</f>
        <v>2293.114830486345</v>
      </c>
      <c r="O460" s="147">
        <f t="shared" si="113"/>
        <v>1579.3115375124687</v>
      </c>
      <c r="P460" s="147">
        <f t="shared" si="113"/>
        <v>0.59942606073281324</v>
      </c>
      <c r="Q460" s="117"/>
      <c r="R460" s="117"/>
      <c r="S460" s="117"/>
      <c r="T460" s="117"/>
      <c r="U460" s="117"/>
      <c r="V460" s="117"/>
      <c r="W460" s="117"/>
      <c r="X460" s="117"/>
      <c r="Y460" s="117"/>
      <c r="AQ460" s="3"/>
    </row>
    <row r="461" spans="3:43" x14ac:dyDescent="0.25">
      <c r="E461" s="75"/>
      <c r="F461" s="118" t="s">
        <v>249</v>
      </c>
      <c r="G461" s="118" t="s">
        <v>208</v>
      </c>
      <c r="J461" s="126"/>
      <c r="K461" s="126"/>
      <c r="L461" s="194">
        <f t="shared" si="112"/>
        <v>1742.6491830224118</v>
      </c>
      <c r="M461" s="126"/>
      <c r="N461" s="194">
        <f t="shared" si="113"/>
        <v>15363.421597252265</v>
      </c>
      <c r="O461" s="194">
        <f t="shared" si="113"/>
        <v>10723.849717198715</v>
      </c>
      <c r="P461" s="194">
        <f t="shared" si="113"/>
        <v>7.0197639567141801</v>
      </c>
      <c r="Q461" s="126"/>
      <c r="R461" s="126"/>
      <c r="S461" s="126"/>
      <c r="T461" s="126"/>
      <c r="U461" s="126"/>
      <c r="V461" s="126"/>
      <c r="W461" s="126"/>
      <c r="X461" s="126"/>
      <c r="Y461" s="126"/>
      <c r="AQ461" s="3"/>
    </row>
    <row r="462" spans="3:43" x14ac:dyDescent="0.25">
      <c r="E462" s="75"/>
      <c r="F462" s="118" t="s">
        <v>250</v>
      </c>
      <c r="G462" s="118" t="s">
        <v>208</v>
      </c>
      <c r="J462" s="126"/>
      <c r="K462" s="126"/>
      <c r="L462" s="194">
        <f t="shared" si="112"/>
        <v>1339.281240025123</v>
      </c>
      <c r="M462" s="126"/>
      <c r="N462" s="194">
        <f t="shared" si="113"/>
        <v>14262.564582279323</v>
      </c>
      <c r="O462" s="194">
        <f t="shared" si="113"/>
        <v>8003.3175380657158</v>
      </c>
      <c r="P462" s="194">
        <f t="shared" si="113"/>
        <v>13.755945184070091</v>
      </c>
      <c r="Q462" s="126"/>
      <c r="R462" s="126"/>
      <c r="S462" s="126"/>
      <c r="T462" s="126"/>
      <c r="U462" s="126"/>
      <c r="V462" s="126"/>
      <c r="W462" s="126"/>
      <c r="X462" s="126"/>
      <c r="Y462" s="126"/>
      <c r="AQ462" s="3"/>
    </row>
    <row r="463" spans="3:43" x14ac:dyDescent="0.25">
      <c r="E463" s="75"/>
      <c r="F463" s="118" t="s">
        <v>213</v>
      </c>
      <c r="G463" s="118" t="s">
        <v>213</v>
      </c>
      <c r="J463" s="126"/>
      <c r="K463" s="126"/>
      <c r="L463" s="194">
        <f t="shared" si="112"/>
        <v>85.931837414562438</v>
      </c>
      <c r="M463" s="126"/>
      <c r="N463" s="194">
        <f t="shared" si="113"/>
        <v>73.655860641053508</v>
      </c>
      <c r="O463" s="194">
        <f t="shared" si="113"/>
        <v>25.712569410732989</v>
      </c>
      <c r="P463" s="194">
        <f t="shared" si="113"/>
        <v>4.2130133380895955</v>
      </c>
      <c r="Q463" s="126"/>
      <c r="R463" s="126"/>
      <c r="S463" s="126"/>
      <c r="T463" s="126"/>
      <c r="U463" s="126"/>
      <c r="V463" s="126"/>
      <c r="W463" s="126"/>
      <c r="X463" s="126"/>
      <c r="Y463" s="126"/>
      <c r="AQ463" s="3"/>
    </row>
    <row r="464" spans="3:43" x14ac:dyDescent="0.25">
      <c r="E464" s="75"/>
      <c r="F464" s="118" t="s">
        <v>251</v>
      </c>
      <c r="G464" s="118" t="s">
        <v>252</v>
      </c>
      <c r="J464" s="126"/>
      <c r="K464" s="126"/>
      <c r="L464" s="194">
        <f t="shared" si="112"/>
        <v>0</v>
      </c>
      <c r="M464" s="126"/>
      <c r="N464" s="194">
        <f t="shared" si="113"/>
        <v>49517.709811109358</v>
      </c>
      <c r="O464" s="194">
        <f t="shared" si="113"/>
        <v>22541.943610292252</v>
      </c>
      <c r="P464" s="194">
        <f t="shared" si="113"/>
        <v>12481.05201409043</v>
      </c>
      <c r="Q464" s="126"/>
      <c r="R464" s="126"/>
      <c r="S464" s="126"/>
      <c r="T464" s="126"/>
      <c r="U464" s="126"/>
      <c r="V464" s="126"/>
      <c r="W464" s="126"/>
      <c r="X464" s="126"/>
      <c r="Y464" s="126"/>
      <c r="AQ464" s="3"/>
    </row>
    <row r="465" spans="3:43" x14ac:dyDescent="0.25">
      <c r="E465" s="75"/>
      <c r="F465" s="118" t="s">
        <v>253</v>
      </c>
      <c r="G465" s="118" t="s">
        <v>252</v>
      </c>
      <c r="J465" s="126"/>
      <c r="K465" s="126"/>
      <c r="L465" s="194">
        <f t="shared" si="112"/>
        <v>0</v>
      </c>
      <c r="M465" s="126"/>
      <c r="N465" s="194">
        <f t="shared" si="113"/>
        <v>60.167207800048921</v>
      </c>
      <c r="O465" s="194">
        <f t="shared" si="113"/>
        <v>0</v>
      </c>
      <c r="P465" s="194">
        <f t="shared" si="113"/>
        <v>0</v>
      </c>
      <c r="Q465" s="126"/>
      <c r="R465" s="126"/>
      <c r="S465" s="126"/>
      <c r="T465" s="126"/>
      <c r="U465" s="126"/>
      <c r="V465" s="126"/>
      <c r="W465" s="126"/>
      <c r="X465" s="126"/>
      <c r="Y465" s="126"/>
      <c r="AQ465" s="3"/>
    </row>
    <row r="466" spans="3:43" x14ac:dyDescent="0.25">
      <c r="E466" s="75"/>
      <c r="F466" s="120" t="s">
        <v>254</v>
      </c>
      <c r="G466" s="120" t="s">
        <v>255</v>
      </c>
      <c r="H466" s="96"/>
      <c r="I466" s="96"/>
      <c r="J466" s="121"/>
      <c r="K466" s="121"/>
      <c r="L466" s="173">
        <f t="shared" si="112"/>
        <v>0</v>
      </c>
      <c r="M466" s="121"/>
      <c r="N466" s="173">
        <f t="shared" si="113"/>
        <v>2691.6848397903664</v>
      </c>
      <c r="O466" s="173">
        <f t="shared" si="113"/>
        <v>524.03377332235561</v>
      </c>
      <c r="P466" s="173">
        <f t="shared" si="113"/>
        <v>5.0393602080161912</v>
      </c>
      <c r="Q466" s="121"/>
      <c r="R466" s="121"/>
      <c r="S466" s="121"/>
      <c r="T466" s="121"/>
      <c r="U466" s="121"/>
      <c r="V466" s="121"/>
      <c r="W466" s="121"/>
      <c r="X466" s="121"/>
      <c r="Y466" s="121"/>
      <c r="AQ466" s="3"/>
    </row>
    <row r="467" spans="3:43" x14ac:dyDescent="0.25">
      <c r="AQ467" s="3"/>
    </row>
    <row r="468" spans="3:43" x14ac:dyDescent="0.25">
      <c r="E468" s="75" t="s">
        <v>920</v>
      </c>
      <c r="G468" s="61"/>
      <c r="I468" t="s">
        <v>155</v>
      </c>
      <c r="AQ468" s="3"/>
    </row>
    <row r="469" spans="3:43" x14ac:dyDescent="0.25">
      <c r="E469" s="75"/>
      <c r="F469" s="116" t="s">
        <v>248</v>
      </c>
      <c r="G469" s="116" t="s">
        <v>208</v>
      </c>
      <c r="H469" s="95"/>
      <c r="I469" s="95"/>
      <c r="J469" s="117"/>
      <c r="K469" s="117"/>
      <c r="L469" s="147">
        <f t="shared" ref="L469:L475" si="114">L94+L451+L460</f>
        <v>53471.120246528364</v>
      </c>
      <c r="M469" s="117"/>
      <c r="N469" s="147">
        <f t="shared" ref="N469:P475" si="115">N94+N451+N460</f>
        <v>17196.907469236761</v>
      </c>
      <c r="O469" s="147">
        <f t="shared" si="115"/>
        <v>24808.375901120831</v>
      </c>
      <c r="P469" s="147">
        <f t="shared" si="115"/>
        <v>50009.561037248597</v>
      </c>
      <c r="Q469" s="117"/>
      <c r="R469" s="117"/>
      <c r="S469" s="117"/>
      <c r="T469" s="117"/>
      <c r="U469" s="117"/>
      <c r="V469" s="117"/>
      <c r="W469" s="117"/>
      <c r="X469" s="117"/>
      <c r="Y469" s="117"/>
      <c r="AQ469" s="3"/>
    </row>
    <row r="470" spans="3:43" x14ac:dyDescent="0.25">
      <c r="E470" s="75"/>
      <c r="F470" s="118" t="s">
        <v>249</v>
      </c>
      <c r="G470" s="118" t="s">
        <v>208</v>
      </c>
      <c r="J470" s="126"/>
      <c r="K470" s="126"/>
      <c r="L470" s="194">
        <f t="shared" si="114"/>
        <v>450276.28890431771</v>
      </c>
      <c r="M470" s="126"/>
      <c r="N470" s="194">
        <f t="shared" si="115"/>
        <v>121584.911941909</v>
      </c>
      <c r="O470" s="194">
        <f t="shared" si="115"/>
        <v>176452.21081943181</v>
      </c>
      <c r="P470" s="194">
        <f t="shared" si="115"/>
        <v>342394.63645892672</v>
      </c>
      <c r="Q470" s="126"/>
      <c r="R470" s="126"/>
      <c r="S470" s="126"/>
      <c r="T470" s="126"/>
      <c r="U470" s="126"/>
      <c r="V470" s="126"/>
      <c r="W470" s="126"/>
      <c r="X470" s="126"/>
      <c r="Y470" s="126"/>
      <c r="AQ470" s="3"/>
    </row>
    <row r="471" spans="3:43" x14ac:dyDescent="0.25">
      <c r="E471" s="75"/>
      <c r="F471" s="118" t="s">
        <v>250</v>
      </c>
      <c r="G471" s="118" t="s">
        <v>208</v>
      </c>
      <c r="J471" s="126"/>
      <c r="K471" s="126"/>
      <c r="L471" s="194">
        <f t="shared" si="114"/>
        <v>363546.47451863921</v>
      </c>
      <c r="M471" s="126"/>
      <c r="N471" s="194">
        <f t="shared" si="115"/>
        <v>111105.16734818177</v>
      </c>
      <c r="O471" s="194">
        <f t="shared" si="115"/>
        <v>175773.71463295951</v>
      </c>
      <c r="P471" s="194">
        <f t="shared" si="115"/>
        <v>385798.90119158186</v>
      </c>
      <c r="Q471" s="126"/>
      <c r="R471" s="126"/>
      <c r="S471" s="126"/>
      <c r="T471" s="126"/>
      <c r="U471" s="126"/>
      <c r="V471" s="126"/>
      <c r="W471" s="126"/>
      <c r="X471" s="126"/>
      <c r="Y471" s="126"/>
      <c r="AQ471" s="3"/>
    </row>
    <row r="472" spans="3:43" x14ac:dyDescent="0.25">
      <c r="E472" s="75"/>
      <c r="F472" s="118" t="s">
        <v>213</v>
      </c>
      <c r="G472" s="118" t="s">
        <v>213</v>
      </c>
      <c r="J472" s="126"/>
      <c r="K472" s="126"/>
      <c r="L472" s="194">
        <f t="shared" si="114"/>
        <v>18401.881559253805</v>
      </c>
      <c r="M472" s="126"/>
      <c r="N472" s="194">
        <f t="shared" si="115"/>
        <v>568.19135570945821</v>
      </c>
      <c r="O472" s="194">
        <f t="shared" si="115"/>
        <v>537.09992775594071</v>
      </c>
      <c r="P472" s="194">
        <f t="shared" si="115"/>
        <v>118.44807664991369</v>
      </c>
      <c r="Q472" s="126"/>
      <c r="R472" s="126"/>
      <c r="S472" s="126"/>
      <c r="T472" s="126"/>
      <c r="U472" s="126"/>
      <c r="V472" s="126"/>
      <c r="W472" s="126"/>
      <c r="X472" s="126"/>
      <c r="Y472" s="126"/>
      <c r="AQ472" s="3"/>
    </row>
    <row r="473" spans="3:43" x14ac:dyDescent="0.25">
      <c r="E473" s="75"/>
      <c r="F473" s="118" t="s">
        <v>251</v>
      </c>
      <c r="G473" s="118" t="s">
        <v>252</v>
      </c>
      <c r="J473" s="126"/>
      <c r="K473" s="126"/>
      <c r="L473" s="194">
        <f t="shared" si="114"/>
        <v>0</v>
      </c>
      <c r="M473" s="126"/>
      <c r="N473" s="194">
        <f t="shared" si="115"/>
        <v>229453.25734675518</v>
      </c>
      <c r="O473" s="194">
        <f t="shared" si="115"/>
        <v>245678.25758925237</v>
      </c>
      <c r="P473" s="194">
        <f t="shared" si="115"/>
        <v>426550.47784776025</v>
      </c>
      <c r="Q473" s="126"/>
      <c r="R473" s="126"/>
      <c r="S473" s="126"/>
      <c r="T473" s="126"/>
      <c r="U473" s="126"/>
      <c r="V473" s="126"/>
      <c r="W473" s="126"/>
      <c r="X473" s="126"/>
      <c r="Y473" s="126"/>
      <c r="AQ473" s="3"/>
    </row>
    <row r="474" spans="3:43" x14ac:dyDescent="0.25">
      <c r="E474" s="75"/>
      <c r="F474" s="118" t="s">
        <v>253</v>
      </c>
      <c r="G474" s="118" t="s">
        <v>252</v>
      </c>
      <c r="J474" s="126"/>
      <c r="K474" s="126"/>
      <c r="L474" s="194">
        <f t="shared" si="114"/>
        <v>0</v>
      </c>
      <c r="M474" s="126"/>
      <c r="N474" s="194">
        <f t="shared" si="115"/>
        <v>5633.085839009309</v>
      </c>
      <c r="O474" s="194">
        <f t="shared" si="115"/>
        <v>2611.2628569490134</v>
      </c>
      <c r="P474" s="194">
        <f t="shared" si="115"/>
        <v>3413.5937795475702</v>
      </c>
      <c r="Q474" s="126"/>
      <c r="R474" s="126"/>
      <c r="S474" s="126"/>
      <c r="T474" s="126"/>
      <c r="U474" s="126"/>
      <c r="V474" s="126"/>
      <c r="W474" s="126"/>
      <c r="X474" s="126"/>
      <c r="Y474" s="126"/>
      <c r="AQ474" s="3"/>
    </row>
    <row r="475" spans="3:43" x14ac:dyDescent="0.25">
      <c r="E475" s="75"/>
      <c r="F475" s="120" t="s">
        <v>254</v>
      </c>
      <c r="G475" s="120" t="s">
        <v>255</v>
      </c>
      <c r="H475" s="96"/>
      <c r="I475" s="96"/>
      <c r="J475" s="121"/>
      <c r="K475" s="121"/>
      <c r="L475" s="173">
        <f t="shared" si="114"/>
        <v>0</v>
      </c>
      <c r="M475" s="121"/>
      <c r="N475" s="173">
        <f t="shared" si="115"/>
        <v>19725.51365386711</v>
      </c>
      <c r="O475" s="173">
        <f t="shared" si="115"/>
        <v>32873.924624674568</v>
      </c>
      <c r="P475" s="173">
        <f t="shared" si="115"/>
        <v>55487.384215313323</v>
      </c>
      <c r="Q475" s="121"/>
      <c r="R475" s="121"/>
      <c r="S475" s="121"/>
      <c r="T475" s="121"/>
      <c r="U475" s="121"/>
      <c r="V475" s="121"/>
      <c r="W475" s="121"/>
      <c r="X475" s="121"/>
      <c r="Y475" s="121"/>
      <c r="AQ475" s="3"/>
    </row>
    <row r="476" spans="3:43" x14ac:dyDescent="0.25">
      <c r="AQ476" s="3"/>
    </row>
    <row r="477" spans="3:43" x14ac:dyDescent="0.25">
      <c r="C477" s="93" t="str">
        <f ca="1">INDEX('Version control'!$H$42:$H$65,MATCH($A$1,'Version control'!$F$42:$F$65,0),1)&amp;"-I: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960</v>
      </c>
      <c r="AQ479" s="3"/>
    </row>
    <row r="480" spans="3:43" x14ac:dyDescent="0.25">
      <c r="E480" s="116" t="s">
        <v>248</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927</v>
      </c>
      <c r="G481" t="s">
        <v>208</v>
      </c>
      <c r="J481" s="150">
        <f t="shared" ref="J481:Y481" si="116">J353</f>
        <v>0</v>
      </c>
      <c r="K481" s="150">
        <f t="shared" si="116"/>
        <v>36.928307828276772</v>
      </c>
      <c r="L481" s="150">
        <f t="shared" si="116"/>
        <v>110.22088993802085</v>
      </c>
      <c r="M481" s="150">
        <f t="shared" si="116"/>
        <v>26.004708483632935</v>
      </c>
      <c r="N481" s="150">
        <f t="shared" si="116"/>
        <v>129.50544300070618</v>
      </c>
      <c r="O481" s="150">
        <f t="shared" si="116"/>
        <v>39.501171005630091</v>
      </c>
      <c r="P481" s="150">
        <f t="shared" si="116"/>
        <v>471.94648344763874</v>
      </c>
      <c r="Q481" s="150">
        <f t="shared" si="116"/>
        <v>0</v>
      </c>
      <c r="R481" s="150">
        <f t="shared" si="116"/>
        <v>11199.507843454163</v>
      </c>
      <c r="S481" s="150">
        <f t="shared" si="116"/>
        <v>1296.193700379747</v>
      </c>
      <c r="T481" s="150">
        <f t="shared" si="116"/>
        <v>4453.5338269398771</v>
      </c>
      <c r="U481" s="150">
        <f t="shared" si="116"/>
        <v>0</v>
      </c>
      <c r="V481" s="150">
        <f t="shared" si="116"/>
        <v>0</v>
      </c>
      <c r="W481" s="150">
        <f t="shared" si="116"/>
        <v>0</v>
      </c>
      <c r="X481" s="150">
        <f t="shared" si="116"/>
        <v>57918.120807023566</v>
      </c>
      <c r="Y481" s="150">
        <f t="shared" si="116"/>
        <v>0</v>
      </c>
      <c r="AQ481" s="3"/>
    </row>
    <row r="482" spans="5:43" x14ac:dyDescent="0.25">
      <c r="E482" s="129"/>
      <c r="F482" s="2" t="s">
        <v>928</v>
      </c>
      <c r="G482" t="s">
        <v>208</v>
      </c>
      <c r="J482" s="148">
        <f t="shared" ref="J482:Y482" si="117">J382</f>
        <v>438764.76682252146</v>
      </c>
      <c r="K482" s="148">
        <f t="shared" si="117"/>
        <v>0</v>
      </c>
      <c r="L482" s="148">
        <f t="shared" si="117"/>
        <v>8837.4372229143428</v>
      </c>
      <c r="M482" s="148">
        <f t="shared" si="117"/>
        <v>0</v>
      </c>
      <c r="N482" s="148">
        <f t="shared" si="117"/>
        <v>28966.177273742094</v>
      </c>
      <c r="O482" s="148">
        <f t="shared" si="117"/>
        <v>2911.3441055235471</v>
      </c>
      <c r="P482" s="148">
        <f t="shared" si="117"/>
        <v>16772.556915985522</v>
      </c>
      <c r="Q482" s="148">
        <f t="shared" si="117"/>
        <v>2860.6386819365989</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929</v>
      </c>
      <c r="G483" t="s">
        <v>208</v>
      </c>
      <c r="J483" s="148">
        <f t="shared" ref="J483:Y483" si="118">J411</f>
        <v>0</v>
      </c>
      <c r="K483" s="148">
        <f t="shared" si="118"/>
        <v>0</v>
      </c>
      <c r="L483" s="148">
        <f t="shared" si="118"/>
        <v>25872.123685434846</v>
      </c>
      <c r="M483" s="148">
        <f t="shared" si="118"/>
        <v>0</v>
      </c>
      <c r="N483" s="148">
        <f t="shared" si="118"/>
        <v>25503.656211323978</v>
      </c>
      <c r="O483" s="148">
        <f t="shared" si="118"/>
        <v>5339.2572559956634</v>
      </c>
      <c r="P483" s="148">
        <f t="shared" si="118"/>
        <v>31102.699588118739</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931</v>
      </c>
      <c r="G484" t="s">
        <v>208</v>
      </c>
      <c r="J484" s="149">
        <f t="shared" ref="J484:Y484" si="119">J440</f>
        <v>0</v>
      </c>
      <c r="K484" s="149">
        <f t="shared" si="119"/>
        <v>0</v>
      </c>
      <c r="L484" s="149">
        <f t="shared" si="119"/>
        <v>21143.134077991195</v>
      </c>
      <c r="M484" s="149">
        <f t="shared" si="119"/>
        <v>0</v>
      </c>
      <c r="N484" s="149">
        <f t="shared" si="119"/>
        <v>18512.445429425872</v>
      </c>
      <c r="O484" s="149">
        <f t="shared" si="119"/>
        <v>8150.9479574246043</v>
      </c>
      <c r="P484" s="149">
        <f t="shared" si="119"/>
        <v>29116.286104214414</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930</v>
      </c>
      <c r="G485" t="s">
        <v>208</v>
      </c>
      <c r="J485" s="149">
        <f t="shared" ref="J485:Y485" si="120">J469</f>
        <v>0</v>
      </c>
      <c r="K485" s="149">
        <f t="shared" si="120"/>
        <v>0</v>
      </c>
      <c r="L485" s="149">
        <f t="shared" si="120"/>
        <v>53471.120246528364</v>
      </c>
      <c r="M485" s="149">
        <f t="shared" si="120"/>
        <v>0</v>
      </c>
      <c r="N485" s="149">
        <f t="shared" si="120"/>
        <v>17196.907469236761</v>
      </c>
      <c r="O485" s="149">
        <f t="shared" si="120"/>
        <v>24808.375901120831</v>
      </c>
      <c r="P485" s="149">
        <f t="shared" si="120"/>
        <v>50009.561037248597</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249</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927</v>
      </c>
      <c r="G487" t="s">
        <v>208</v>
      </c>
      <c r="J487" s="150">
        <f t="shared" ref="J487:Y487" si="121">J354</f>
        <v>0</v>
      </c>
      <c r="K487" s="150">
        <f t="shared" si="121"/>
        <v>2889.7541426122689</v>
      </c>
      <c r="L487" s="150">
        <f t="shared" si="121"/>
        <v>942.04155705548749</v>
      </c>
      <c r="M487" s="150">
        <f t="shared" si="121"/>
        <v>1591.5677042444584</v>
      </c>
      <c r="N487" s="150">
        <f t="shared" si="121"/>
        <v>856.71139491996382</v>
      </c>
      <c r="O487" s="150">
        <f t="shared" si="121"/>
        <v>434.30240671719349</v>
      </c>
      <c r="P487" s="150">
        <f t="shared" si="121"/>
        <v>7574.7482435674356</v>
      </c>
      <c r="Q487" s="150">
        <f t="shared" si="121"/>
        <v>0</v>
      </c>
      <c r="R487" s="150">
        <f t="shared" si="121"/>
        <v>122385.50091081993</v>
      </c>
      <c r="S487" s="150">
        <f t="shared" si="121"/>
        <v>11378.491454160423</v>
      </c>
      <c r="T487" s="150">
        <f t="shared" si="121"/>
        <v>42162.359126339878</v>
      </c>
      <c r="U487" s="150">
        <f t="shared" si="121"/>
        <v>0</v>
      </c>
      <c r="V487" s="150">
        <f t="shared" si="121"/>
        <v>0</v>
      </c>
      <c r="W487" s="150">
        <f t="shared" si="121"/>
        <v>0</v>
      </c>
      <c r="X487" s="150">
        <f t="shared" si="121"/>
        <v>316726.54989568843</v>
      </c>
      <c r="Y487" s="150">
        <f t="shared" si="121"/>
        <v>0</v>
      </c>
      <c r="AQ487" s="3"/>
    </row>
    <row r="488" spans="5:43" x14ac:dyDescent="0.25">
      <c r="E488" s="129"/>
      <c r="F488" s="2" t="s">
        <v>928</v>
      </c>
      <c r="G488" t="s">
        <v>208</v>
      </c>
      <c r="J488" s="148">
        <f t="shared" ref="J488:Y488" si="122">J383</f>
        <v>2326173.3938634903</v>
      </c>
      <c r="K488" s="148">
        <f t="shared" si="122"/>
        <v>0</v>
      </c>
      <c r="L488" s="148">
        <f t="shared" si="122"/>
        <v>74438.875574890757</v>
      </c>
      <c r="M488" s="148">
        <f t="shared" si="122"/>
        <v>0</v>
      </c>
      <c r="N488" s="148">
        <f t="shared" si="122"/>
        <v>206519.99534722982</v>
      </c>
      <c r="O488" s="148">
        <f t="shared" si="122"/>
        <v>20771.059895505616</v>
      </c>
      <c r="P488" s="148">
        <f t="shared" si="122"/>
        <v>114903.87344757051</v>
      </c>
      <c r="Q488" s="148">
        <f t="shared" si="122"/>
        <v>30425.348505603444</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929</v>
      </c>
      <c r="G489" t="s">
        <v>208</v>
      </c>
      <c r="J489" s="148">
        <f t="shared" ref="J489:Y489" si="123">J412</f>
        <v>0</v>
      </c>
      <c r="K489" s="148">
        <f t="shared" si="123"/>
        <v>0</v>
      </c>
      <c r="L489" s="148">
        <f t="shared" si="123"/>
        <v>217922.87402057351</v>
      </c>
      <c r="M489" s="148">
        <f t="shared" si="123"/>
        <v>0</v>
      </c>
      <c r="N489" s="148">
        <f t="shared" si="123"/>
        <v>181722.28739133276</v>
      </c>
      <c r="O489" s="148">
        <f t="shared" si="123"/>
        <v>38092.453428061002</v>
      </c>
      <c r="P489" s="148">
        <f t="shared" si="123"/>
        <v>213134.60028562334</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931</v>
      </c>
      <c r="G490" t="s">
        <v>208</v>
      </c>
      <c r="J490" s="149">
        <f t="shared" ref="J490:Y490" si="124">J441</f>
        <v>0</v>
      </c>
      <c r="K490" s="149">
        <f t="shared" si="124"/>
        <v>0</v>
      </c>
      <c r="L490" s="149">
        <f t="shared" si="124"/>
        <v>178079.4913694133</v>
      </c>
      <c r="M490" s="149">
        <f t="shared" si="124"/>
        <v>0</v>
      </c>
      <c r="N490" s="149">
        <f t="shared" si="124"/>
        <v>131780.09024866749</v>
      </c>
      <c r="O490" s="149">
        <f t="shared" si="124"/>
        <v>58094.309258051326</v>
      </c>
      <c r="P490" s="149">
        <f t="shared" si="124"/>
        <v>199124.55782620906</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930</v>
      </c>
      <c r="G491" t="s">
        <v>208</v>
      </c>
      <c r="J491" s="149">
        <f t="shared" ref="J491:Y491" si="125">J470</f>
        <v>0</v>
      </c>
      <c r="K491" s="149">
        <f t="shared" si="125"/>
        <v>0</v>
      </c>
      <c r="L491" s="149">
        <f t="shared" si="125"/>
        <v>450276.28890431771</v>
      </c>
      <c r="M491" s="149">
        <f t="shared" si="125"/>
        <v>0</v>
      </c>
      <c r="N491" s="149">
        <f t="shared" si="125"/>
        <v>121584.911941909</v>
      </c>
      <c r="O491" s="149">
        <f t="shared" si="125"/>
        <v>176452.21081943181</v>
      </c>
      <c r="P491" s="149">
        <f t="shared" si="125"/>
        <v>342394.63645892672</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250</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927</v>
      </c>
      <c r="G493" t="s">
        <v>208</v>
      </c>
      <c r="J493" s="150">
        <f t="shared" ref="J493:Y493" si="126">J355</f>
        <v>0</v>
      </c>
      <c r="K493" s="150">
        <f t="shared" si="126"/>
        <v>22694.611658437898</v>
      </c>
      <c r="L493" s="150">
        <f t="shared" si="126"/>
        <v>799.08941219628446</v>
      </c>
      <c r="M493" s="150">
        <f t="shared" si="126"/>
        <v>11266.245993465296</v>
      </c>
      <c r="N493" s="150">
        <f t="shared" si="126"/>
        <v>1018.4553052564441</v>
      </c>
      <c r="O493" s="150">
        <f t="shared" si="126"/>
        <v>289.40239347849558</v>
      </c>
      <c r="P493" s="150">
        <f t="shared" si="126"/>
        <v>10292.028157480876</v>
      </c>
      <c r="Q493" s="150">
        <f t="shared" si="126"/>
        <v>0</v>
      </c>
      <c r="R493" s="150">
        <f t="shared" si="126"/>
        <v>50604.015593424534</v>
      </c>
      <c r="S493" s="150">
        <f t="shared" si="126"/>
        <v>11582.900696102439</v>
      </c>
      <c r="T493" s="150">
        <f t="shared" si="126"/>
        <v>30711.018749331204</v>
      </c>
      <c r="U493" s="150">
        <f t="shared" si="126"/>
        <v>0</v>
      </c>
      <c r="V493" s="150">
        <f t="shared" si="126"/>
        <v>0</v>
      </c>
      <c r="W493" s="150">
        <f t="shared" si="126"/>
        <v>0</v>
      </c>
      <c r="X493" s="150">
        <f t="shared" si="126"/>
        <v>252665.02390971759</v>
      </c>
      <c r="Y493" s="150">
        <f t="shared" si="126"/>
        <v>0</v>
      </c>
      <c r="AQ493" s="3"/>
    </row>
    <row r="494" spans="5:43" x14ac:dyDescent="0.25">
      <c r="E494" s="129"/>
      <c r="F494" s="2" t="s">
        <v>928</v>
      </c>
      <c r="G494" t="s">
        <v>208</v>
      </c>
      <c r="J494" s="148">
        <f t="shared" ref="J494:Y494" si="127">J384</f>
        <v>2765513.5778142381</v>
      </c>
      <c r="K494" s="148">
        <f t="shared" si="127"/>
        <v>0</v>
      </c>
      <c r="L494" s="148">
        <f t="shared" si="127"/>
        <v>60065.482726741175</v>
      </c>
      <c r="M494" s="148">
        <f t="shared" si="127"/>
        <v>0</v>
      </c>
      <c r="N494" s="148">
        <f t="shared" si="127"/>
        <v>188416.95583883696</v>
      </c>
      <c r="O494" s="148">
        <f t="shared" si="127"/>
        <v>21026.992263570053</v>
      </c>
      <c r="P494" s="148">
        <f t="shared" si="127"/>
        <v>129392.77752484499</v>
      </c>
      <c r="Q494" s="148">
        <f t="shared" si="127"/>
        <v>65820.427370404781</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929</v>
      </c>
      <c r="G495" t="s">
        <v>208</v>
      </c>
      <c r="J495" s="148">
        <f t="shared" ref="J495:Y495" si="128">J413</f>
        <v>0</v>
      </c>
      <c r="K495" s="148">
        <f t="shared" si="128"/>
        <v>0</v>
      </c>
      <c r="L495" s="148">
        <f t="shared" si="128"/>
        <v>175954.1390950426</v>
      </c>
      <c r="M495" s="148">
        <f t="shared" si="128"/>
        <v>0</v>
      </c>
      <c r="N495" s="148">
        <f t="shared" si="128"/>
        <v>165672.63780393818</v>
      </c>
      <c r="O495" s="148">
        <f t="shared" si="128"/>
        <v>38563.122904876298</v>
      </c>
      <c r="P495" s="148">
        <f t="shared" si="128"/>
        <v>239695.80685766402</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931</v>
      </c>
      <c r="G496" t="s">
        <v>208</v>
      </c>
      <c r="J496" s="149">
        <f t="shared" ref="J496:Y496" si="129">J442</f>
        <v>0</v>
      </c>
      <c r="K496" s="149">
        <f t="shared" si="129"/>
        <v>0</v>
      </c>
      <c r="L496" s="149">
        <f t="shared" si="129"/>
        <v>143771.71001719512</v>
      </c>
      <c r="M496" s="149">
        <f t="shared" si="129"/>
        <v>0</v>
      </c>
      <c r="N496" s="149">
        <f t="shared" si="129"/>
        <v>119583.67932078311</v>
      </c>
      <c r="O496" s="149">
        <f t="shared" si="129"/>
        <v>58854.971651760308</v>
      </c>
      <c r="P496" s="149">
        <f t="shared" si="129"/>
        <v>224595.62895580821</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930</v>
      </c>
      <c r="G497" t="s">
        <v>208</v>
      </c>
      <c r="J497" s="149">
        <f t="shared" ref="J497:Y497" si="130">J471</f>
        <v>0</v>
      </c>
      <c r="K497" s="149">
        <f t="shared" si="130"/>
        <v>0</v>
      </c>
      <c r="L497" s="149">
        <f t="shared" si="130"/>
        <v>363546.47451863921</v>
      </c>
      <c r="M497" s="149">
        <f t="shared" si="130"/>
        <v>0</v>
      </c>
      <c r="N497" s="149">
        <f t="shared" si="130"/>
        <v>111105.16734818177</v>
      </c>
      <c r="O497" s="149">
        <f t="shared" si="130"/>
        <v>175773.71463295951</v>
      </c>
      <c r="P497" s="149">
        <f t="shared" si="130"/>
        <v>385798.90119158186</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213</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927</v>
      </c>
      <c r="G499" t="s">
        <v>213</v>
      </c>
      <c r="J499" s="150">
        <f t="shared" ref="J499:Y499" si="131">J356</f>
        <v>0</v>
      </c>
      <c r="K499" s="150">
        <f t="shared" si="131"/>
        <v>0</v>
      </c>
      <c r="L499" s="150">
        <f t="shared" si="131"/>
        <v>200.66313779862551</v>
      </c>
      <c r="M499" s="150">
        <f t="shared" si="131"/>
        <v>0</v>
      </c>
      <c r="N499" s="150">
        <f t="shared" si="131"/>
        <v>70.677801427237753</v>
      </c>
      <c r="O499" s="150">
        <f t="shared" si="131"/>
        <v>11.234604758434388</v>
      </c>
      <c r="P499" s="150">
        <f t="shared" si="131"/>
        <v>166.27312445158776</v>
      </c>
      <c r="Q499" s="150">
        <f t="shared" si="131"/>
        <v>0</v>
      </c>
      <c r="R499" s="150">
        <f t="shared" si="131"/>
        <v>0</v>
      </c>
      <c r="S499" s="150">
        <f t="shared" si="131"/>
        <v>0</v>
      </c>
      <c r="T499" s="150">
        <f t="shared" si="131"/>
        <v>0</v>
      </c>
      <c r="U499" s="150">
        <f t="shared" si="131"/>
        <v>0</v>
      </c>
      <c r="V499" s="150">
        <f t="shared" si="131"/>
        <v>0</v>
      </c>
      <c r="W499" s="150">
        <f t="shared" si="131"/>
        <v>0</v>
      </c>
      <c r="X499" s="150">
        <f t="shared" si="131"/>
        <v>320.50176836858998</v>
      </c>
      <c r="Y499" s="150">
        <f t="shared" si="131"/>
        <v>0</v>
      </c>
      <c r="AQ499" s="3"/>
    </row>
    <row r="500" spans="5:43" x14ac:dyDescent="0.25">
      <c r="E500" s="129"/>
      <c r="F500" s="2" t="s">
        <v>928</v>
      </c>
      <c r="G500" t="s">
        <v>213</v>
      </c>
      <c r="J500" s="148">
        <f t="shared" ref="J500:Y500" si="132">J385</f>
        <v>1561399.8065674652</v>
      </c>
      <c r="K500" s="148">
        <f t="shared" si="132"/>
        <v>0</v>
      </c>
      <c r="L500" s="148">
        <f t="shared" si="132"/>
        <v>60526.820419003758</v>
      </c>
      <c r="M500" s="148">
        <f t="shared" si="132"/>
        <v>0</v>
      </c>
      <c r="N500" s="148">
        <f t="shared" si="132"/>
        <v>4840.1397864801875</v>
      </c>
      <c r="O500" s="148">
        <f t="shared" si="132"/>
        <v>382.30885363765054</v>
      </c>
      <c r="P500" s="148">
        <f t="shared" si="132"/>
        <v>399.43603715306864</v>
      </c>
      <c r="Q500" s="148">
        <f t="shared" si="132"/>
        <v>1793.052617583103</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929</v>
      </c>
      <c r="G501" t="s">
        <v>213</v>
      </c>
      <c r="J501" s="148">
        <f t="shared" ref="J501:Y501" si="133">J414</f>
        <v>0</v>
      </c>
      <c r="K501" s="148">
        <f t="shared" si="133"/>
        <v>0</v>
      </c>
      <c r="L501" s="148">
        <f t="shared" si="133"/>
        <v>43509.210892087875</v>
      </c>
      <c r="M501" s="148">
        <f t="shared" si="133"/>
        <v>0</v>
      </c>
      <c r="N501" s="148">
        <f t="shared" si="133"/>
        <v>2414.9626783771373</v>
      </c>
      <c r="O501" s="148">
        <f t="shared" si="133"/>
        <v>409.79946058127348</v>
      </c>
      <c r="P501" s="148">
        <f t="shared" si="133"/>
        <v>320.90602854317882</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931</v>
      </c>
      <c r="G502" t="s">
        <v>213</v>
      </c>
      <c r="J502" s="149">
        <f t="shared" ref="J502:Y502" si="134">J443</f>
        <v>0</v>
      </c>
      <c r="K502" s="149">
        <f t="shared" si="134"/>
        <v>0</v>
      </c>
      <c r="L502" s="149">
        <f t="shared" si="134"/>
        <v>17687.373926380194</v>
      </c>
      <c r="M502" s="149">
        <f t="shared" si="134"/>
        <v>0</v>
      </c>
      <c r="N502" s="149">
        <f t="shared" si="134"/>
        <v>1158.8780163302902</v>
      </c>
      <c r="O502" s="149">
        <f t="shared" si="134"/>
        <v>384.18082605916283</v>
      </c>
      <c r="P502" s="149">
        <f t="shared" si="134"/>
        <v>132.75415955899788</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930</v>
      </c>
      <c r="G503" t="s">
        <v>213</v>
      </c>
      <c r="J503" s="149">
        <f t="shared" ref="J503:Y503" si="135">J472</f>
        <v>0</v>
      </c>
      <c r="K503" s="149">
        <f t="shared" si="135"/>
        <v>0</v>
      </c>
      <c r="L503" s="149">
        <f t="shared" si="135"/>
        <v>18401.881559253805</v>
      </c>
      <c r="M503" s="149">
        <f t="shared" si="135"/>
        <v>0</v>
      </c>
      <c r="N503" s="149">
        <f t="shared" si="135"/>
        <v>568.19135570945821</v>
      </c>
      <c r="O503" s="149">
        <f t="shared" si="135"/>
        <v>537.09992775594071</v>
      </c>
      <c r="P503" s="149">
        <f t="shared" si="135"/>
        <v>118.44807664991369</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251</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927</v>
      </c>
      <c r="G505" t="s">
        <v>252</v>
      </c>
      <c r="J505" s="150">
        <f t="shared" ref="J505:Y505" si="136">J357</f>
        <v>0</v>
      </c>
      <c r="K505" s="150">
        <f t="shared" si="136"/>
        <v>0</v>
      </c>
      <c r="L505" s="150">
        <f t="shared" si="136"/>
        <v>0</v>
      </c>
      <c r="M505" s="150">
        <f t="shared" si="136"/>
        <v>0</v>
      </c>
      <c r="N505" s="150">
        <f t="shared" si="136"/>
        <v>2575.1243165986407</v>
      </c>
      <c r="O505" s="150">
        <f t="shared" si="136"/>
        <v>823.52012126469754</v>
      </c>
      <c r="P505" s="150">
        <f t="shared" si="136"/>
        <v>29704.539007986918</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928</v>
      </c>
      <c r="G506" t="s">
        <v>252</v>
      </c>
      <c r="J506" s="148">
        <f t="shared" ref="J506:Y506" si="137">J386</f>
        <v>0</v>
      </c>
      <c r="K506" s="148">
        <f t="shared" si="137"/>
        <v>0</v>
      </c>
      <c r="L506" s="148">
        <f t="shared" si="137"/>
        <v>0</v>
      </c>
      <c r="M506" s="148">
        <f t="shared" si="137"/>
        <v>0</v>
      </c>
      <c r="N506" s="148">
        <f t="shared" si="137"/>
        <v>215854.20806633524</v>
      </c>
      <c r="O506" s="148">
        <f t="shared" si="137"/>
        <v>20797.24763972445</v>
      </c>
      <c r="P506" s="148">
        <f t="shared" si="137"/>
        <v>110601.53153037807</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929</v>
      </c>
      <c r="G507" t="s">
        <v>252</v>
      </c>
      <c r="J507" s="148">
        <f t="shared" ref="J507:Y507" si="138">J415</f>
        <v>0</v>
      </c>
      <c r="K507" s="148">
        <f t="shared" si="138"/>
        <v>0</v>
      </c>
      <c r="L507" s="148">
        <f t="shared" si="138"/>
        <v>0</v>
      </c>
      <c r="M507" s="148">
        <f t="shared" si="138"/>
        <v>0</v>
      </c>
      <c r="N507" s="148">
        <f t="shared" si="138"/>
        <v>280897.15435304202</v>
      </c>
      <c r="O507" s="148">
        <f t="shared" si="138"/>
        <v>51037.036254424456</v>
      </c>
      <c r="P507" s="148">
        <f t="shared" si="138"/>
        <v>232758.40545438204</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931</v>
      </c>
      <c r="G508" t="s">
        <v>252</v>
      </c>
      <c r="J508" s="149">
        <f t="shared" ref="J508:Y508" si="139">J444</f>
        <v>0</v>
      </c>
      <c r="K508" s="149">
        <f t="shared" si="139"/>
        <v>0</v>
      </c>
      <c r="L508" s="149">
        <f t="shared" si="139"/>
        <v>0</v>
      </c>
      <c r="M508" s="149">
        <f t="shared" si="139"/>
        <v>0</v>
      </c>
      <c r="N508" s="149">
        <f t="shared" si="139"/>
        <v>217929.11546584047</v>
      </c>
      <c r="O508" s="149">
        <f t="shared" si="139"/>
        <v>78651.90763847687</v>
      </c>
      <c r="P508" s="149">
        <f t="shared" si="139"/>
        <v>190815.09053250562</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930</v>
      </c>
      <c r="G509" t="s">
        <v>252</v>
      </c>
      <c r="J509" s="149">
        <f>J473</f>
        <v>0</v>
      </c>
      <c r="K509" s="149">
        <f t="shared" ref="K509:Y509" si="140">K473</f>
        <v>0</v>
      </c>
      <c r="L509" s="149">
        <f t="shared" si="140"/>
        <v>0</v>
      </c>
      <c r="M509" s="149">
        <f t="shared" si="140"/>
        <v>0</v>
      </c>
      <c r="N509" s="149">
        <f t="shared" si="140"/>
        <v>229453.25734675518</v>
      </c>
      <c r="O509" s="149">
        <f t="shared" si="140"/>
        <v>245678.25758925237</v>
      </c>
      <c r="P509" s="149">
        <f t="shared" si="140"/>
        <v>426550.47784776025</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253</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927</v>
      </c>
      <c r="G511" t="s">
        <v>252</v>
      </c>
      <c r="J511" s="150">
        <f t="shared" ref="J511:Y511" si="141">J358</f>
        <v>0</v>
      </c>
      <c r="K511" s="150">
        <f t="shared" si="141"/>
        <v>0</v>
      </c>
      <c r="L511" s="150">
        <f t="shared" si="141"/>
        <v>0</v>
      </c>
      <c r="M511" s="150">
        <f t="shared" si="141"/>
        <v>0</v>
      </c>
      <c r="N511" s="150">
        <f t="shared" si="141"/>
        <v>193.55191256830602</v>
      </c>
      <c r="O511" s="150">
        <f t="shared" si="141"/>
        <v>66.306010928961754</v>
      </c>
      <c r="P511" s="150">
        <f t="shared" si="141"/>
        <v>7327.4153005464477</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928</v>
      </c>
      <c r="G512" t="s">
        <v>252</v>
      </c>
      <c r="J512" s="148">
        <f t="shared" ref="J512:Y512" si="142">J387</f>
        <v>0</v>
      </c>
      <c r="K512" s="148">
        <f t="shared" si="142"/>
        <v>0</v>
      </c>
      <c r="L512" s="148">
        <f t="shared" si="142"/>
        <v>0</v>
      </c>
      <c r="M512" s="148">
        <f t="shared" si="142"/>
        <v>0</v>
      </c>
      <c r="N512" s="148">
        <f t="shared" si="142"/>
        <v>6813.3052214002355</v>
      </c>
      <c r="O512" s="148">
        <f t="shared" si="142"/>
        <v>243.38073583802102</v>
      </c>
      <c r="P512" s="148">
        <f t="shared" si="142"/>
        <v>908.32726340729596</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929</v>
      </c>
      <c r="G513" t="s">
        <v>252</v>
      </c>
      <c r="J513" s="148">
        <f t="shared" ref="J513:Y513" si="143">J416</f>
        <v>0</v>
      </c>
      <c r="K513" s="148">
        <f t="shared" si="143"/>
        <v>0</v>
      </c>
      <c r="L513" s="148">
        <f t="shared" si="143"/>
        <v>0</v>
      </c>
      <c r="M513" s="148">
        <f t="shared" si="143"/>
        <v>0</v>
      </c>
      <c r="N513" s="148">
        <f t="shared" si="143"/>
        <v>8615.2241070332857</v>
      </c>
      <c r="O513" s="148">
        <f t="shared" si="143"/>
        <v>595.82097977499575</v>
      </c>
      <c r="P513" s="148">
        <f t="shared" si="143"/>
        <v>1898.0240662293093</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931</v>
      </c>
      <c r="G514" t="s">
        <v>252</v>
      </c>
      <c r="J514" s="149">
        <f t="shared" ref="J514:Y514" si="144">J445</f>
        <v>0</v>
      </c>
      <c r="K514" s="149">
        <f t="shared" si="144"/>
        <v>0</v>
      </c>
      <c r="L514" s="149">
        <f t="shared" si="144"/>
        <v>0</v>
      </c>
      <c r="M514" s="149">
        <f t="shared" si="144"/>
        <v>0</v>
      </c>
      <c r="N514" s="149">
        <f t="shared" si="144"/>
        <v>6506.4753878326692</v>
      </c>
      <c r="O514" s="149">
        <f t="shared" si="144"/>
        <v>918.3004547603739</v>
      </c>
      <c r="P514" s="149">
        <f t="shared" si="144"/>
        <v>1538.3499727830376</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930</v>
      </c>
      <c r="G515" t="s">
        <v>252</v>
      </c>
      <c r="J515" s="149">
        <f t="shared" ref="J515:Y515" si="145">J474</f>
        <v>0</v>
      </c>
      <c r="K515" s="149">
        <f t="shared" si="145"/>
        <v>0</v>
      </c>
      <c r="L515" s="149">
        <f t="shared" si="145"/>
        <v>0</v>
      </c>
      <c r="M515" s="149">
        <f t="shared" si="145"/>
        <v>0</v>
      </c>
      <c r="N515" s="149">
        <f t="shared" si="145"/>
        <v>5633.085839009309</v>
      </c>
      <c r="O515" s="149">
        <f t="shared" si="145"/>
        <v>2611.2628569490134</v>
      </c>
      <c r="P515" s="149">
        <f t="shared" si="145"/>
        <v>3413.5937795475702</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254</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927</v>
      </c>
      <c r="G517" t="s">
        <v>255</v>
      </c>
      <c r="J517" s="150">
        <f t="shared" ref="J517:Y517" si="146">J359</f>
        <v>0</v>
      </c>
      <c r="K517" s="150">
        <f t="shared" si="146"/>
        <v>0</v>
      </c>
      <c r="L517" s="150">
        <f t="shared" si="146"/>
        <v>0</v>
      </c>
      <c r="M517" s="150">
        <f t="shared" si="146"/>
        <v>0</v>
      </c>
      <c r="N517" s="150">
        <f t="shared" si="146"/>
        <v>439.39170233929832</v>
      </c>
      <c r="O517" s="150">
        <f t="shared" si="146"/>
        <v>101.444</v>
      </c>
      <c r="P517" s="150">
        <f t="shared" si="146"/>
        <v>5273.9209999999994</v>
      </c>
      <c r="Q517" s="150">
        <f t="shared" si="146"/>
        <v>0</v>
      </c>
      <c r="R517" s="150">
        <f t="shared" si="146"/>
        <v>0</v>
      </c>
      <c r="S517" s="150">
        <f t="shared" si="146"/>
        <v>0</v>
      </c>
      <c r="T517" s="150">
        <f t="shared" si="146"/>
        <v>5880.660462834041</v>
      </c>
      <c r="U517" s="150">
        <f t="shared" si="146"/>
        <v>0</v>
      </c>
      <c r="V517" s="150">
        <f t="shared" si="146"/>
        <v>0</v>
      </c>
      <c r="W517" s="150">
        <f t="shared" si="146"/>
        <v>0</v>
      </c>
      <c r="X517" s="150">
        <f t="shared" si="146"/>
        <v>7364.4659999999994</v>
      </c>
      <c r="Y517" s="150">
        <f t="shared" si="146"/>
        <v>0</v>
      </c>
      <c r="AQ517" s="3"/>
    </row>
    <row r="518" spans="3:43" x14ac:dyDescent="0.25">
      <c r="E518" s="129"/>
      <c r="F518" s="2" t="s">
        <v>928</v>
      </c>
      <c r="G518" t="s">
        <v>255</v>
      </c>
      <c r="J518" s="148">
        <f t="shared" ref="J518:Y518" si="147">J388</f>
        <v>0</v>
      </c>
      <c r="K518" s="148">
        <f t="shared" si="147"/>
        <v>0</v>
      </c>
      <c r="L518" s="148">
        <f t="shared" si="147"/>
        <v>0</v>
      </c>
      <c r="M518" s="148">
        <f t="shared" si="147"/>
        <v>0</v>
      </c>
      <c r="N518" s="148">
        <f t="shared" si="147"/>
        <v>33235.641739213905</v>
      </c>
      <c r="O518" s="148">
        <f t="shared" si="147"/>
        <v>4054.4751424410956</v>
      </c>
      <c r="P518" s="148">
        <f t="shared" si="147"/>
        <v>18650.780803801492</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929</v>
      </c>
      <c r="G519" t="s">
        <v>255</v>
      </c>
      <c r="J519" s="148">
        <f t="shared" ref="J519:Y519" si="148">J417</f>
        <v>0</v>
      </c>
      <c r="K519" s="148">
        <f t="shared" si="148"/>
        <v>0</v>
      </c>
      <c r="L519" s="148">
        <f t="shared" si="148"/>
        <v>0</v>
      </c>
      <c r="M519" s="148">
        <f t="shared" si="148"/>
        <v>0</v>
      </c>
      <c r="N519" s="148">
        <f t="shared" si="148"/>
        <v>29485.083081547364</v>
      </c>
      <c r="O519" s="148">
        <f t="shared" si="148"/>
        <v>7434.8530337112988</v>
      </c>
      <c r="P519" s="148">
        <f t="shared" si="148"/>
        <v>34303.535222848244</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931</v>
      </c>
      <c r="G520" t="s">
        <v>255</v>
      </c>
      <c r="J520" s="149">
        <f t="shared" ref="J520:Y520" si="149">J446</f>
        <v>0</v>
      </c>
      <c r="K520" s="149">
        <f t="shared" si="149"/>
        <v>0</v>
      </c>
      <c r="L520" s="149">
        <f t="shared" si="149"/>
        <v>0</v>
      </c>
      <c r="M520" s="149">
        <f t="shared" si="149"/>
        <v>0</v>
      </c>
      <c r="N520" s="149">
        <f t="shared" si="149"/>
        <v>21060.489971209023</v>
      </c>
      <c r="O520" s="149">
        <f t="shared" si="149"/>
        <v>11300.841119826839</v>
      </c>
      <c r="P520" s="149">
        <f t="shared" si="149"/>
        <v>31890.56151102592</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930</v>
      </c>
      <c r="G521" s="96" t="s">
        <v>255</v>
      </c>
      <c r="H521" s="96"/>
      <c r="I521" s="96"/>
      <c r="J521" s="148">
        <f t="shared" ref="J521:Y521" si="150">J475</f>
        <v>0</v>
      </c>
      <c r="K521" s="148">
        <f t="shared" si="150"/>
        <v>0</v>
      </c>
      <c r="L521" s="148">
        <f t="shared" si="150"/>
        <v>0</v>
      </c>
      <c r="M521" s="148">
        <f t="shared" si="150"/>
        <v>0</v>
      </c>
      <c r="N521" s="148">
        <f t="shared" si="150"/>
        <v>19725.51365386711</v>
      </c>
      <c r="O521" s="148">
        <f t="shared" si="150"/>
        <v>32873.924624674568</v>
      </c>
      <c r="P521" s="148">
        <f t="shared" si="150"/>
        <v>55487.384215313323</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control'!$H$42:$H$65,MATCH($A$1,'Version control'!$F$42:$F$65,0),1)&amp;"-J: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1079</v>
      </c>
      <c r="AQ525" s="3"/>
    </row>
    <row r="526" spans="3:43" x14ac:dyDescent="0.25">
      <c r="E526" s="116" t="s">
        <v>248</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927</v>
      </c>
      <c r="G527" t="s">
        <v>208</v>
      </c>
      <c r="J527" s="150">
        <f>J58</f>
        <v>0</v>
      </c>
      <c r="K527" s="150">
        <f t="shared" ref="K527:Y527" si="151">K58</f>
        <v>36.928307828276772</v>
      </c>
      <c r="L527" s="150">
        <f t="shared" si="151"/>
        <v>50.358703853308725</v>
      </c>
      <c r="M527" s="150">
        <f t="shared" si="151"/>
        <v>26.004708483632935</v>
      </c>
      <c r="N527" s="150">
        <f t="shared" si="151"/>
        <v>125.49138254410158</v>
      </c>
      <c r="O527" s="150">
        <f t="shared" si="151"/>
        <v>39.501171005630091</v>
      </c>
      <c r="P527" s="150">
        <f t="shared" si="151"/>
        <v>471.94648344763874</v>
      </c>
      <c r="Q527" s="150">
        <f t="shared" si="151"/>
        <v>0</v>
      </c>
      <c r="R527" s="150">
        <f t="shared" si="151"/>
        <v>10587.587865436757</v>
      </c>
      <c r="S527" s="150">
        <f t="shared" si="151"/>
        <v>1296.193700379747</v>
      </c>
      <c r="T527" s="150">
        <f t="shared" si="151"/>
        <v>4431.5548953009256</v>
      </c>
      <c r="U527" s="150">
        <f t="shared" si="151"/>
        <v>0</v>
      </c>
      <c r="V527" s="150">
        <f t="shared" si="151"/>
        <v>0</v>
      </c>
      <c r="W527" s="150">
        <f t="shared" si="151"/>
        <v>0</v>
      </c>
      <c r="X527" s="150">
        <f t="shared" si="151"/>
        <v>57918.120807023566</v>
      </c>
      <c r="Y527" s="150">
        <f t="shared" si="151"/>
        <v>0</v>
      </c>
      <c r="AQ527" s="3"/>
    </row>
    <row r="528" spans="3:43" x14ac:dyDescent="0.25">
      <c r="E528" s="129"/>
      <c r="F528" s="2" t="s">
        <v>928</v>
      </c>
      <c r="G528" t="s">
        <v>208</v>
      </c>
      <c r="J528" s="148">
        <f>J67</f>
        <v>429498.00447633024</v>
      </c>
      <c r="K528" s="148">
        <f t="shared" ref="K528:Y528" si="152">K67</f>
        <v>0</v>
      </c>
      <c r="L528" s="148">
        <f t="shared" si="152"/>
        <v>8735.751197250971</v>
      </c>
      <c r="M528" s="148">
        <f t="shared" si="152"/>
        <v>0</v>
      </c>
      <c r="N528" s="148">
        <f t="shared" si="152"/>
        <v>28724.549447405552</v>
      </c>
      <c r="O528" s="148">
        <f t="shared" si="152"/>
        <v>2911.3441055235471</v>
      </c>
      <c r="P528" s="148">
        <f t="shared" si="152"/>
        <v>16762.861996605359</v>
      </c>
      <c r="Q528" s="148">
        <f t="shared" si="152"/>
        <v>2852.3860826192404</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929</v>
      </c>
      <c r="G529" t="s">
        <v>208</v>
      </c>
      <c r="J529" s="148">
        <f>J76</f>
        <v>0</v>
      </c>
      <c r="K529" s="148">
        <f t="shared" ref="K529:Y529" si="153">K76</f>
        <v>0</v>
      </c>
      <c r="L529" s="148">
        <f t="shared" si="153"/>
        <v>25769.463264329806</v>
      </c>
      <c r="M529" s="148">
        <f t="shared" si="153"/>
        <v>0</v>
      </c>
      <c r="N529" s="148">
        <f t="shared" si="153"/>
        <v>24851.33203546681</v>
      </c>
      <c r="O529" s="148">
        <f t="shared" si="153"/>
        <v>5338.6479864067196</v>
      </c>
      <c r="P529" s="148">
        <f t="shared" si="153"/>
        <v>30917.080888968274</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931</v>
      </c>
      <c r="G530" t="s">
        <v>208</v>
      </c>
      <c r="J530" s="149">
        <f>J85</f>
        <v>0</v>
      </c>
      <c r="K530" s="149">
        <f t="shared" ref="K530:Y530" si="154">K85</f>
        <v>0</v>
      </c>
      <c r="L530" s="149">
        <f t="shared" si="154"/>
        <v>21037.956485530522</v>
      </c>
      <c r="M530" s="149">
        <f t="shared" si="154"/>
        <v>0</v>
      </c>
      <c r="N530" s="149">
        <f t="shared" si="154"/>
        <v>17849.611396800741</v>
      </c>
      <c r="O530" s="149">
        <f t="shared" si="154"/>
        <v>8114.0896127325132</v>
      </c>
      <c r="P530" s="149">
        <f t="shared" si="154"/>
        <v>28510.151168283563</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930</v>
      </c>
      <c r="G531" t="s">
        <v>208</v>
      </c>
      <c r="J531" s="149">
        <f>J94</f>
        <v>0</v>
      </c>
      <c r="K531" s="149">
        <f t="shared" ref="K531:Y531" si="155">K94</f>
        <v>0</v>
      </c>
      <c r="L531" s="149">
        <f t="shared" si="155"/>
        <v>53169.050995237463</v>
      </c>
      <c r="M531" s="149">
        <f t="shared" si="155"/>
        <v>0</v>
      </c>
      <c r="N531" s="149">
        <f t="shared" si="155"/>
        <v>14721.230163139453</v>
      </c>
      <c r="O531" s="149">
        <f t="shared" si="155"/>
        <v>23229.064363608362</v>
      </c>
      <c r="P531" s="149">
        <f t="shared" si="155"/>
        <v>50008.961611187864</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249</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927</v>
      </c>
      <c r="G533" t="s">
        <v>208</v>
      </c>
      <c r="J533" s="150">
        <f>J59</f>
        <v>0</v>
      </c>
      <c r="K533" s="150">
        <f t="shared" ref="K533:Y533" si="156">K59</f>
        <v>2889.7541426122689</v>
      </c>
      <c r="L533" s="150">
        <f t="shared" si="156"/>
        <v>416.84454248674842</v>
      </c>
      <c r="M533" s="150">
        <f t="shared" si="156"/>
        <v>1591.5677042444584</v>
      </c>
      <c r="N533" s="150">
        <f t="shared" si="156"/>
        <v>819.29798175632334</v>
      </c>
      <c r="O533" s="150">
        <f t="shared" si="156"/>
        <v>434.30240671719349</v>
      </c>
      <c r="P533" s="150">
        <f t="shared" si="156"/>
        <v>7574.7482435674356</v>
      </c>
      <c r="Q533" s="150">
        <f t="shared" si="156"/>
        <v>0</v>
      </c>
      <c r="R533" s="150">
        <f t="shared" si="156"/>
        <v>116333.97645091746</v>
      </c>
      <c r="S533" s="150">
        <f t="shared" si="156"/>
        <v>11378.491454160423</v>
      </c>
      <c r="T533" s="150">
        <f t="shared" si="156"/>
        <v>41911.942901306917</v>
      </c>
      <c r="U533" s="150">
        <f t="shared" si="156"/>
        <v>0</v>
      </c>
      <c r="V533" s="150">
        <f t="shared" si="156"/>
        <v>0</v>
      </c>
      <c r="W533" s="150">
        <f t="shared" si="156"/>
        <v>0</v>
      </c>
      <c r="X533" s="150">
        <f t="shared" si="156"/>
        <v>316726.54989568843</v>
      </c>
      <c r="Y533" s="150">
        <f t="shared" si="156"/>
        <v>0</v>
      </c>
      <c r="AQ533" s="3"/>
    </row>
    <row r="534" spans="5:43" x14ac:dyDescent="0.25">
      <c r="E534" s="129"/>
      <c r="F534" s="2" t="s">
        <v>928</v>
      </c>
      <c r="G534" t="s">
        <v>208</v>
      </c>
      <c r="J534" s="148">
        <f>J68</f>
        <v>2277341.5081239403</v>
      </c>
      <c r="K534" s="148">
        <f t="shared" ref="K534:Y534" si="157">K68</f>
        <v>0</v>
      </c>
      <c r="L534" s="148">
        <f t="shared" si="157"/>
        <v>73574.972435373813</v>
      </c>
      <c r="M534" s="148">
        <f t="shared" si="157"/>
        <v>0</v>
      </c>
      <c r="N534" s="148">
        <f t="shared" si="157"/>
        <v>204909.67182679847</v>
      </c>
      <c r="O534" s="148">
        <f t="shared" si="157"/>
        <v>20771.059895505616</v>
      </c>
      <c r="P534" s="148">
        <f t="shared" si="157"/>
        <v>114767.35735141508</v>
      </c>
      <c r="Q534" s="148">
        <f t="shared" si="157"/>
        <v>30353.026811276453</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929</v>
      </c>
      <c r="G535" t="s">
        <v>208</v>
      </c>
      <c r="J535" s="148">
        <f>J77</f>
        <v>0</v>
      </c>
      <c r="K535" s="148">
        <f t="shared" ref="K535:Y535" si="158">K77</f>
        <v>0</v>
      </c>
      <c r="L535" s="148">
        <f t="shared" si="158"/>
        <v>217037.72309175745</v>
      </c>
      <c r="M535" s="148">
        <f t="shared" si="158"/>
        <v>0</v>
      </c>
      <c r="N535" s="148">
        <f t="shared" si="158"/>
        <v>177279.65763815492</v>
      </c>
      <c r="O535" s="148">
        <f t="shared" si="158"/>
        <v>38088.722276521541</v>
      </c>
      <c r="P535" s="148">
        <f t="shared" si="158"/>
        <v>211674.57391019422</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931</v>
      </c>
      <c r="G536" t="s">
        <v>208</v>
      </c>
      <c r="J536" s="149">
        <f>J86</f>
        <v>0</v>
      </c>
      <c r="K536" s="149">
        <f t="shared" ref="K536:Y536" si="159">K86</f>
        <v>0</v>
      </c>
      <c r="L536" s="149">
        <f t="shared" si="159"/>
        <v>177187.63201573284</v>
      </c>
      <c r="M536" s="149">
        <f t="shared" si="159"/>
        <v>0</v>
      </c>
      <c r="N536" s="149">
        <f t="shared" si="159"/>
        <v>127332.12822889656</v>
      </c>
      <c r="O536" s="149">
        <f t="shared" si="159"/>
        <v>57890.182415677999</v>
      </c>
      <c r="P536" s="149">
        <f t="shared" si="159"/>
        <v>195195.46888448298</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930</v>
      </c>
      <c r="G537" t="s">
        <v>208</v>
      </c>
      <c r="J537" s="149">
        <f>J95</f>
        <v>0</v>
      </c>
      <c r="K537" s="149">
        <f t="shared" ref="K537:Y537" si="160">K95</f>
        <v>0</v>
      </c>
      <c r="L537" s="149">
        <f t="shared" si="160"/>
        <v>447804.81644447596</v>
      </c>
      <c r="M537" s="149">
        <f t="shared" si="160"/>
        <v>0</v>
      </c>
      <c r="N537" s="149">
        <f t="shared" si="160"/>
        <v>105015.48325897694</v>
      </c>
      <c r="O537" s="149">
        <f t="shared" si="160"/>
        <v>165728.36110223309</v>
      </c>
      <c r="P537" s="149">
        <f t="shared" si="160"/>
        <v>342387.61669497</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250</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927</v>
      </c>
      <c r="G539" t="s">
        <v>208</v>
      </c>
      <c r="J539" s="150">
        <f>J60</f>
        <v>0</v>
      </c>
      <c r="K539" s="150">
        <f t="shared" ref="K539:Y539" si="161">K60</f>
        <v>22694.611658437898</v>
      </c>
      <c r="L539" s="150">
        <f t="shared" si="161"/>
        <v>418.6875958340014</v>
      </c>
      <c r="M539" s="150">
        <f t="shared" si="161"/>
        <v>11266.245993465296</v>
      </c>
      <c r="N539" s="150">
        <f t="shared" si="161"/>
        <v>993.46137074850367</v>
      </c>
      <c r="O539" s="150">
        <f t="shared" si="161"/>
        <v>289.40239347849558</v>
      </c>
      <c r="P539" s="150">
        <f t="shared" si="161"/>
        <v>10292.028157480876</v>
      </c>
      <c r="Q539" s="150">
        <f t="shared" si="161"/>
        <v>0</v>
      </c>
      <c r="R539" s="150">
        <f t="shared" si="161"/>
        <v>48093.062634059701</v>
      </c>
      <c r="S539" s="150">
        <f t="shared" si="161"/>
        <v>11582.900696102439</v>
      </c>
      <c r="T539" s="150">
        <f t="shared" si="161"/>
        <v>30515.320471081926</v>
      </c>
      <c r="U539" s="150">
        <f t="shared" si="161"/>
        <v>0</v>
      </c>
      <c r="V539" s="150">
        <f t="shared" si="161"/>
        <v>0</v>
      </c>
      <c r="W539" s="150">
        <f t="shared" si="161"/>
        <v>0</v>
      </c>
      <c r="X539" s="150">
        <f t="shared" si="161"/>
        <v>252665.02390971759</v>
      </c>
      <c r="Y539" s="150">
        <f t="shared" si="161"/>
        <v>0</v>
      </c>
      <c r="AQ539" s="3"/>
    </row>
    <row r="540" spans="5:43" x14ac:dyDescent="0.25">
      <c r="E540" s="129"/>
      <c r="F540" s="2" t="s">
        <v>928</v>
      </c>
      <c r="G540" t="s">
        <v>208</v>
      </c>
      <c r="J540" s="148">
        <f>J69</f>
        <v>2713027.6525349491</v>
      </c>
      <c r="K540" s="148">
        <f t="shared" ref="K540:Y540" si="162">K69</f>
        <v>0</v>
      </c>
      <c r="L540" s="148">
        <f t="shared" si="162"/>
        <v>59421.086870513507</v>
      </c>
      <c r="M540" s="148">
        <f t="shared" si="162"/>
        <v>0</v>
      </c>
      <c r="N540" s="148">
        <f t="shared" si="162"/>
        <v>187053.87283772082</v>
      </c>
      <c r="O540" s="148">
        <f t="shared" si="162"/>
        <v>21026.992263570053</v>
      </c>
      <c r="P540" s="148">
        <f t="shared" si="162"/>
        <v>129314.08575096208</v>
      </c>
      <c r="Q540" s="148">
        <f t="shared" si="162"/>
        <v>65533.820926985551</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929</v>
      </c>
      <c r="G541" t="s">
        <v>208</v>
      </c>
      <c r="J541" s="148">
        <f>J78</f>
        <v>0</v>
      </c>
      <c r="K541" s="148">
        <f t="shared" ref="K541:Y541" si="163">K78</f>
        <v>0</v>
      </c>
      <c r="L541" s="148">
        <f t="shared" si="163"/>
        <v>175285.38538484398</v>
      </c>
      <c r="M541" s="148">
        <f t="shared" si="163"/>
        <v>0</v>
      </c>
      <c r="N541" s="148">
        <f t="shared" si="163"/>
        <v>161831.53406536893</v>
      </c>
      <c r="O541" s="148">
        <f t="shared" si="163"/>
        <v>38558.035683628332</v>
      </c>
      <c r="P541" s="148">
        <f t="shared" si="163"/>
        <v>238504.26317744018</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931</v>
      </c>
      <c r="G542" t="s">
        <v>208</v>
      </c>
      <c r="J542" s="149">
        <f>J87</f>
        <v>0</v>
      </c>
      <c r="K542" s="149">
        <f t="shared" ref="K542:Y542" si="164">K87</f>
        <v>0</v>
      </c>
      <c r="L542" s="149">
        <f t="shared" si="164"/>
        <v>143101.40154840745</v>
      </c>
      <c r="M542" s="149">
        <f t="shared" si="164"/>
        <v>0</v>
      </c>
      <c r="N542" s="149">
        <f t="shared" si="164"/>
        <v>116236.42510157697</v>
      </c>
      <c r="O542" s="149">
        <f t="shared" si="164"/>
        <v>58603.481185594508</v>
      </c>
      <c r="P542" s="149">
        <f t="shared" si="164"/>
        <v>219936.43649246282</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930</v>
      </c>
      <c r="G543" t="s">
        <v>208</v>
      </c>
      <c r="J543" s="149">
        <f>J96</f>
        <v>0</v>
      </c>
      <c r="K543" s="149">
        <f t="shared" ref="K543:Y543" si="165">K96</f>
        <v>0</v>
      </c>
      <c r="L543" s="149">
        <f t="shared" si="165"/>
        <v>361658.97204180667</v>
      </c>
      <c r="M543" s="149">
        <f t="shared" si="165"/>
        <v>0</v>
      </c>
      <c r="N543" s="149">
        <f t="shared" si="165"/>
        <v>95864.44932731305</v>
      </c>
      <c r="O543" s="149">
        <f t="shared" si="165"/>
        <v>167770.39709489379</v>
      </c>
      <c r="P543" s="149">
        <f t="shared" si="165"/>
        <v>385785.14524639776</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213</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927</v>
      </c>
      <c r="G545" t="s">
        <v>213</v>
      </c>
      <c r="J545" s="150">
        <f>J61</f>
        <v>0</v>
      </c>
      <c r="K545" s="150">
        <f t="shared" ref="K545:Y545" si="166">K61</f>
        <v>0</v>
      </c>
      <c r="L545" s="150">
        <f t="shared" si="166"/>
        <v>59.653485944506635</v>
      </c>
      <c r="M545" s="150">
        <f t="shared" si="166"/>
        <v>0</v>
      </c>
      <c r="N545" s="150">
        <f t="shared" si="166"/>
        <v>69.143304330549142</v>
      </c>
      <c r="O545" s="150">
        <f t="shared" si="166"/>
        <v>11.234604758434388</v>
      </c>
      <c r="P545" s="150">
        <f t="shared" si="166"/>
        <v>166.27312445158776</v>
      </c>
      <c r="Q545" s="150">
        <f t="shared" si="166"/>
        <v>0</v>
      </c>
      <c r="R545" s="150">
        <f t="shared" si="166"/>
        <v>0</v>
      </c>
      <c r="S545" s="150">
        <f t="shared" si="166"/>
        <v>0</v>
      </c>
      <c r="T545" s="150">
        <f t="shared" si="166"/>
        <v>0</v>
      </c>
      <c r="U545" s="150">
        <f t="shared" si="166"/>
        <v>0</v>
      </c>
      <c r="V545" s="150">
        <f t="shared" si="166"/>
        <v>0</v>
      </c>
      <c r="W545" s="150">
        <f t="shared" si="166"/>
        <v>0</v>
      </c>
      <c r="X545" s="150">
        <f t="shared" si="166"/>
        <v>320.50176836858998</v>
      </c>
      <c r="Y545" s="150">
        <f t="shared" si="166"/>
        <v>0</v>
      </c>
      <c r="AQ545" s="3"/>
    </row>
    <row r="546" spans="5:43" x14ac:dyDescent="0.25">
      <c r="E546" s="129"/>
      <c r="F546" s="2" t="s">
        <v>928</v>
      </c>
      <c r="G546" t="s">
        <v>213</v>
      </c>
      <c r="J546" s="148">
        <f>J70</f>
        <v>1521199.0698093434</v>
      </c>
      <c r="K546" s="148">
        <f t="shared" ref="K546:Y546" si="167">K70</f>
        <v>0</v>
      </c>
      <c r="L546" s="148">
        <f t="shared" si="167"/>
        <v>60221.519816087362</v>
      </c>
      <c r="M546" s="148">
        <f t="shared" si="167"/>
        <v>0</v>
      </c>
      <c r="N546" s="148">
        <f t="shared" si="167"/>
        <v>4798.5149664263536</v>
      </c>
      <c r="O546" s="148">
        <f t="shared" si="167"/>
        <v>382.30885363765054</v>
      </c>
      <c r="P546" s="148">
        <f t="shared" si="167"/>
        <v>398.38278381854622</v>
      </c>
      <c r="Q546" s="148">
        <f t="shared" si="167"/>
        <v>1657</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929</v>
      </c>
      <c r="G547" t="s">
        <v>213</v>
      </c>
      <c r="J547" s="148">
        <f>J79</f>
        <v>0</v>
      </c>
      <c r="K547" s="148">
        <f t="shared" ref="K547:Y547" si="168">K79</f>
        <v>0</v>
      </c>
      <c r="L547" s="148">
        <f t="shared" si="168"/>
        <v>43306.077079995252</v>
      </c>
      <c r="M547" s="148">
        <f t="shared" si="168"/>
        <v>0</v>
      </c>
      <c r="N547" s="148">
        <f t="shared" si="168"/>
        <v>2317.7008524796479</v>
      </c>
      <c r="O547" s="148">
        <f t="shared" si="168"/>
        <v>408.91282025676543</v>
      </c>
      <c r="P547" s="148">
        <f t="shared" si="168"/>
        <v>317.74626853961161</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931</v>
      </c>
      <c r="G548" t="s">
        <v>213</v>
      </c>
      <c r="J548" s="149">
        <f>J88</f>
        <v>0</v>
      </c>
      <c r="K548" s="149">
        <f t="shared" ref="K548:Y548" si="169">K88</f>
        <v>0</v>
      </c>
      <c r="L548" s="149">
        <f t="shared" si="169"/>
        <v>17515.591197828475</v>
      </c>
      <c r="M548" s="149">
        <f t="shared" si="169"/>
        <v>0</v>
      </c>
      <c r="N548" s="149">
        <f t="shared" si="169"/>
        <v>1083.1573441211233</v>
      </c>
      <c r="O548" s="149">
        <f t="shared" si="169"/>
        <v>383.29418573465477</v>
      </c>
      <c r="P548" s="149">
        <f t="shared" si="169"/>
        <v>129.5943995554307</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930</v>
      </c>
      <c r="G549" t="s">
        <v>213</v>
      </c>
      <c r="J549" s="149">
        <f>J97</f>
        <v>0</v>
      </c>
      <c r="K549" s="149">
        <f t="shared" ref="K549:Y549" si="170">K97</f>
        <v>0</v>
      </c>
      <c r="L549" s="149">
        <f t="shared" si="170"/>
        <v>18241.929816254426</v>
      </c>
      <c r="M549" s="149">
        <f t="shared" si="170"/>
        <v>0</v>
      </c>
      <c r="N549" s="149">
        <f t="shared" si="170"/>
        <v>486.14148515672457</v>
      </c>
      <c r="O549" s="149">
        <f t="shared" si="170"/>
        <v>511.38735834520776</v>
      </c>
      <c r="P549" s="149">
        <f t="shared" si="170"/>
        <v>114.23506331182409</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251</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927</v>
      </c>
      <c r="G551" t="s">
        <v>252</v>
      </c>
      <c r="J551" s="150">
        <f>J62</f>
        <v>0</v>
      </c>
      <c r="K551" s="150">
        <f t="shared" ref="K551:Y551" si="171">K62</f>
        <v>0</v>
      </c>
      <c r="L551" s="150">
        <f t="shared" si="171"/>
        <v>0</v>
      </c>
      <c r="M551" s="150">
        <f t="shared" si="171"/>
        <v>0</v>
      </c>
      <c r="N551" s="150">
        <f t="shared" si="171"/>
        <v>2268.2248972609177</v>
      </c>
      <c r="O551" s="150">
        <f t="shared" si="171"/>
        <v>823.52012126469754</v>
      </c>
      <c r="P551" s="150">
        <f t="shared" si="171"/>
        <v>29704.539007986918</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928</v>
      </c>
      <c r="G552" t="s">
        <v>252</v>
      </c>
      <c r="J552" s="148">
        <f>J71</f>
        <v>0</v>
      </c>
      <c r="K552" s="148">
        <f t="shared" ref="K552:Y552" si="172">K71</f>
        <v>0</v>
      </c>
      <c r="L552" s="148">
        <f t="shared" si="172"/>
        <v>0</v>
      </c>
      <c r="M552" s="148">
        <f t="shared" si="172"/>
        <v>0</v>
      </c>
      <c r="N552" s="148">
        <f t="shared" si="172"/>
        <v>213276.84362733067</v>
      </c>
      <c r="O552" s="148">
        <f t="shared" si="172"/>
        <v>20797.24763972445</v>
      </c>
      <c r="P552" s="148">
        <f t="shared" si="172"/>
        <v>110180.2301965691</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929</v>
      </c>
      <c r="G553" t="s">
        <v>252</v>
      </c>
      <c r="J553" s="148">
        <f>J80</f>
        <v>0</v>
      </c>
      <c r="K553" s="148">
        <f t="shared" ref="K553:Y553" si="173">K80</f>
        <v>0</v>
      </c>
      <c r="L553" s="148">
        <f t="shared" si="173"/>
        <v>0</v>
      </c>
      <c r="M553" s="148">
        <f t="shared" si="173"/>
        <v>0</v>
      </c>
      <c r="N553" s="148">
        <f t="shared" si="173"/>
        <v>269221.98410561716</v>
      </c>
      <c r="O553" s="148">
        <f t="shared" si="173"/>
        <v>50913.793249317838</v>
      </c>
      <c r="P553" s="148">
        <f t="shared" si="173"/>
        <v>230230.59745152827</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931</v>
      </c>
      <c r="G554" t="s">
        <v>252</v>
      </c>
      <c r="J554" s="149">
        <f>J89</f>
        <v>0</v>
      </c>
      <c r="K554" s="149">
        <f t="shared" ref="K554:Y554" si="174">K89</f>
        <v>0</v>
      </c>
      <c r="L554" s="149">
        <f t="shared" si="174"/>
        <v>0</v>
      </c>
      <c r="M554" s="149">
        <f t="shared" si="174"/>
        <v>0</v>
      </c>
      <c r="N554" s="149">
        <f t="shared" si="174"/>
        <v>204025.46814122697</v>
      </c>
      <c r="O554" s="149">
        <f t="shared" si="174"/>
        <v>78470.146371952724</v>
      </c>
      <c r="P554" s="149">
        <f t="shared" si="174"/>
        <v>186602.07719441602</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930</v>
      </c>
      <c r="G555" t="s">
        <v>252</v>
      </c>
      <c r="J555" s="149">
        <f>J98</f>
        <v>0</v>
      </c>
      <c r="K555" s="149">
        <f t="shared" ref="K555:Y555" si="175">K98</f>
        <v>0</v>
      </c>
      <c r="L555" s="149">
        <f t="shared" si="175"/>
        <v>0</v>
      </c>
      <c r="M555" s="149">
        <f t="shared" si="175"/>
        <v>0</v>
      </c>
      <c r="N555" s="149">
        <f t="shared" si="175"/>
        <v>176333.7541917249</v>
      </c>
      <c r="O555" s="149">
        <f t="shared" si="175"/>
        <v>223136.31397896013</v>
      </c>
      <c r="P555" s="149">
        <f t="shared" si="175"/>
        <v>414069.42583366984</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253</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927</v>
      </c>
      <c r="G557" t="s">
        <v>252</v>
      </c>
      <c r="J557" s="150">
        <f>J63</f>
        <v>0</v>
      </c>
      <c r="K557" s="150">
        <f t="shared" ref="K557:Y557" si="176">K63</f>
        <v>0</v>
      </c>
      <c r="L557" s="150">
        <f t="shared" si="176"/>
        <v>0</v>
      </c>
      <c r="M557" s="150">
        <f t="shared" si="176"/>
        <v>0</v>
      </c>
      <c r="N557" s="150">
        <f t="shared" si="176"/>
        <v>193.55191256830602</v>
      </c>
      <c r="O557" s="150">
        <f t="shared" si="176"/>
        <v>66.306010928961754</v>
      </c>
      <c r="P557" s="150">
        <f t="shared" si="176"/>
        <v>7327.4153005464477</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928</v>
      </c>
      <c r="G558" t="s">
        <v>252</v>
      </c>
      <c r="J558" s="148">
        <f>J72</f>
        <v>0</v>
      </c>
      <c r="K558" s="148">
        <f t="shared" ref="K558:Y558" si="177">K72</f>
        <v>0</v>
      </c>
      <c r="L558" s="148">
        <f t="shared" si="177"/>
        <v>0</v>
      </c>
      <c r="M558" s="148">
        <f t="shared" si="177"/>
        <v>0</v>
      </c>
      <c r="N558" s="148">
        <f t="shared" si="177"/>
        <v>6738.1077126657474</v>
      </c>
      <c r="O558" s="148">
        <f t="shared" si="177"/>
        <v>243.38073583802102</v>
      </c>
      <c r="P558" s="148">
        <f t="shared" si="177"/>
        <v>908.32726340729596</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929</v>
      </c>
      <c r="G559" t="s">
        <v>252</v>
      </c>
      <c r="J559" s="148">
        <f>J81</f>
        <v>0</v>
      </c>
      <c r="K559" s="148">
        <f t="shared" ref="K559:Y559" si="178">K81</f>
        <v>0</v>
      </c>
      <c r="L559" s="148">
        <f t="shared" si="178"/>
        <v>0</v>
      </c>
      <c r="M559" s="148">
        <f t="shared" si="178"/>
        <v>0</v>
      </c>
      <c r="N559" s="148">
        <f t="shared" si="178"/>
        <v>8505.5962788487686</v>
      </c>
      <c r="O559" s="148">
        <f t="shared" si="178"/>
        <v>595.82097977499575</v>
      </c>
      <c r="P559" s="148">
        <f t="shared" si="178"/>
        <v>1898.0240662293093</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931</v>
      </c>
      <c r="G560" t="s">
        <v>252</v>
      </c>
      <c r="J560" s="149">
        <f>J90</f>
        <v>0</v>
      </c>
      <c r="K560" s="149">
        <f t="shared" ref="K560:Y560" si="179">K90</f>
        <v>0</v>
      </c>
      <c r="L560" s="149">
        <f t="shared" si="179"/>
        <v>0</v>
      </c>
      <c r="M560" s="149">
        <f t="shared" si="179"/>
        <v>0</v>
      </c>
      <c r="N560" s="149">
        <f t="shared" si="179"/>
        <v>6445.8267343115913</v>
      </c>
      <c r="O560" s="149">
        <f t="shared" si="179"/>
        <v>918.3004547603739</v>
      </c>
      <c r="P560" s="149">
        <f t="shared" si="179"/>
        <v>1538.3499727830376</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930</v>
      </c>
      <c r="G561" t="s">
        <v>252</v>
      </c>
      <c r="J561" s="149">
        <f>J99</f>
        <v>0</v>
      </c>
      <c r="K561" s="149">
        <f t="shared" ref="K561:Y561" si="180">K99</f>
        <v>0</v>
      </c>
      <c r="L561" s="149">
        <f t="shared" si="180"/>
        <v>0</v>
      </c>
      <c r="M561" s="149">
        <f t="shared" si="180"/>
        <v>0</v>
      </c>
      <c r="N561" s="149">
        <f t="shared" si="180"/>
        <v>5570.9556129717103</v>
      </c>
      <c r="O561" s="149">
        <f t="shared" si="180"/>
        <v>2611.2628569490134</v>
      </c>
      <c r="P561" s="149">
        <f t="shared" si="180"/>
        <v>3413.5937795475702</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254</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927</v>
      </c>
      <c r="G563" t="s">
        <v>255</v>
      </c>
      <c r="J563" s="150">
        <f>J64</f>
        <v>0</v>
      </c>
      <c r="K563" s="150">
        <f t="shared" ref="K563:Y563" si="181">K64</f>
        <v>0</v>
      </c>
      <c r="L563" s="150">
        <f t="shared" si="181"/>
        <v>0</v>
      </c>
      <c r="M563" s="150">
        <f t="shared" si="181"/>
        <v>0</v>
      </c>
      <c r="N563" s="150">
        <f t="shared" si="181"/>
        <v>439.04600000000005</v>
      </c>
      <c r="O563" s="150">
        <f t="shared" si="181"/>
        <v>101.444</v>
      </c>
      <c r="P563" s="150">
        <f t="shared" si="181"/>
        <v>5273.9209999999994</v>
      </c>
      <c r="Q563" s="150">
        <f t="shared" si="181"/>
        <v>0</v>
      </c>
      <c r="R563" s="150">
        <f t="shared" si="181"/>
        <v>0</v>
      </c>
      <c r="S563" s="150">
        <f t="shared" si="181"/>
        <v>0</v>
      </c>
      <c r="T563" s="150">
        <f t="shared" si="181"/>
        <v>5802.6510000000007</v>
      </c>
      <c r="U563" s="150">
        <f t="shared" si="181"/>
        <v>0</v>
      </c>
      <c r="V563" s="150">
        <f t="shared" si="181"/>
        <v>0</v>
      </c>
      <c r="W563" s="150">
        <f t="shared" si="181"/>
        <v>0</v>
      </c>
      <c r="X563" s="150">
        <f t="shared" si="181"/>
        <v>7364.4659999999994</v>
      </c>
      <c r="Y563" s="150">
        <f t="shared" si="181"/>
        <v>0</v>
      </c>
      <c r="AQ563" s="3"/>
    </row>
    <row r="564" spans="4:43" x14ac:dyDescent="0.25">
      <c r="E564" s="129"/>
      <c r="F564" s="2" t="s">
        <v>928</v>
      </c>
      <c r="G564" t="s">
        <v>255</v>
      </c>
      <c r="J564" s="148">
        <f>J73</f>
        <v>0</v>
      </c>
      <c r="K564" s="148">
        <f t="shared" ref="K564:Y564" si="182">K73</f>
        <v>0</v>
      </c>
      <c r="L564" s="148">
        <f t="shared" si="182"/>
        <v>0</v>
      </c>
      <c r="M564" s="148">
        <f t="shared" si="182"/>
        <v>0</v>
      </c>
      <c r="N564" s="148">
        <f t="shared" si="182"/>
        <v>33026.349881135131</v>
      </c>
      <c r="O564" s="148">
        <f t="shared" si="182"/>
        <v>4054.4751424410956</v>
      </c>
      <c r="P564" s="148">
        <f t="shared" si="182"/>
        <v>18597.524525406883</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929</v>
      </c>
      <c r="G565" t="s">
        <v>255</v>
      </c>
      <c r="J565" s="148">
        <f>J82</f>
        <v>0</v>
      </c>
      <c r="K565" s="148">
        <f t="shared" ref="K565:Y565" si="183">K82</f>
        <v>0</v>
      </c>
      <c r="L565" s="148">
        <f t="shared" si="183"/>
        <v>0</v>
      </c>
      <c r="M565" s="148">
        <f t="shared" si="183"/>
        <v>0</v>
      </c>
      <c r="N565" s="148">
        <f t="shared" si="183"/>
        <v>28573.077823844527</v>
      </c>
      <c r="O565" s="148">
        <f t="shared" si="183"/>
        <v>7434.8530337112988</v>
      </c>
      <c r="P565" s="148">
        <f t="shared" si="183"/>
        <v>34300.895050201761</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931</v>
      </c>
      <c r="G566" t="s">
        <v>255</v>
      </c>
      <c r="J566" s="149">
        <f>J91</f>
        <v>0</v>
      </c>
      <c r="K566" s="149">
        <f t="shared" ref="K566:Y566" si="184">K91</f>
        <v>0</v>
      </c>
      <c r="L566" s="149">
        <f t="shared" si="184"/>
        <v>0</v>
      </c>
      <c r="M566" s="149">
        <f t="shared" si="184"/>
        <v>0</v>
      </c>
      <c r="N566" s="149">
        <f t="shared" si="184"/>
        <v>20522.776599592027</v>
      </c>
      <c r="O566" s="149">
        <f t="shared" si="184"/>
        <v>11300.063972495396</v>
      </c>
      <c r="P566" s="149">
        <f t="shared" si="184"/>
        <v>31630.531569286057</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930</v>
      </c>
      <c r="G567" s="96" t="s">
        <v>255</v>
      </c>
      <c r="H567" s="96"/>
      <c r="I567" s="96"/>
      <c r="J567" s="148">
        <f>J100</f>
        <v>0</v>
      </c>
      <c r="K567" s="148">
        <f t="shared" ref="K567:Y567" si="185">K100</f>
        <v>0</v>
      </c>
      <c r="L567" s="148">
        <f t="shared" si="185"/>
        <v>0</v>
      </c>
      <c r="M567" s="148">
        <f t="shared" si="185"/>
        <v>0</v>
      </c>
      <c r="N567" s="148">
        <f t="shared" si="185"/>
        <v>16925.887695428311</v>
      </c>
      <c r="O567" s="148">
        <f t="shared" si="185"/>
        <v>32349.890851352215</v>
      </c>
      <c r="P567" s="148">
        <f t="shared" si="185"/>
        <v>55482.344855105308</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1080</v>
      </c>
      <c r="AQ569" s="3"/>
    </row>
    <row r="570" spans="4:43" x14ac:dyDescent="0.25">
      <c r="E570" s="116" t="s">
        <v>248</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927</v>
      </c>
      <c r="G571" t="s">
        <v>208</v>
      </c>
      <c r="J571" s="150">
        <f>J105</f>
        <v>0</v>
      </c>
      <c r="K571" s="150">
        <f t="shared" ref="K571:Y571" si="186">K105</f>
        <v>0</v>
      </c>
      <c r="L571" s="150">
        <f t="shared" si="186"/>
        <v>50.018702202795161</v>
      </c>
      <c r="M571" s="150">
        <f t="shared" si="186"/>
        <v>0</v>
      </c>
      <c r="N571" s="150">
        <f t="shared" si="186"/>
        <v>0</v>
      </c>
      <c r="O571" s="150">
        <f t="shared" si="186"/>
        <v>0</v>
      </c>
      <c r="P571" s="150">
        <f t="shared" si="186"/>
        <v>0</v>
      </c>
      <c r="Q571" s="150">
        <f t="shared" si="186"/>
        <v>0</v>
      </c>
      <c r="R571" s="150">
        <f t="shared" si="186"/>
        <v>145.32512484445286</v>
      </c>
      <c r="S571" s="150">
        <f t="shared" si="186"/>
        <v>0</v>
      </c>
      <c r="T571" s="150">
        <f t="shared" si="186"/>
        <v>5.0228258684195506</v>
      </c>
      <c r="U571" s="150">
        <f t="shared" si="186"/>
        <v>0</v>
      </c>
      <c r="V571" s="150">
        <f t="shared" si="186"/>
        <v>0</v>
      </c>
      <c r="W571" s="150">
        <f t="shared" si="186"/>
        <v>0</v>
      </c>
      <c r="X571" s="150">
        <f t="shared" si="186"/>
        <v>0</v>
      </c>
      <c r="Y571" s="150">
        <f t="shared" si="186"/>
        <v>0</v>
      </c>
      <c r="AQ571" s="3"/>
    </row>
    <row r="572" spans="4:43" x14ac:dyDescent="0.25">
      <c r="E572" s="129"/>
      <c r="F572" s="2" t="s">
        <v>928</v>
      </c>
      <c r="G572" t="s">
        <v>208</v>
      </c>
      <c r="J572" s="148">
        <f>J114</f>
        <v>5009.561936578516</v>
      </c>
      <c r="K572" s="148">
        <f t="shared" ref="K572:Y572" si="187">K114</f>
        <v>0</v>
      </c>
      <c r="L572" s="148">
        <f t="shared" si="187"/>
        <v>23.034454520968403</v>
      </c>
      <c r="M572" s="148">
        <f t="shared" si="187"/>
        <v>0</v>
      </c>
      <c r="N572" s="148">
        <f t="shared" si="187"/>
        <v>49.862711264564581</v>
      </c>
      <c r="O572" s="148">
        <f t="shared" si="187"/>
        <v>0</v>
      </c>
      <c r="P572" s="148">
        <f t="shared" si="187"/>
        <v>0</v>
      </c>
      <c r="Q572" s="148">
        <f t="shared" si="187"/>
        <v>1.9402031056287485</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929</v>
      </c>
      <c r="G573" t="s">
        <v>208</v>
      </c>
      <c r="J573" s="148">
        <f>J123</f>
        <v>0</v>
      </c>
      <c r="K573" s="148">
        <f t="shared" ref="K573:Y573" si="188">K123</f>
        <v>0</v>
      </c>
      <c r="L573" s="148">
        <f t="shared" si="188"/>
        <v>19.461345814514374</v>
      </c>
      <c r="M573" s="148">
        <f t="shared" si="188"/>
        <v>0</v>
      </c>
      <c r="N573" s="148">
        <f t="shared" si="188"/>
        <v>236.29618899806331</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931</v>
      </c>
      <c r="G574" t="s">
        <v>208</v>
      </c>
      <c r="J574" s="149">
        <f>J132</f>
        <v>0</v>
      </c>
      <c r="K574" s="149">
        <f t="shared" ref="K574:Y574" si="189">K132</f>
        <v>0</v>
      </c>
      <c r="L574" s="149">
        <f t="shared" si="189"/>
        <v>35.556670499308211</v>
      </c>
      <c r="M574" s="149">
        <f t="shared" si="189"/>
        <v>0</v>
      </c>
      <c r="N574" s="149">
        <f t="shared" si="189"/>
        <v>464.90920282181202</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930</v>
      </c>
      <c r="G575" t="s">
        <v>208</v>
      </c>
      <c r="J575" s="149">
        <f>J141</f>
        <v>0</v>
      </c>
      <c r="K575" s="149">
        <f t="shared" ref="K575:Y575" si="190">K141</f>
        <v>0</v>
      </c>
      <c r="L575" s="149">
        <f t="shared" si="190"/>
        <v>143.39996181803627</v>
      </c>
      <c r="M575" s="149">
        <f t="shared" si="190"/>
        <v>0</v>
      </c>
      <c r="N575" s="149">
        <f t="shared" si="190"/>
        <v>307.42897457873391</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249</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927</v>
      </c>
      <c r="G577" t="s">
        <v>208</v>
      </c>
      <c r="J577" s="150">
        <f>J106</f>
        <v>0</v>
      </c>
      <c r="K577" s="150">
        <f t="shared" ref="K577:Y577" si="191">K106</f>
        <v>0</v>
      </c>
      <c r="L577" s="150">
        <f t="shared" si="191"/>
        <v>446.54394615532738</v>
      </c>
      <c r="M577" s="150">
        <f t="shared" si="191"/>
        <v>0</v>
      </c>
      <c r="N577" s="150">
        <f t="shared" si="191"/>
        <v>0</v>
      </c>
      <c r="O577" s="150">
        <f t="shared" si="191"/>
        <v>0</v>
      </c>
      <c r="P577" s="150">
        <f t="shared" si="191"/>
        <v>0</v>
      </c>
      <c r="Q577" s="150">
        <f t="shared" si="191"/>
        <v>0</v>
      </c>
      <c r="R577" s="150">
        <f t="shared" si="191"/>
        <v>1495.6729981168003</v>
      </c>
      <c r="S577" s="150">
        <f t="shared" si="191"/>
        <v>0</v>
      </c>
      <c r="T577" s="150">
        <f t="shared" si="191"/>
        <v>51.732406322701706</v>
      </c>
      <c r="U577" s="150">
        <f t="shared" si="191"/>
        <v>0</v>
      </c>
      <c r="V577" s="150">
        <f t="shared" si="191"/>
        <v>0</v>
      </c>
      <c r="W577" s="150">
        <f t="shared" si="191"/>
        <v>0</v>
      </c>
      <c r="X577" s="150">
        <f t="shared" si="191"/>
        <v>0</v>
      </c>
      <c r="Y577" s="150">
        <f t="shared" si="191"/>
        <v>0</v>
      </c>
      <c r="AQ577" s="3"/>
    </row>
    <row r="578" spans="5:43" x14ac:dyDescent="0.25">
      <c r="E578" s="129"/>
      <c r="F578" s="2" t="s">
        <v>928</v>
      </c>
      <c r="G578" t="s">
        <v>208</v>
      </c>
      <c r="J578" s="148">
        <f>J115</f>
        <v>26428.293129180023</v>
      </c>
      <c r="K578" s="148">
        <f t="shared" ref="K578:Y578" si="192">K115</f>
        <v>0</v>
      </c>
      <c r="L578" s="148">
        <f t="shared" si="192"/>
        <v>180.53231818517546</v>
      </c>
      <c r="M578" s="148">
        <f t="shared" si="192"/>
        <v>0</v>
      </c>
      <c r="N578" s="148">
        <f t="shared" si="192"/>
        <v>376.84059290710013</v>
      </c>
      <c r="O578" s="148">
        <f t="shared" si="192"/>
        <v>0</v>
      </c>
      <c r="P578" s="148">
        <f t="shared" si="192"/>
        <v>0</v>
      </c>
      <c r="Q578" s="148">
        <f t="shared" si="192"/>
        <v>21.14065363266138</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929</v>
      </c>
      <c r="G579" t="s">
        <v>208</v>
      </c>
      <c r="J579" s="148">
        <f>J124</f>
        <v>0</v>
      </c>
      <c r="K579" s="148">
        <f t="shared" ref="K579:Y579" si="193">K124</f>
        <v>0</v>
      </c>
      <c r="L579" s="148">
        <f t="shared" si="193"/>
        <v>169.52238477196778</v>
      </c>
      <c r="M579" s="148">
        <f t="shared" si="193"/>
        <v>0</v>
      </c>
      <c r="N579" s="148">
        <f t="shared" si="193"/>
        <v>1647.665928148374</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931</v>
      </c>
      <c r="G580" t="s">
        <v>208</v>
      </c>
      <c r="J580" s="149">
        <f>J133</f>
        <v>0</v>
      </c>
      <c r="K580" s="149">
        <f t="shared" ref="K580:Y580" si="194">K133</f>
        <v>0</v>
      </c>
      <c r="L580" s="149">
        <f t="shared" si="194"/>
        <v>299.01499334835563</v>
      </c>
      <c r="M580" s="149">
        <f t="shared" si="194"/>
        <v>0</v>
      </c>
      <c r="N580" s="149">
        <f t="shared" si="194"/>
        <v>3223.5102845475449</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930</v>
      </c>
      <c r="G581" t="s">
        <v>208</v>
      </c>
      <c r="J581" s="149">
        <f>J142</f>
        <v>0</v>
      </c>
      <c r="K581" s="149">
        <f t="shared" ref="K581:Y581" si="195">K142</f>
        <v>0</v>
      </c>
      <c r="L581" s="149">
        <f t="shared" si="195"/>
        <v>1227.3135094812021</v>
      </c>
      <c r="M581" s="149">
        <f t="shared" si="195"/>
        <v>0</v>
      </c>
      <c r="N581" s="149">
        <f t="shared" si="195"/>
        <v>2030.8747481892758</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250</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927</v>
      </c>
      <c r="G583" t="s">
        <v>208</v>
      </c>
      <c r="J583" s="150">
        <f>J107</f>
        <v>0</v>
      </c>
      <c r="K583" s="150">
        <f t="shared" ref="K583:Y583" si="196">K107</f>
        <v>0</v>
      </c>
      <c r="L583" s="150">
        <f t="shared" si="196"/>
        <v>317.74771534502293</v>
      </c>
      <c r="M583" s="150">
        <f t="shared" si="196"/>
        <v>0</v>
      </c>
      <c r="N583" s="150">
        <f t="shared" si="196"/>
        <v>0</v>
      </c>
      <c r="O583" s="150">
        <f t="shared" si="196"/>
        <v>0</v>
      </c>
      <c r="P583" s="150">
        <f t="shared" si="196"/>
        <v>0</v>
      </c>
      <c r="Q583" s="150">
        <f t="shared" si="196"/>
        <v>0</v>
      </c>
      <c r="R583" s="150">
        <f t="shared" si="196"/>
        <v>617.57032877021857</v>
      </c>
      <c r="S583" s="150">
        <f t="shared" si="196"/>
        <v>0</v>
      </c>
      <c r="T583" s="150">
        <f t="shared" si="196"/>
        <v>23.479247066598283</v>
      </c>
      <c r="U583" s="150">
        <f t="shared" si="196"/>
        <v>0</v>
      </c>
      <c r="V583" s="150">
        <f t="shared" si="196"/>
        <v>0</v>
      </c>
      <c r="W583" s="150">
        <f t="shared" si="196"/>
        <v>0</v>
      </c>
      <c r="X583" s="150">
        <f t="shared" si="196"/>
        <v>0</v>
      </c>
      <c r="Y583" s="150">
        <f t="shared" si="196"/>
        <v>0</v>
      </c>
      <c r="AQ583" s="3"/>
    </row>
    <row r="584" spans="5:43" x14ac:dyDescent="0.25">
      <c r="E584" s="129"/>
      <c r="F584" s="2" t="s">
        <v>928</v>
      </c>
      <c r="G584" t="s">
        <v>208</v>
      </c>
      <c r="J584" s="148">
        <f>J116</f>
        <v>28347.544883023802</v>
      </c>
      <c r="K584" s="148">
        <f t="shared" ref="K584:Y584" si="197">K116</f>
        <v>0</v>
      </c>
      <c r="L584" s="148">
        <f t="shared" si="197"/>
        <v>140.11924237600525</v>
      </c>
      <c r="M584" s="148">
        <f t="shared" si="197"/>
        <v>0</v>
      </c>
      <c r="N584" s="148">
        <f t="shared" si="197"/>
        <v>349.01530778948353</v>
      </c>
      <c r="O584" s="148">
        <f t="shared" si="197"/>
        <v>0</v>
      </c>
      <c r="P584" s="148">
        <f t="shared" si="197"/>
        <v>0</v>
      </c>
      <c r="Q584" s="148">
        <f t="shared" si="197"/>
        <v>112.2474972102397</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929</v>
      </c>
      <c r="G585" t="s">
        <v>208</v>
      </c>
      <c r="J585" s="148">
        <f>J125</f>
        <v>0</v>
      </c>
      <c r="K585" s="148">
        <f t="shared" ref="K585:Y585" si="198">K125</f>
        <v>0</v>
      </c>
      <c r="L585" s="148">
        <f t="shared" si="198"/>
        <v>125.96825494237993</v>
      </c>
      <c r="M585" s="148">
        <f t="shared" si="198"/>
        <v>0</v>
      </c>
      <c r="N585" s="148">
        <f t="shared" si="198"/>
        <v>1250.6362636885997</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931</v>
      </c>
      <c r="G586" t="s">
        <v>208</v>
      </c>
      <c r="J586" s="149">
        <f>J134</f>
        <v>0</v>
      </c>
      <c r="K586" s="149">
        <f t="shared" ref="K586:Y586" si="199">K134</f>
        <v>0</v>
      </c>
      <c r="L586" s="149">
        <f t="shared" si="199"/>
        <v>211.99680996545302</v>
      </c>
      <c r="M586" s="149">
        <f t="shared" si="199"/>
        <v>0</v>
      </c>
      <c r="N586" s="149">
        <f t="shared" si="199"/>
        <v>1680.7995411231332</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930</v>
      </c>
      <c r="G587" t="s">
        <v>208</v>
      </c>
      <c r="J587" s="149">
        <f>J143</f>
        <v>0</v>
      </c>
      <c r="K587" s="149">
        <f t="shared" ref="K587:Y587" si="200">K143</f>
        <v>0</v>
      </c>
      <c r="L587" s="149">
        <f t="shared" si="200"/>
        <v>923.18584150417723</v>
      </c>
      <c r="M587" s="149">
        <f t="shared" si="200"/>
        <v>0</v>
      </c>
      <c r="N587" s="149">
        <f t="shared" si="200"/>
        <v>1647.1769874933709</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213</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927</v>
      </c>
      <c r="G589" t="s">
        <v>213</v>
      </c>
      <c r="J589" s="150">
        <f>J108</f>
        <v>0</v>
      </c>
      <c r="K589" s="150">
        <f t="shared" ref="K589:Y589" si="201">K108</f>
        <v>0</v>
      </c>
      <c r="L589" s="150">
        <f t="shared" si="201"/>
        <v>129.78707548677909</v>
      </c>
      <c r="M589" s="150">
        <f t="shared" si="201"/>
        <v>0</v>
      </c>
      <c r="N589" s="150">
        <f t="shared" si="201"/>
        <v>0</v>
      </c>
      <c r="O589" s="150">
        <f t="shared" si="201"/>
        <v>0</v>
      </c>
      <c r="P589" s="150">
        <f t="shared" si="201"/>
        <v>0</v>
      </c>
      <c r="Q589" s="150">
        <f t="shared" si="201"/>
        <v>0</v>
      </c>
      <c r="R589" s="150">
        <f t="shared" si="201"/>
        <v>0</v>
      </c>
      <c r="S589" s="150">
        <f t="shared" si="201"/>
        <v>0</v>
      </c>
      <c r="T589" s="150">
        <f t="shared" si="201"/>
        <v>1.2850205493740503</v>
      </c>
      <c r="U589" s="150">
        <f t="shared" si="201"/>
        <v>0</v>
      </c>
      <c r="V589" s="150">
        <f t="shared" si="201"/>
        <v>0</v>
      </c>
      <c r="W589" s="150">
        <f t="shared" si="201"/>
        <v>0</v>
      </c>
      <c r="X589" s="150">
        <f t="shared" si="201"/>
        <v>0</v>
      </c>
      <c r="Y589" s="150">
        <f t="shared" si="201"/>
        <v>0</v>
      </c>
      <c r="AQ589" s="3"/>
    </row>
    <row r="590" spans="5:43" x14ac:dyDescent="0.25">
      <c r="E590" s="129"/>
      <c r="F590" s="2" t="s">
        <v>928</v>
      </c>
      <c r="G590" t="s">
        <v>213</v>
      </c>
      <c r="J590" s="148">
        <f>J117</f>
        <v>21273.515194887394</v>
      </c>
      <c r="K590" s="148">
        <f t="shared" ref="K590:Y590" si="202">K117</f>
        <v>0</v>
      </c>
      <c r="L590" s="148">
        <f t="shared" si="202"/>
        <v>98.946582301801897</v>
      </c>
      <c r="M590" s="148">
        <f t="shared" si="202"/>
        <v>0</v>
      </c>
      <c r="N590" s="148">
        <f t="shared" si="202"/>
        <v>19.275308240610748</v>
      </c>
      <c r="O590" s="148">
        <f t="shared" si="202"/>
        <v>0</v>
      </c>
      <c r="P590" s="148">
        <f t="shared" si="202"/>
        <v>0</v>
      </c>
      <c r="Q590" s="148">
        <f t="shared" si="202"/>
        <v>80.95629461056518</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929</v>
      </c>
      <c r="G591" t="s">
        <v>213</v>
      </c>
      <c r="J591" s="148">
        <f>J126</f>
        <v>0</v>
      </c>
      <c r="K591" s="148">
        <f t="shared" ref="K591:Y591" si="203">K126</f>
        <v>0</v>
      </c>
      <c r="L591" s="148">
        <f t="shared" si="203"/>
        <v>57.82592472183228</v>
      </c>
      <c r="M591" s="148">
        <f t="shared" si="203"/>
        <v>0</v>
      </c>
      <c r="N591" s="148">
        <f t="shared" si="203"/>
        <v>55.255883623084188</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931</v>
      </c>
      <c r="G592" t="s">
        <v>213</v>
      </c>
      <c r="J592" s="149">
        <f>J135</f>
        <v>0</v>
      </c>
      <c r="K592" s="149">
        <f t="shared" ref="K592:Y592" si="204">K135</f>
        <v>0</v>
      </c>
      <c r="L592" s="149">
        <f t="shared" si="204"/>
        <v>104.08666449929808</v>
      </c>
      <c r="M592" s="149">
        <f t="shared" si="204"/>
        <v>0</v>
      </c>
      <c r="N592" s="149">
        <f t="shared" si="204"/>
        <v>73.24617131432089</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930</v>
      </c>
      <c r="G593" t="s">
        <v>213</v>
      </c>
      <c r="J593" s="149">
        <f>J144</f>
        <v>0</v>
      </c>
      <c r="K593" s="149">
        <f t="shared" ref="K593:Y593" si="205">K144</f>
        <v>0</v>
      </c>
      <c r="L593" s="149">
        <f t="shared" si="205"/>
        <v>124.64699328928289</v>
      </c>
      <c r="M593" s="149">
        <f t="shared" si="205"/>
        <v>0</v>
      </c>
      <c r="N593" s="149">
        <f t="shared" si="205"/>
        <v>14.135226043114551</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251</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927</v>
      </c>
      <c r="G595" t="s">
        <v>252</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928</v>
      </c>
      <c r="G596" t="s">
        <v>252</v>
      </c>
      <c r="J596" s="148">
        <f>J118</f>
        <v>0</v>
      </c>
      <c r="K596" s="148">
        <f t="shared" ref="K596:Y596" si="207">K118</f>
        <v>0</v>
      </c>
      <c r="L596" s="148">
        <f t="shared" si="207"/>
        <v>0</v>
      </c>
      <c r="M596" s="148">
        <f t="shared" si="207"/>
        <v>0</v>
      </c>
      <c r="N596" s="148">
        <f t="shared" si="207"/>
        <v>1368.5468850833636</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929</v>
      </c>
      <c r="G597" t="s">
        <v>252</v>
      </c>
      <c r="J597" s="148">
        <f>J127</f>
        <v>0</v>
      </c>
      <c r="K597" s="148">
        <f t="shared" ref="K597:Y597" si="208">K127</f>
        <v>0</v>
      </c>
      <c r="L597" s="148">
        <f t="shared" si="208"/>
        <v>0</v>
      </c>
      <c r="M597" s="148">
        <f t="shared" si="208"/>
        <v>0</v>
      </c>
      <c r="N597" s="148">
        <f t="shared" si="208"/>
        <v>6736.0777198187743</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931</v>
      </c>
      <c r="G598" t="s">
        <v>252</v>
      </c>
      <c r="J598" s="149">
        <f>J136</f>
        <v>0</v>
      </c>
      <c r="K598" s="149">
        <f t="shared" ref="K598:Y598" si="209">K136</f>
        <v>0</v>
      </c>
      <c r="L598" s="149">
        <f t="shared" si="209"/>
        <v>0</v>
      </c>
      <c r="M598" s="149">
        <f t="shared" si="209"/>
        <v>0</v>
      </c>
      <c r="N598" s="149">
        <f t="shared" si="209"/>
        <v>13099.499480319068</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930</v>
      </c>
      <c r="G599" t="s">
        <v>252</v>
      </c>
      <c r="J599" s="149">
        <f>J145</f>
        <v>0</v>
      </c>
      <c r="K599" s="149">
        <f t="shared" ref="K599:Y599" si="210">K145</f>
        <v>0</v>
      </c>
      <c r="L599" s="149">
        <f t="shared" si="210"/>
        <v>0</v>
      </c>
      <c r="M599" s="149">
        <f t="shared" si="210"/>
        <v>0</v>
      </c>
      <c r="N599" s="149">
        <f t="shared" si="210"/>
        <v>6065.2969930455183</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253</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927</v>
      </c>
      <c r="G601" t="s">
        <v>252</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928</v>
      </c>
      <c r="G602" t="s">
        <v>252</v>
      </c>
      <c r="J602" s="148">
        <f>J119</f>
        <v>0</v>
      </c>
      <c r="K602" s="148">
        <f t="shared" ref="K602:Y602" si="212">K119</f>
        <v>0</v>
      </c>
      <c r="L602" s="148">
        <f t="shared" si="212"/>
        <v>0</v>
      </c>
      <c r="M602" s="148">
        <f t="shared" si="212"/>
        <v>0</v>
      </c>
      <c r="N602" s="148">
        <f t="shared" si="212"/>
        <v>47.193077345640631</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929</v>
      </c>
      <c r="G603" t="s">
        <v>252</v>
      </c>
      <c r="J603" s="148">
        <f>J128</f>
        <v>0</v>
      </c>
      <c r="K603" s="148">
        <f t="shared" ref="K603:Y603" si="213">K128</f>
        <v>0</v>
      </c>
      <c r="L603" s="148">
        <f t="shared" si="213"/>
        <v>0</v>
      </c>
      <c r="M603" s="148">
        <f t="shared" si="213"/>
        <v>0</v>
      </c>
      <c r="N603" s="148">
        <f t="shared" si="213"/>
        <v>6.2940381216252854</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931</v>
      </c>
      <c r="G604" t="s">
        <v>252</v>
      </c>
      <c r="J604" s="149">
        <f>J137</f>
        <v>0</v>
      </c>
      <c r="K604" s="149">
        <f t="shared" ref="K604:Y604" si="214">K137</f>
        <v>0</v>
      </c>
      <c r="L604" s="149">
        <f t="shared" si="214"/>
        <v>0</v>
      </c>
      <c r="M604" s="149">
        <f t="shared" si="214"/>
        <v>0</v>
      </c>
      <c r="N604" s="149">
        <f t="shared" si="214"/>
        <v>77.88891118914691</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930</v>
      </c>
      <c r="G605" t="s">
        <v>252</v>
      </c>
      <c r="J605" s="149">
        <f>J146</f>
        <v>0</v>
      </c>
      <c r="K605" s="149">
        <f t="shared" ref="K605:Y605" si="215">K146</f>
        <v>0</v>
      </c>
      <c r="L605" s="149">
        <f t="shared" si="215"/>
        <v>0</v>
      </c>
      <c r="M605" s="149">
        <f t="shared" si="215"/>
        <v>0</v>
      </c>
      <c r="N605" s="149">
        <f t="shared" si="215"/>
        <v>3.3056556766634309</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254</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927</v>
      </c>
      <c r="G607" t="s">
        <v>255</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4.4468923790347121</v>
      </c>
      <c r="U607" s="150">
        <f t="shared" si="216"/>
        <v>0</v>
      </c>
      <c r="V607" s="150">
        <f t="shared" si="216"/>
        <v>0</v>
      </c>
      <c r="W607" s="150">
        <f t="shared" si="216"/>
        <v>0</v>
      </c>
      <c r="X607" s="150">
        <f t="shared" si="216"/>
        <v>0</v>
      </c>
      <c r="Y607" s="150">
        <f t="shared" si="216"/>
        <v>0</v>
      </c>
      <c r="AQ607" s="3"/>
    </row>
    <row r="608" spans="5:43" x14ac:dyDescent="0.25">
      <c r="E608" s="129"/>
      <c r="F608" s="2" t="s">
        <v>928</v>
      </c>
      <c r="G608" t="s">
        <v>255</v>
      </c>
      <c r="J608" s="148">
        <f>J120</f>
        <v>0</v>
      </c>
      <c r="K608" s="148">
        <f t="shared" ref="K608:Y608" si="217">K120</f>
        <v>0</v>
      </c>
      <c r="L608" s="148">
        <f t="shared" si="217"/>
        <v>0</v>
      </c>
      <c r="M608" s="148">
        <f t="shared" si="217"/>
        <v>0</v>
      </c>
      <c r="N608" s="148">
        <f t="shared" si="217"/>
        <v>100.24690465152386</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929</v>
      </c>
      <c r="G609" t="s">
        <v>255</v>
      </c>
      <c r="J609" s="148">
        <f>J129</f>
        <v>0</v>
      </c>
      <c r="K609" s="148">
        <f t="shared" ref="K609:Y609" si="218">K129</f>
        <v>0</v>
      </c>
      <c r="L609" s="148">
        <f t="shared" si="218"/>
        <v>0</v>
      </c>
      <c r="M609" s="148">
        <f t="shared" si="218"/>
        <v>0</v>
      </c>
      <c r="N609" s="148">
        <f t="shared" si="218"/>
        <v>396.92456096931852</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931</v>
      </c>
      <c r="G610" t="s">
        <v>255</v>
      </c>
      <c r="J610" s="149">
        <f>J138</f>
        <v>0</v>
      </c>
      <c r="K610" s="149">
        <f t="shared" ref="K610:Y610" si="219">K138</f>
        <v>0</v>
      </c>
      <c r="L610" s="149">
        <f t="shared" si="219"/>
        <v>0</v>
      </c>
      <c r="M610" s="149">
        <f t="shared" si="219"/>
        <v>0</v>
      </c>
      <c r="N610" s="149">
        <f t="shared" si="219"/>
        <v>274.62998398677485</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930</v>
      </c>
      <c r="G611" s="96" t="s">
        <v>255</v>
      </c>
      <c r="H611" s="96"/>
      <c r="I611" s="96"/>
      <c r="J611" s="148">
        <f>J147</f>
        <v>0</v>
      </c>
      <c r="K611" s="148">
        <f t="shared" ref="K611:Y611" si="220">K147</f>
        <v>0</v>
      </c>
      <c r="L611" s="148">
        <f t="shared" si="220"/>
        <v>0</v>
      </c>
      <c r="M611" s="148">
        <f t="shared" si="220"/>
        <v>0</v>
      </c>
      <c r="N611" s="148">
        <f t="shared" si="220"/>
        <v>181.76915770842257</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1081</v>
      </c>
      <c r="AQ613" s="3"/>
    </row>
    <row r="614" spans="4:43" x14ac:dyDescent="0.25">
      <c r="E614" s="116" t="s">
        <v>248</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927</v>
      </c>
      <c r="G615" t="s">
        <v>208</v>
      </c>
      <c r="J615" s="150">
        <f>J152</f>
        <v>0</v>
      </c>
      <c r="K615" s="150">
        <f t="shared" ref="K615:Y615" si="221">K152</f>
        <v>0</v>
      </c>
      <c r="L615" s="150">
        <f t="shared" si="221"/>
        <v>75.768036304895688</v>
      </c>
      <c r="M615" s="150">
        <f t="shared" si="221"/>
        <v>0</v>
      </c>
      <c r="N615" s="150">
        <f t="shared" si="221"/>
        <v>10.084379144733067</v>
      </c>
      <c r="O615" s="150">
        <f t="shared" si="221"/>
        <v>0</v>
      </c>
      <c r="P615" s="150">
        <f t="shared" si="221"/>
        <v>0</v>
      </c>
      <c r="Q615" s="150">
        <f t="shared" si="221"/>
        <v>0</v>
      </c>
      <c r="R615" s="150">
        <f t="shared" si="221"/>
        <v>466.59485317295298</v>
      </c>
      <c r="S615" s="150">
        <f t="shared" si="221"/>
        <v>0</v>
      </c>
      <c r="T615" s="150">
        <f t="shared" si="221"/>
        <v>16.956105770532645</v>
      </c>
      <c r="U615" s="150">
        <f t="shared" si="221"/>
        <v>0</v>
      </c>
      <c r="V615" s="150">
        <f t="shared" si="221"/>
        <v>0</v>
      </c>
      <c r="W615" s="150">
        <f t="shared" si="221"/>
        <v>0</v>
      </c>
      <c r="X615" s="150">
        <f t="shared" si="221"/>
        <v>0</v>
      </c>
      <c r="Y615" s="150">
        <f t="shared" si="221"/>
        <v>0</v>
      </c>
      <c r="AQ615" s="3"/>
    </row>
    <row r="616" spans="4:43" x14ac:dyDescent="0.25">
      <c r="E616" s="129"/>
      <c r="F616" s="2" t="s">
        <v>928</v>
      </c>
      <c r="G616" t="s">
        <v>208</v>
      </c>
      <c r="J616" s="148">
        <f>J161</f>
        <v>15806.920141223518</v>
      </c>
      <c r="K616" s="148">
        <f t="shared" ref="K616:Y616" si="222">K161</f>
        <v>0</v>
      </c>
      <c r="L616" s="148">
        <f t="shared" si="222"/>
        <v>221.0976401507119</v>
      </c>
      <c r="M616" s="148">
        <f t="shared" si="222"/>
        <v>0</v>
      </c>
      <c r="N616" s="148">
        <f t="shared" si="222"/>
        <v>532.64400981853669</v>
      </c>
      <c r="O616" s="148">
        <f t="shared" si="222"/>
        <v>0</v>
      </c>
      <c r="P616" s="148">
        <f t="shared" si="222"/>
        <v>11.828275515198653</v>
      </c>
      <c r="Q616" s="148">
        <f t="shared" si="222"/>
        <v>17.838169837481313</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929</v>
      </c>
      <c r="G617" t="s">
        <v>208</v>
      </c>
      <c r="J617" s="148">
        <f>J170</f>
        <v>0</v>
      </c>
      <c r="K617" s="148">
        <f t="shared" ref="K617:Y617" si="223">K170</f>
        <v>0</v>
      </c>
      <c r="L617" s="148">
        <f t="shared" si="223"/>
        <v>228.87620453840037</v>
      </c>
      <c r="M617" s="148">
        <f t="shared" si="223"/>
        <v>0</v>
      </c>
      <c r="N617" s="148">
        <f t="shared" si="223"/>
        <v>1286.2864693358279</v>
      </c>
      <c r="O617" s="148">
        <f t="shared" si="223"/>
        <v>0.8830231608691691</v>
      </c>
      <c r="P617" s="148">
        <f t="shared" si="223"/>
        <v>226.46388569430451</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931</v>
      </c>
      <c r="G618" t="s">
        <v>208</v>
      </c>
      <c r="J618" s="149">
        <f>J179</f>
        <v>0</v>
      </c>
      <c r="K618" s="149">
        <f t="shared" ref="K618:Y618" si="224">K179</f>
        <v>0</v>
      </c>
      <c r="L618" s="149">
        <f t="shared" si="224"/>
        <v>211.18781617334031</v>
      </c>
      <c r="M618" s="149">
        <f t="shared" si="224"/>
        <v>0</v>
      </c>
      <c r="N618" s="149">
        <f t="shared" si="224"/>
        <v>971.62832438512078</v>
      </c>
      <c r="O618" s="149">
        <f t="shared" si="224"/>
        <v>53.419328036461323</v>
      </c>
      <c r="P618" s="149">
        <f t="shared" si="224"/>
        <v>739.51424869484208</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930</v>
      </c>
      <c r="G619" t="s">
        <v>208</v>
      </c>
      <c r="J619" s="149">
        <f>J188</f>
        <v>0</v>
      </c>
      <c r="K619" s="149">
        <f t="shared" ref="K619:Y619" si="225">K188</f>
        <v>0</v>
      </c>
      <c r="L619" s="149">
        <f t="shared" si="225"/>
        <v>544.94308149188896</v>
      </c>
      <c r="M619" s="149">
        <f t="shared" si="225"/>
        <v>0</v>
      </c>
      <c r="N619" s="149">
        <f t="shared" si="225"/>
        <v>5760.9095884408171</v>
      </c>
      <c r="O619" s="149">
        <f t="shared" si="225"/>
        <v>2288.9188811631361</v>
      </c>
      <c r="P619" s="149">
        <f t="shared" si="225"/>
        <v>0.73132909303466487</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249</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927</v>
      </c>
      <c r="G621" t="s">
        <v>208</v>
      </c>
      <c r="J621" s="150">
        <f>J153</f>
        <v>0</v>
      </c>
      <c r="K621" s="150">
        <f t="shared" ref="K621:Y621" si="226">K153</f>
        <v>0</v>
      </c>
      <c r="L621" s="150">
        <f t="shared" si="226"/>
        <v>653.24645200183147</v>
      </c>
      <c r="M621" s="150">
        <f t="shared" si="226"/>
        <v>0</v>
      </c>
      <c r="N621" s="150">
        <f t="shared" si="226"/>
        <v>93.992366960969548</v>
      </c>
      <c r="O621" s="150">
        <f t="shared" si="226"/>
        <v>0</v>
      </c>
      <c r="P621" s="150">
        <f t="shared" si="226"/>
        <v>0</v>
      </c>
      <c r="Q621" s="150">
        <f t="shared" si="226"/>
        <v>0</v>
      </c>
      <c r="R621" s="150">
        <f t="shared" si="226"/>
        <v>4555.8514617856754</v>
      </c>
      <c r="S621" s="150">
        <f t="shared" si="226"/>
        <v>0</v>
      </c>
      <c r="T621" s="150">
        <f t="shared" si="226"/>
        <v>198.68381871026503</v>
      </c>
      <c r="U621" s="150">
        <f t="shared" si="226"/>
        <v>0</v>
      </c>
      <c r="V621" s="150">
        <f t="shared" si="226"/>
        <v>0</v>
      </c>
      <c r="W621" s="150">
        <f t="shared" si="226"/>
        <v>0</v>
      </c>
      <c r="X621" s="150">
        <f t="shared" si="226"/>
        <v>0</v>
      </c>
      <c r="Y621" s="150">
        <f t="shared" si="226"/>
        <v>0</v>
      </c>
      <c r="AQ621" s="3"/>
    </row>
    <row r="622" spans="4:43" x14ac:dyDescent="0.25">
      <c r="E622" s="129"/>
      <c r="F622" s="2" t="s">
        <v>928</v>
      </c>
      <c r="G622" t="s">
        <v>208</v>
      </c>
      <c r="J622" s="148">
        <f>J162</f>
        <v>83250.91527779217</v>
      </c>
      <c r="K622" s="148">
        <f t="shared" ref="K622:Y622" si="227">K162</f>
        <v>0</v>
      </c>
      <c r="L622" s="148">
        <f t="shared" si="227"/>
        <v>1901.0212966281558</v>
      </c>
      <c r="M622" s="148">
        <f t="shared" si="227"/>
        <v>0</v>
      </c>
      <c r="N622" s="148">
        <f t="shared" si="227"/>
        <v>3483.359170686716</v>
      </c>
      <c r="O622" s="148">
        <f t="shared" si="227"/>
        <v>0</v>
      </c>
      <c r="P622" s="148">
        <f t="shared" si="227"/>
        <v>166.55630998747046</v>
      </c>
      <c r="Q622" s="148">
        <f t="shared" si="227"/>
        <v>150.1520020333262</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929</v>
      </c>
      <c r="G623" t="s">
        <v>208</v>
      </c>
      <c r="J623" s="148">
        <f>J171</f>
        <v>0</v>
      </c>
      <c r="K623" s="148">
        <f t="shared" ref="K623:Y623" si="228">K171</f>
        <v>0</v>
      </c>
      <c r="L623" s="148">
        <f t="shared" si="228"/>
        <v>1970.8267774722444</v>
      </c>
      <c r="M623" s="148">
        <f t="shared" si="228"/>
        <v>0</v>
      </c>
      <c r="N623" s="148">
        <f t="shared" si="228"/>
        <v>8702.9493116590893</v>
      </c>
      <c r="O623" s="148">
        <f t="shared" si="228"/>
        <v>5.4076114840573819</v>
      </c>
      <c r="P623" s="148">
        <f t="shared" si="228"/>
        <v>1781.3035416643515</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931</v>
      </c>
      <c r="G624" t="s">
        <v>208</v>
      </c>
      <c r="J624" s="149">
        <f>J180</f>
        <v>0</v>
      </c>
      <c r="K624" s="149">
        <f t="shared" ref="K624:Y624" si="229">K180</f>
        <v>0</v>
      </c>
      <c r="L624" s="149">
        <f t="shared" si="229"/>
        <v>1794.493530306318</v>
      </c>
      <c r="M624" s="149">
        <f t="shared" si="229"/>
        <v>0</v>
      </c>
      <c r="N624" s="149">
        <f t="shared" si="229"/>
        <v>6365.3850643034702</v>
      </c>
      <c r="O624" s="149">
        <f t="shared" si="229"/>
        <v>295.8439627411588</v>
      </c>
      <c r="P624" s="149">
        <f t="shared" si="229"/>
        <v>4793.6805561843385</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930</v>
      </c>
      <c r="G625" t="s">
        <v>208</v>
      </c>
      <c r="J625" s="149">
        <f>J189</f>
        <v>0</v>
      </c>
      <c r="K625" s="149">
        <f t="shared" ref="K625:Y625" si="230">K189</f>
        <v>0</v>
      </c>
      <c r="L625" s="149">
        <f t="shared" si="230"/>
        <v>4377.9946186267316</v>
      </c>
      <c r="M625" s="149">
        <f t="shared" si="230"/>
        <v>0</v>
      </c>
      <c r="N625" s="149">
        <f t="shared" si="230"/>
        <v>38596.969333671732</v>
      </c>
      <c r="O625" s="149">
        <f t="shared" si="230"/>
        <v>15542.229328048776</v>
      </c>
      <c r="P625" s="149">
        <f t="shared" si="230"/>
        <v>8.5644551414816128</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250</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927</v>
      </c>
      <c r="G627" t="s">
        <v>208</v>
      </c>
      <c r="J627" s="150">
        <f>J154</f>
        <v>0</v>
      </c>
      <c r="K627" s="150">
        <f t="shared" ref="K627:Y627" si="231">K154</f>
        <v>0</v>
      </c>
      <c r="L627" s="150">
        <f t="shared" si="231"/>
        <v>481.63037708283349</v>
      </c>
      <c r="M627" s="150">
        <f t="shared" si="231"/>
        <v>0</v>
      </c>
      <c r="N627" s="150">
        <f t="shared" si="231"/>
        <v>62.79135917895487</v>
      </c>
      <c r="O627" s="150">
        <f t="shared" si="231"/>
        <v>0</v>
      </c>
      <c r="P627" s="150">
        <f t="shared" si="231"/>
        <v>0</v>
      </c>
      <c r="Q627" s="150">
        <f t="shared" si="231"/>
        <v>0</v>
      </c>
      <c r="R627" s="150">
        <f t="shared" si="231"/>
        <v>1893.3826305946161</v>
      </c>
      <c r="S627" s="150">
        <f t="shared" si="231"/>
        <v>0</v>
      </c>
      <c r="T627" s="150">
        <f t="shared" si="231"/>
        <v>172.2190311826773</v>
      </c>
      <c r="U627" s="150">
        <f t="shared" si="231"/>
        <v>0</v>
      </c>
      <c r="V627" s="150">
        <f t="shared" si="231"/>
        <v>0</v>
      </c>
      <c r="W627" s="150">
        <f t="shared" si="231"/>
        <v>0</v>
      </c>
      <c r="X627" s="150">
        <f t="shared" si="231"/>
        <v>0</v>
      </c>
      <c r="Y627" s="150">
        <f t="shared" si="231"/>
        <v>0</v>
      </c>
      <c r="AQ627" s="3"/>
    </row>
    <row r="628" spans="5:43" x14ac:dyDescent="0.25">
      <c r="E628" s="129"/>
      <c r="F628" s="2" t="s">
        <v>928</v>
      </c>
      <c r="G628" t="s">
        <v>208</v>
      </c>
      <c r="J628" s="148">
        <f>J163</f>
        <v>89567.546196383468</v>
      </c>
      <c r="K628" s="148">
        <f t="shared" ref="K628:Y628" si="232">K163</f>
        <v>0</v>
      </c>
      <c r="L628" s="148">
        <f t="shared" si="232"/>
        <v>1409.8522684173629</v>
      </c>
      <c r="M628" s="148">
        <f t="shared" si="232"/>
        <v>0</v>
      </c>
      <c r="N628" s="148">
        <f t="shared" si="232"/>
        <v>2903.7375446647802</v>
      </c>
      <c r="O628" s="148">
        <f t="shared" si="232"/>
        <v>0</v>
      </c>
      <c r="P628" s="148">
        <f t="shared" si="232"/>
        <v>96.007810459098337</v>
      </c>
      <c r="Q628" s="148">
        <f t="shared" si="232"/>
        <v>552.57196150196364</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929</v>
      </c>
      <c r="G629" t="s">
        <v>208</v>
      </c>
      <c r="J629" s="148">
        <f>J172</f>
        <v>0</v>
      </c>
      <c r="K629" s="148">
        <f t="shared" ref="K629:Y629" si="233">K172</f>
        <v>0</v>
      </c>
      <c r="L629" s="148">
        <f t="shared" si="233"/>
        <v>1492.1571074392637</v>
      </c>
      <c r="M629" s="148">
        <f t="shared" si="233"/>
        <v>0</v>
      </c>
      <c r="N629" s="148">
        <f t="shared" si="233"/>
        <v>7784.0752282234153</v>
      </c>
      <c r="O629" s="148">
        <f t="shared" si="233"/>
        <v>7.3729827779716315</v>
      </c>
      <c r="P629" s="148">
        <f t="shared" si="233"/>
        <v>1453.741530529981</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931</v>
      </c>
      <c r="G630" t="s">
        <v>208</v>
      </c>
      <c r="J630" s="149">
        <f>J181</f>
        <v>0</v>
      </c>
      <c r="K630" s="149">
        <f t="shared" ref="K630:Y630" si="234">K181</f>
        <v>0</v>
      </c>
      <c r="L630" s="149">
        <f t="shared" si="234"/>
        <v>1367.7193567680827</v>
      </c>
      <c r="M630" s="149">
        <f t="shared" si="234"/>
        <v>0</v>
      </c>
      <c r="N630" s="149">
        <f t="shared" si="234"/>
        <v>5901.6457531921151</v>
      </c>
      <c r="O630" s="149">
        <f t="shared" si="234"/>
        <v>364.48874257329459</v>
      </c>
      <c r="P630" s="149">
        <f t="shared" si="234"/>
        <v>5684.4425387956808</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930</v>
      </c>
      <c r="G631" t="s">
        <v>208</v>
      </c>
      <c r="J631" s="149">
        <f>J190</f>
        <v>0</v>
      </c>
      <c r="K631" s="149">
        <f t="shared" ref="K631:Y631" si="235">K190</f>
        <v>0</v>
      </c>
      <c r="L631" s="149">
        <f t="shared" si="235"/>
        <v>3364.6279003146424</v>
      </c>
      <c r="M631" s="149">
        <f t="shared" si="235"/>
        <v>0</v>
      </c>
      <c r="N631" s="149">
        <f t="shared" si="235"/>
        <v>35831.326004892202</v>
      </c>
      <c r="O631" s="149">
        <f t="shared" si="235"/>
        <v>11599.322989608727</v>
      </c>
      <c r="P631" s="149">
        <f t="shared" si="235"/>
        <v>16.782925492097885</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213</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927</v>
      </c>
      <c r="G633" t="s">
        <v>213</v>
      </c>
      <c r="J633" s="150">
        <f>J155</f>
        <v>0</v>
      </c>
      <c r="K633" s="150">
        <f t="shared" ref="K633:Y633" si="236">K155</f>
        <v>0</v>
      </c>
      <c r="L633" s="150">
        <f t="shared" si="236"/>
        <v>160.62756867175628</v>
      </c>
      <c r="M633" s="150">
        <f t="shared" si="236"/>
        <v>0</v>
      </c>
      <c r="N633" s="150">
        <f t="shared" si="236"/>
        <v>3.855061648122152</v>
      </c>
      <c r="O633" s="150">
        <f t="shared" si="236"/>
        <v>0</v>
      </c>
      <c r="P633" s="150">
        <f t="shared" si="236"/>
        <v>0</v>
      </c>
      <c r="Q633" s="150">
        <f t="shared" si="236"/>
        <v>0</v>
      </c>
      <c r="R633" s="150">
        <f t="shared" si="236"/>
        <v>0</v>
      </c>
      <c r="S633" s="150">
        <f t="shared" si="236"/>
        <v>0</v>
      </c>
      <c r="T633" s="150">
        <f t="shared" si="236"/>
        <v>8.9951438456183546</v>
      </c>
      <c r="U633" s="150">
        <f t="shared" si="236"/>
        <v>0</v>
      </c>
      <c r="V633" s="150">
        <f t="shared" si="236"/>
        <v>0</v>
      </c>
      <c r="W633" s="150">
        <f t="shared" si="236"/>
        <v>0</v>
      </c>
      <c r="X633" s="150">
        <f t="shared" si="236"/>
        <v>0</v>
      </c>
      <c r="Y633" s="150">
        <f t="shared" si="236"/>
        <v>0</v>
      </c>
      <c r="AQ633" s="3"/>
    </row>
    <row r="634" spans="5:43" x14ac:dyDescent="0.25">
      <c r="E634" s="129"/>
      <c r="F634" s="2" t="s">
        <v>928</v>
      </c>
      <c r="G634" t="s">
        <v>213</v>
      </c>
      <c r="J634" s="148">
        <f>J164</f>
        <v>69257.467529063841</v>
      </c>
      <c r="K634" s="148">
        <f t="shared" ref="K634:Y634" si="237">K164</f>
        <v>0</v>
      </c>
      <c r="L634" s="148">
        <f t="shared" si="237"/>
        <v>619.37990479829216</v>
      </c>
      <c r="M634" s="148">
        <f t="shared" si="237"/>
        <v>0</v>
      </c>
      <c r="N634" s="148">
        <f t="shared" si="237"/>
        <v>75.816212413068953</v>
      </c>
      <c r="O634" s="148">
        <f t="shared" si="237"/>
        <v>0</v>
      </c>
      <c r="P634" s="148">
        <f t="shared" si="237"/>
        <v>1.2850205493740503</v>
      </c>
      <c r="Q634" s="148">
        <f t="shared" si="237"/>
        <v>221.02353449233675</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929</v>
      </c>
      <c r="G635" t="s">
        <v>213</v>
      </c>
      <c r="J635" s="148">
        <f>J173</f>
        <v>0</v>
      </c>
      <c r="K635" s="148">
        <f t="shared" ref="K635:Y635" si="238">K173</f>
        <v>0</v>
      </c>
      <c r="L635" s="148">
        <f t="shared" si="238"/>
        <v>424.05678129343676</v>
      </c>
      <c r="M635" s="148">
        <f t="shared" si="238"/>
        <v>0</v>
      </c>
      <c r="N635" s="148">
        <f t="shared" si="238"/>
        <v>161.91258922113036</v>
      </c>
      <c r="O635" s="148">
        <f t="shared" si="238"/>
        <v>1.2850205493740503</v>
      </c>
      <c r="P635" s="148">
        <f t="shared" si="238"/>
        <v>3.855061648122152</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931</v>
      </c>
      <c r="G636" t="s">
        <v>213</v>
      </c>
      <c r="J636" s="149">
        <f>J182</f>
        <v>0</v>
      </c>
      <c r="K636" s="149">
        <f t="shared" ref="K636:Y636" si="239">K182</f>
        <v>0</v>
      </c>
      <c r="L636" s="149">
        <f t="shared" si="239"/>
        <v>276.27941811542075</v>
      </c>
      <c r="M636" s="149">
        <f t="shared" si="239"/>
        <v>0</v>
      </c>
      <c r="N636" s="149">
        <f t="shared" si="239"/>
        <v>80.95629461056518</v>
      </c>
      <c r="O636" s="149">
        <f t="shared" si="239"/>
        <v>1.2850205493740503</v>
      </c>
      <c r="P636" s="149">
        <f t="shared" si="239"/>
        <v>3.855061648122152</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930</v>
      </c>
      <c r="G637" t="s">
        <v>213</v>
      </c>
      <c r="J637" s="149">
        <f>J191</f>
        <v>0</v>
      </c>
      <c r="K637" s="149">
        <f t="shared" ref="K637:Y637" si="240">K191</f>
        <v>0</v>
      </c>
      <c r="L637" s="149">
        <f t="shared" si="240"/>
        <v>215.88345229484048</v>
      </c>
      <c r="M637" s="149">
        <f t="shared" si="240"/>
        <v>0</v>
      </c>
      <c r="N637" s="149">
        <f t="shared" si="240"/>
        <v>185.04295910986326</v>
      </c>
      <c r="O637" s="149">
        <f t="shared" si="240"/>
        <v>37.265595931847471</v>
      </c>
      <c r="P637" s="149">
        <f t="shared" si="240"/>
        <v>5.1400821974962012</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251</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927</v>
      </c>
      <c r="G639" t="s">
        <v>252</v>
      </c>
      <c r="J639" s="150">
        <f>J156</f>
        <v>0</v>
      </c>
      <c r="K639" s="150">
        <f t="shared" ref="K639:Y639" si="241">K156</f>
        <v>0</v>
      </c>
      <c r="L639" s="150">
        <f t="shared" si="241"/>
        <v>0</v>
      </c>
      <c r="M639" s="150">
        <f t="shared" si="241"/>
        <v>0</v>
      </c>
      <c r="N639" s="150">
        <f t="shared" si="241"/>
        <v>771.01232962443009</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928</v>
      </c>
      <c r="G640" t="s">
        <v>252</v>
      </c>
      <c r="J640" s="148">
        <f>J165</f>
        <v>0</v>
      </c>
      <c r="K640" s="148">
        <f t="shared" ref="K640:Y640" si="242">K165</f>
        <v>0</v>
      </c>
      <c r="L640" s="148">
        <f t="shared" si="242"/>
        <v>0</v>
      </c>
      <c r="M640" s="148">
        <f t="shared" si="242"/>
        <v>0</v>
      </c>
      <c r="N640" s="148">
        <f t="shared" si="242"/>
        <v>4433.3208953404746</v>
      </c>
      <c r="O640" s="148">
        <f t="shared" si="242"/>
        <v>0</v>
      </c>
      <c r="P640" s="148">
        <f t="shared" si="242"/>
        <v>514.00821974962003</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929</v>
      </c>
      <c r="G641" t="s">
        <v>252</v>
      </c>
      <c r="J641" s="148">
        <f>J174</f>
        <v>0</v>
      </c>
      <c r="K641" s="148">
        <f t="shared" ref="K641:Y641" si="243">K174</f>
        <v>0</v>
      </c>
      <c r="L641" s="148">
        <f t="shared" si="243"/>
        <v>0</v>
      </c>
      <c r="M641" s="148">
        <f t="shared" si="243"/>
        <v>0</v>
      </c>
      <c r="N641" s="148">
        <f t="shared" si="243"/>
        <v>19281.733343357624</v>
      </c>
      <c r="O641" s="148">
        <f t="shared" si="243"/>
        <v>178.61785636299294</v>
      </c>
      <c r="P641" s="148">
        <f t="shared" si="243"/>
        <v>3084.0493184977204</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931</v>
      </c>
      <c r="G642" t="s">
        <v>252</v>
      </c>
      <c r="J642" s="149">
        <f>J183</f>
        <v>0</v>
      </c>
      <c r="K642" s="149">
        <f t="shared" ref="K642:Y642" si="244">K183</f>
        <v>0</v>
      </c>
      <c r="L642" s="149">
        <f t="shared" si="244"/>
        <v>0</v>
      </c>
      <c r="M642" s="149">
        <f t="shared" si="244"/>
        <v>0</v>
      </c>
      <c r="N642" s="149">
        <f t="shared" si="244"/>
        <v>15386.836058204879</v>
      </c>
      <c r="O642" s="149">
        <f t="shared" si="244"/>
        <v>263.42921262168034</v>
      </c>
      <c r="P642" s="149">
        <f t="shared" si="244"/>
        <v>5140.0821974962009</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930</v>
      </c>
      <c r="G643" t="s">
        <v>252</v>
      </c>
      <c r="J643" s="149">
        <f>J192</f>
        <v>0</v>
      </c>
      <c r="K643" s="149">
        <f t="shared" ref="K643:Y643" si="245">K192</f>
        <v>0</v>
      </c>
      <c r="L643" s="149">
        <f t="shared" si="245"/>
        <v>0</v>
      </c>
      <c r="M643" s="149">
        <f t="shared" si="245"/>
        <v>0</v>
      </c>
      <c r="N643" s="149">
        <f t="shared" si="245"/>
        <v>124401.55436435241</v>
      </c>
      <c r="O643" s="149">
        <f t="shared" si="245"/>
        <v>32670.362447285857</v>
      </c>
      <c r="P643" s="149">
        <f t="shared" si="245"/>
        <v>15227.493510082499</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253</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927</v>
      </c>
      <c r="G645" t="s">
        <v>252</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928</v>
      </c>
      <c r="G646" t="s">
        <v>252</v>
      </c>
      <c r="J646" s="148">
        <f>J166</f>
        <v>0</v>
      </c>
      <c r="K646" s="148">
        <f t="shared" ref="K646:Y646" si="247">K166</f>
        <v>0</v>
      </c>
      <c r="L646" s="148">
        <f t="shared" si="247"/>
        <v>0</v>
      </c>
      <c r="M646" s="148">
        <f t="shared" si="247"/>
        <v>0</v>
      </c>
      <c r="N646" s="148">
        <f t="shared" si="247"/>
        <v>118.50988828457238</v>
      </c>
      <c r="O646" s="148">
        <f t="shared" si="247"/>
        <v>0</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929</v>
      </c>
      <c r="G647" t="s">
        <v>252</v>
      </c>
      <c r="J647" s="148">
        <f>J175</f>
        <v>0</v>
      </c>
      <c r="K647" s="148">
        <f t="shared" ref="K647:Y647" si="248">K175</f>
        <v>0</v>
      </c>
      <c r="L647" s="148">
        <f t="shared" si="248"/>
        <v>0</v>
      </c>
      <c r="M647" s="148">
        <f t="shared" si="248"/>
        <v>0</v>
      </c>
      <c r="N647" s="148">
        <f t="shared" si="248"/>
        <v>266.02412611386438</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931</v>
      </c>
      <c r="G648" t="s">
        <v>252</v>
      </c>
      <c r="J648" s="149">
        <f>J184</f>
        <v>0</v>
      </c>
      <c r="K648" s="149">
        <f t="shared" ref="K648:Y648" si="249">K184</f>
        <v>0</v>
      </c>
      <c r="L648" s="149">
        <f t="shared" si="249"/>
        <v>0</v>
      </c>
      <c r="M648" s="149">
        <f t="shared" si="249"/>
        <v>0</v>
      </c>
      <c r="N648" s="149">
        <f t="shared" si="249"/>
        <v>36.165026071836628</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930</v>
      </c>
      <c r="G649" t="s">
        <v>252</v>
      </c>
      <c r="J649" s="149">
        <f>J193</f>
        <v>0</v>
      </c>
      <c r="K649" s="149">
        <f t="shared" ref="K649:Y649" si="250">K193</f>
        <v>0</v>
      </c>
      <c r="L649" s="149">
        <f t="shared" si="250"/>
        <v>0</v>
      </c>
      <c r="M649" s="149">
        <f t="shared" si="250"/>
        <v>0</v>
      </c>
      <c r="N649" s="149">
        <f t="shared" si="250"/>
        <v>151.1559036280355</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254</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927</v>
      </c>
      <c r="G651" t="s">
        <v>255</v>
      </c>
      <c r="J651" s="150">
        <f>J158</f>
        <v>0</v>
      </c>
      <c r="K651" s="150">
        <f t="shared" ref="K651:Y651" si="251">K158</f>
        <v>0</v>
      </c>
      <c r="L651" s="150">
        <f t="shared" si="251"/>
        <v>0</v>
      </c>
      <c r="M651" s="150">
        <f t="shared" si="251"/>
        <v>0</v>
      </c>
      <c r="N651" s="150">
        <f t="shared" si="251"/>
        <v>0.86849550433873268</v>
      </c>
      <c r="O651" s="150">
        <f t="shared" si="251"/>
        <v>0</v>
      </c>
      <c r="P651" s="150">
        <f t="shared" si="251"/>
        <v>0</v>
      </c>
      <c r="Q651" s="150">
        <f t="shared" si="251"/>
        <v>0</v>
      </c>
      <c r="R651" s="150">
        <f t="shared" si="251"/>
        <v>0</v>
      </c>
      <c r="S651" s="150">
        <f t="shared" si="251"/>
        <v>0</v>
      </c>
      <c r="T651" s="150">
        <f t="shared" si="251"/>
        <v>73.562570455005527</v>
      </c>
      <c r="U651" s="150">
        <f t="shared" si="251"/>
        <v>0</v>
      </c>
      <c r="V651" s="150">
        <f t="shared" si="251"/>
        <v>0</v>
      </c>
      <c r="W651" s="150">
        <f t="shared" si="251"/>
        <v>0</v>
      </c>
      <c r="X651" s="150">
        <f t="shared" si="251"/>
        <v>0</v>
      </c>
      <c r="Y651" s="150">
        <f t="shared" si="251"/>
        <v>0</v>
      </c>
      <c r="AQ651" s="3"/>
    </row>
    <row r="652" spans="5:43" x14ac:dyDescent="0.25">
      <c r="E652" s="129"/>
      <c r="F652" s="2" t="s">
        <v>928</v>
      </c>
      <c r="G652" t="s">
        <v>255</v>
      </c>
      <c r="J652" s="148">
        <f>J167</f>
        <v>0</v>
      </c>
      <c r="K652" s="148">
        <f t="shared" ref="K652:Y652" si="252">K167</f>
        <v>0</v>
      </c>
      <c r="L652" s="148">
        <f t="shared" si="252"/>
        <v>0</v>
      </c>
      <c r="M652" s="148">
        <f t="shared" si="252"/>
        <v>0</v>
      </c>
      <c r="N652" s="148">
        <f t="shared" si="252"/>
        <v>376.24068549320873</v>
      </c>
      <c r="O652" s="148">
        <f t="shared" si="252"/>
        <v>0</v>
      </c>
      <c r="P652" s="148">
        <f t="shared" si="252"/>
        <v>64.975262718999474</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929</v>
      </c>
      <c r="G653" t="s">
        <v>255</v>
      </c>
      <c r="J653" s="148">
        <f>J176</f>
        <v>0</v>
      </c>
      <c r="K653" s="148">
        <f t="shared" ref="K653:Y653" si="253">K176</f>
        <v>0</v>
      </c>
      <c r="L653" s="148">
        <f t="shared" si="253"/>
        <v>0</v>
      </c>
      <c r="M653" s="148">
        <f t="shared" si="253"/>
        <v>0</v>
      </c>
      <c r="N653" s="148">
        <f t="shared" si="253"/>
        <v>1699.0366761264336</v>
      </c>
      <c r="O653" s="148">
        <f t="shared" si="253"/>
        <v>0</v>
      </c>
      <c r="P653" s="148">
        <f t="shared" si="253"/>
        <v>3.2211396759161994</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931</v>
      </c>
      <c r="G654" t="s">
        <v>255</v>
      </c>
      <c r="J654" s="149">
        <f>J185</f>
        <v>0</v>
      </c>
      <c r="K654" s="149">
        <f t="shared" ref="K654:Y654" si="254">K185</f>
        <v>0</v>
      </c>
      <c r="L654" s="149">
        <f t="shared" si="254"/>
        <v>0</v>
      </c>
      <c r="M654" s="149">
        <f t="shared" si="254"/>
        <v>0</v>
      </c>
      <c r="N654" s="149">
        <f t="shared" si="254"/>
        <v>941.16471442770035</v>
      </c>
      <c r="O654" s="149">
        <f t="shared" si="254"/>
        <v>1.126330782834281</v>
      </c>
      <c r="P654" s="149">
        <f t="shared" si="254"/>
        <v>317.24923875012496</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930</v>
      </c>
      <c r="G655" s="96" t="s">
        <v>255</v>
      </c>
      <c r="H655" s="96"/>
      <c r="I655" s="96"/>
      <c r="J655" s="148">
        <f>J194</f>
        <v>0</v>
      </c>
      <c r="K655" s="148">
        <f t="shared" ref="K655:Y655" si="255">K194</f>
        <v>0</v>
      </c>
      <c r="L655" s="148">
        <f t="shared" si="255"/>
        <v>0</v>
      </c>
      <c r="M655" s="148">
        <f t="shared" si="255"/>
        <v>0</v>
      </c>
      <c r="N655" s="148">
        <f t="shared" si="255"/>
        <v>6762.2226311799368</v>
      </c>
      <c r="O655" s="148">
        <f t="shared" si="255"/>
        <v>759.48966979241914</v>
      </c>
      <c r="P655" s="148">
        <f t="shared" si="255"/>
        <v>6.1482657692558957</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control'!$H$42:$H$65,MATCH($A$1,'Version control'!$F$42:$F$65,0),1)&amp;"-K: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1058</v>
      </c>
      <c r="I659" t="s">
        <v>155</v>
      </c>
      <c r="AA659" t="s">
        <v>1087</v>
      </c>
      <c r="AQ659" s="3"/>
    </row>
    <row r="660" spans="3:43" x14ac:dyDescent="0.25">
      <c r="D660" s="86" t="s">
        <v>1059</v>
      </c>
      <c r="AQ660" s="3"/>
    </row>
    <row r="661" spans="3:43" x14ac:dyDescent="0.25">
      <c r="D661" s="86" t="s">
        <v>1060</v>
      </c>
      <c r="AQ661" s="3"/>
    </row>
    <row r="662" spans="3:43" x14ac:dyDescent="0.25">
      <c r="D662" s="86" t="s">
        <v>1061</v>
      </c>
      <c r="AQ662" s="3"/>
    </row>
    <row r="663" spans="3:43" x14ac:dyDescent="0.25">
      <c r="AQ663" s="3"/>
    </row>
    <row r="664" spans="3:43" x14ac:dyDescent="0.25">
      <c r="E664" s="75" t="s">
        <v>936</v>
      </c>
      <c r="J664" s="203" t="s">
        <v>927</v>
      </c>
      <c r="K664" s="203" t="s">
        <v>932</v>
      </c>
      <c r="L664" s="203" t="s">
        <v>933</v>
      </c>
      <c r="M664" s="203" t="s">
        <v>934</v>
      </c>
      <c r="N664" s="203" t="s">
        <v>935</v>
      </c>
      <c r="AQ664" s="3"/>
    </row>
    <row r="665" spans="3:43" x14ac:dyDescent="0.25">
      <c r="E665" s="75"/>
      <c r="F665" s="95" t="s">
        <v>248</v>
      </c>
      <c r="G665" s="95" t="s">
        <v>168</v>
      </c>
      <c r="H665" s="95"/>
      <c r="I665" s="95"/>
      <c r="J665" s="204">
        <f>'Inputs by customer type'!J169</f>
        <v>4.6301497770747518E-4</v>
      </c>
      <c r="K665" s="204">
        <f>'Inputs by customer type'!K169</f>
        <v>8.0319454957287456E-2</v>
      </c>
      <c r="L665" s="204">
        <f>'Inputs by customer type'!L169</f>
        <v>0.23693317233944891</v>
      </c>
      <c r="M665" s="204">
        <f>'Inputs by customer type'!M169</f>
        <v>0.19343009664294092</v>
      </c>
      <c r="N665" s="204">
        <f>'Inputs by customer type'!N169</f>
        <v>0.48885426108261526</v>
      </c>
      <c r="AQ665" s="3"/>
    </row>
    <row r="666" spans="3:43" x14ac:dyDescent="0.25">
      <c r="E666" s="75"/>
      <c r="F666" t="s">
        <v>249</v>
      </c>
      <c r="G666" t="s">
        <v>168</v>
      </c>
      <c r="J666" s="205">
        <f>'Inputs by customer type'!J170</f>
        <v>4.5505953755080135E-4</v>
      </c>
      <c r="K666" s="205">
        <f>'Inputs by customer type'!K170</f>
        <v>8.032009422989754E-2</v>
      </c>
      <c r="L666" s="205">
        <f>'Inputs by customer type'!L170</f>
        <v>0.23693505812026744</v>
      </c>
      <c r="M666" s="205">
        <f>'Inputs by customer type'!M170</f>
        <v>0.19343163617732678</v>
      </c>
      <c r="N666" s="205">
        <f>'Inputs by customer type'!N170</f>
        <v>0.48885815193495752</v>
      </c>
      <c r="AQ666" s="3"/>
    </row>
    <row r="667" spans="3:43" x14ac:dyDescent="0.25">
      <c r="E667" s="75"/>
      <c r="F667" s="96" t="s">
        <v>250</v>
      </c>
      <c r="G667" s="96" t="s">
        <v>168</v>
      </c>
      <c r="H667" s="96"/>
      <c r="I667" s="96"/>
      <c r="J667" s="206">
        <f>'Inputs by customer type'!J171</f>
        <v>5.6588158155569462E-4</v>
      </c>
      <c r="K667" s="206">
        <f>'Inputs by customer type'!K171</f>
        <v>8.0311188940443437E-2</v>
      </c>
      <c r="L667" s="206">
        <f>'Inputs by customer type'!L171</f>
        <v>0.23690878853860642</v>
      </c>
      <c r="M667" s="206">
        <f>'Inputs by customer type'!M171</f>
        <v>0.19341018992871037</v>
      </c>
      <c r="N667" s="206">
        <f>'Inputs by customer type'!N171</f>
        <v>0.48880395101068402</v>
      </c>
      <c r="AQ667" s="3"/>
    </row>
    <row r="668" spans="3:43" x14ac:dyDescent="0.25">
      <c r="E668" s="75"/>
      <c r="AQ668" s="3"/>
    </row>
    <row r="669" spans="3:43" x14ac:dyDescent="0.25">
      <c r="E669" s="75" t="s">
        <v>937</v>
      </c>
      <c r="J669" s="203" t="s">
        <v>927</v>
      </c>
      <c r="K669" s="203" t="s">
        <v>932</v>
      </c>
      <c r="L669" s="203" t="s">
        <v>933</v>
      </c>
      <c r="M669" s="203" t="s">
        <v>934</v>
      </c>
      <c r="N669" s="203" t="s">
        <v>935</v>
      </c>
      <c r="AQ669" s="3"/>
    </row>
    <row r="670" spans="3:43" x14ac:dyDescent="0.25">
      <c r="E670" s="75"/>
      <c r="F670" s="95" t="s">
        <v>248</v>
      </c>
      <c r="G670" s="95" t="s">
        <v>168</v>
      </c>
      <c r="H670" s="95"/>
      <c r="I670" s="95"/>
      <c r="J670" s="204">
        <f>'Inputs by customer type'!J174</f>
        <v>4.6301497770747518E-4</v>
      </c>
      <c r="K670" s="204">
        <f>'Inputs by customer type'!K174</f>
        <v>8.0319454957287456E-2</v>
      </c>
      <c r="L670" s="204">
        <f>'Inputs by customer type'!L174</f>
        <v>0.23693317233944891</v>
      </c>
      <c r="M670" s="204">
        <f>'Inputs by customer type'!M174</f>
        <v>0.19343009664294092</v>
      </c>
      <c r="N670" s="204">
        <f>'Inputs by customer type'!N174</f>
        <v>0.48885426108261526</v>
      </c>
      <c r="AQ670" s="3"/>
    </row>
    <row r="671" spans="3:43" x14ac:dyDescent="0.25">
      <c r="E671" s="75"/>
      <c r="F671" t="s">
        <v>249</v>
      </c>
      <c r="G671" t="s">
        <v>168</v>
      </c>
      <c r="J671" s="205">
        <f>'Inputs by customer type'!J175</f>
        <v>4.5505953755080135E-4</v>
      </c>
      <c r="K671" s="205">
        <f>'Inputs by customer type'!K175</f>
        <v>8.032009422989754E-2</v>
      </c>
      <c r="L671" s="205">
        <f>'Inputs by customer type'!L175</f>
        <v>0.23693505812026744</v>
      </c>
      <c r="M671" s="205">
        <f>'Inputs by customer type'!M175</f>
        <v>0.19343163617732678</v>
      </c>
      <c r="N671" s="205">
        <f>'Inputs by customer type'!N175</f>
        <v>0.48885815193495752</v>
      </c>
      <c r="AQ671" s="3"/>
    </row>
    <row r="672" spans="3:43" x14ac:dyDescent="0.25">
      <c r="E672" s="75"/>
      <c r="F672" s="96" t="s">
        <v>250</v>
      </c>
      <c r="G672" s="96" t="s">
        <v>168</v>
      </c>
      <c r="H672" s="96"/>
      <c r="I672" s="96"/>
      <c r="J672" s="206">
        <f>'Inputs by customer type'!J176</f>
        <v>5.6588158155569462E-4</v>
      </c>
      <c r="K672" s="206">
        <f>'Inputs by customer type'!K176</f>
        <v>8.0311188940443437E-2</v>
      </c>
      <c r="L672" s="206">
        <f>'Inputs by customer type'!L176</f>
        <v>0.23690878853860642</v>
      </c>
      <c r="M672" s="206">
        <f>'Inputs by customer type'!M176</f>
        <v>0.19341018992871037</v>
      </c>
      <c r="N672" s="206">
        <f>'Inputs by customer type'!N176</f>
        <v>0.48880395101068402</v>
      </c>
      <c r="AQ672" s="3"/>
    </row>
    <row r="673" spans="5:43" x14ac:dyDescent="0.25">
      <c r="E673" s="75"/>
      <c r="AQ673" s="3"/>
    </row>
    <row r="674" spans="5:43" x14ac:dyDescent="0.25">
      <c r="E674" s="75" t="s">
        <v>938</v>
      </c>
      <c r="J674" s="203" t="s">
        <v>927</v>
      </c>
      <c r="K674" s="203" t="s">
        <v>932</v>
      </c>
      <c r="L674" s="203" t="s">
        <v>933</v>
      </c>
      <c r="M674" s="203" t="s">
        <v>934</v>
      </c>
      <c r="N674" s="203" t="s">
        <v>935</v>
      </c>
      <c r="AQ674" s="3"/>
    </row>
    <row r="675" spans="5:43" x14ac:dyDescent="0.25">
      <c r="F675" s="95" t="s">
        <v>248</v>
      </c>
      <c r="G675" s="95" t="s">
        <v>168</v>
      </c>
      <c r="H675" s="95"/>
      <c r="I675" s="95"/>
      <c r="J675" s="204">
        <f>'Inputs by customer type'!J179</f>
        <v>4.6301497770747518E-4</v>
      </c>
      <c r="K675" s="204">
        <f>'Inputs by customer type'!K179</f>
        <v>8.0319454957287456E-2</v>
      </c>
      <c r="L675" s="204">
        <f>'Inputs by customer type'!L179</f>
        <v>0.23693317233944891</v>
      </c>
      <c r="M675" s="204">
        <f>'Inputs by customer type'!M179</f>
        <v>0.19343009664294092</v>
      </c>
      <c r="N675" s="204">
        <f>'Inputs by customer type'!N179</f>
        <v>0.48885426108261526</v>
      </c>
      <c r="AQ675" s="3"/>
    </row>
    <row r="676" spans="5:43" x14ac:dyDescent="0.25">
      <c r="F676" t="s">
        <v>249</v>
      </c>
      <c r="G676" t="s">
        <v>168</v>
      </c>
      <c r="J676" s="205">
        <f>'Inputs by customer type'!J180</f>
        <v>4.5505953755080135E-4</v>
      </c>
      <c r="K676" s="205">
        <f>'Inputs by customer type'!K180</f>
        <v>8.032009422989754E-2</v>
      </c>
      <c r="L676" s="205">
        <f>'Inputs by customer type'!L180</f>
        <v>0.23693505812026744</v>
      </c>
      <c r="M676" s="205">
        <f>'Inputs by customer type'!M180</f>
        <v>0.19343163617732678</v>
      </c>
      <c r="N676" s="205">
        <f>'Inputs by customer type'!N180</f>
        <v>0.48885815193495752</v>
      </c>
      <c r="AQ676" s="3"/>
    </row>
    <row r="677" spans="5:43" x14ac:dyDescent="0.25">
      <c r="F677" s="96" t="s">
        <v>250</v>
      </c>
      <c r="G677" s="96" t="s">
        <v>168</v>
      </c>
      <c r="H677" s="96"/>
      <c r="I677" s="96"/>
      <c r="J677" s="206">
        <f>'Inputs by customer type'!J181</f>
        <v>5.6588158155569462E-4</v>
      </c>
      <c r="K677" s="206">
        <f>'Inputs by customer type'!K181</f>
        <v>8.0311188940443437E-2</v>
      </c>
      <c r="L677" s="206">
        <f>'Inputs by customer type'!L181</f>
        <v>0.23690878853860642</v>
      </c>
      <c r="M677" s="206">
        <f>'Inputs by customer type'!M181</f>
        <v>0.19341018992871037</v>
      </c>
      <c r="N677" s="206">
        <f>'Inputs by customer type'!N181</f>
        <v>0.48880395101068402</v>
      </c>
      <c r="AQ677" s="3"/>
    </row>
    <row r="678" spans="5:43" x14ac:dyDescent="0.25">
      <c r="AQ678" s="3"/>
    </row>
    <row r="679" spans="5:43" x14ac:dyDescent="0.25">
      <c r="E679" s="75" t="s">
        <v>940</v>
      </c>
      <c r="J679" s="203" t="s">
        <v>927</v>
      </c>
      <c r="K679" s="203" t="s">
        <v>932</v>
      </c>
      <c r="L679" s="203" t="s">
        <v>933</v>
      </c>
      <c r="M679" s="203" t="s">
        <v>934</v>
      </c>
      <c r="N679" s="203" t="s">
        <v>935</v>
      </c>
      <c r="AQ679" s="3"/>
    </row>
    <row r="680" spans="5:43" x14ac:dyDescent="0.25">
      <c r="F680" s="95" t="s">
        <v>248</v>
      </c>
      <c r="G680" s="95" t="s">
        <v>208</v>
      </c>
      <c r="H680" s="95"/>
      <c r="I680" s="95"/>
      <c r="J680" s="207">
        <f t="shared" ref="J680:N682" si="256" xml:space="preserve"> $M58 * J665  + $M105 * J670 + $M152 * J675</f>
        <v>1.2040569518838695E-2</v>
      </c>
      <c r="K680" s="207">
        <f t="shared" si="256"/>
        <v>2.0886840117285463</v>
      </c>
      <c r="L680" s="207">
        <f t="shared" si="256"/>
        <v>6.161378076789731</v>
      </c>
      <c r="M680" s="207">
        <f t="shared" si="256"/>
        <v>5.030093275160624</v>
      </c>
      <c r="N680" s="207">
        <f t="shared" si="256"/>
        <v>12.712512550435195</v>
      </c>
      <c r="AQ680" s="3"/>
    </row>
    <row r="681" spans="5:43" x14ac:dyDescent="0.25">
      <c r="F681" t="s">
        <v>249</v>
      </c>
      <c r="G681" t="s">
        <v>208</v>
      </c>
      <c r="J681" s="208">
        <f t="shared" si="256"/>
        <v>0.72425806347427379</v>
      </c>
      <c r="K681" s="208">
        <f t="shared" si="256"/>
        <v>127.83486797817659</v>
      </c>
      <c r="L681" s="208">
        <f t="shared" si="256"/>
        <v>377.09818650750134</v>
      </c>
      <c r="M681" s="208">
        <f t="shared" si="256"/>
        <v>307.85954511899729</v>
      </c>
      <c r="N681" s="208">
        <f t="shared" si="256"/>
        <v>778.05084657630891</v>
      </c>
      <c r="AQ681" s="3"/>
    </row>
    <row r="682" spans="5:43" x14ac:dyDescent="0.25">
      <c r="F682" s="96" t="s">
        <v>250</v>
      </c>
      <c r="G682" s="96" t="s">
        <v>208</v>
      </c>
      <c r="H682" s="96"/>
      <c r="I682" s="96"/>
      <c r="J682" s="209">
        <f t="shared" si="256"/>
        <v>6.3753611009776501</v>
      </c>
      <c r="K682" s="209">
        <f t="shared" si="256"/>
        <v>904.80561063070525</v>
      </c>
      <c r="L682" s="209">
        <f t="shared" si="256"/>
        <v>2669.0726896897918</v>
      </c>
      <c r="M682" s="209">
        <f t="shared" si="256"/>
        <v>2179.006777379695</v>
      </c>
      <c r="N682" s="209">
        <f t="shared" si="256"/>
        <v>5506.9855546641256</v>
      </c>
      <c r="AQ682" s="3"/>
    </row>
    <row r="683" spans="5:43" x14ac:dyDescent="0.25">
      <c r="J683" s="106"/>
      <c r="K683" s="106"/>
      <c r="L683" s="106"/>
      <c r="M683" s="106"/>
      <c r="N683" s="106"/>
      <c r="AQ683" s="3"/>
    </row>
    <row r="684" spans="5:43" x14ac:dyDescent="0.25">
      <c r="J684" s="210" t="s">
        <v>927</v>
      </c>
      <c r="K684" s="210" t="s">
        <v>932</v>
      </c>
      <c r="L684" s="210" t="s">
        <v>933</v>
      </c>
      <c r="M684" s="210" t="s">
        <v>934</v>
      </c>
      <c r="N684" s="210" t="s">
        <v>935</v>
      </c>
      <c r="AQ684" s="3"/>
    </row>
    <row r="685" spans="5:43" x14ac:dyDescent="0.25">
      <c r="E685" s="109" t="s">
        <v>941</v>
      </c>
      <c r="G685" t="s">
        <v>208</v>
      </c>
      <c r="J685" s="106">
        <f>SUM(J680:J682)</f>
        <v>7.1116597339707628</v>
      </c>
      <c r="K685" s="106">
        <f>SUM(K680:K682)</f>
        <v>1034.7291626206104</v>
      </c>
      <c r="L685" s="106">
        <f t="shared" ref="L685:N685" si="257">SUM(L680:L682)</f>
        <v>3052.332254274083</v>
      </c>
      <c r="M685" s="106">
        <f t="shared" si="257"/>
        <v>2491.8964157738528</v>
      </c>
      <c r="N685" s="106">
        <f t="shared" si="257"/>
        <v>6297.7489137908697</v>
      </c>
      <c r="AQ685" s="3"/>
    </row>
    <row r="686" spans="5:43" x14ac:dyDescent="0.25">
      <c r="J686" s="106"/>
      <c r="K686" s="106"/>
      <c r="L686" s="106"/>
      <c r="M686" s="106"/>
      <c r="N686" s="106"/>
      <c r="AQ686" s="3"/>
    </row>
    <row r="687" spans="5:43" x14ac:dyDescent="0.25">
      <c r="E687" t="s">
        <v>985</v>
      </c>
      <c r="G687" t="s">
        <v>208</v>
      </c>
      <c r="H687" s="106">
        <f>SUM(J685:N685)</f>
        <v>12883.818406193386</v>
      </c>
      <c r="AQ687" s="3"/>
    </row>
    <row r="688" spans="5:43" x14ac:dyDescent="0.25">
      <c r="J688" s="210" t="s">
        <v>927</v>
      </c>
      <c r="K688" s="210" t="s">
        <v>932</v>
      </c>
      <c r="L688" s="210" t="s">
        <v>933</v>
      </c>
      <c r="M688" s="210" t="s">
        <v>934</v>
      </c>
      <c r="N688" s="210" t="s">
        <v>935</v>
      </c>
      <c r="AQ688" s="3"/>
    </row>
    <row r="689" spans="2:43" x14ac:dyDescent="0.25">
      <c r="E689" s="109" t="s">
        <v>940</v>
      </c>
      <c r="G689" t="s">
        <v>168</v>
      </c>
      <c r="J689" s="158">
        <f>IF($H687 &lt;&gt; 0, J685/$H687, 0)</f>
        <v>5.5198385368052951E-4</v>
      </c>
      <c r="K689" s="158">
        <f>IF($H687 &lt;&gt; 0, K685/$H687, 0)</f>
        <v>8.0312305715455071E-2</v>
      </c>
      <c r="L689" s="158">
        <f>IF($H687 &lt;&gt; 0, L685/$H687, 0)</f>
        <v>0.23691208289669738</v>
      </c>
      <c r="M689" s="158">
        <f>IF($H687 &lt;&gt; 0, M685/$H687, 0)</f>
        <v>0.19341287941282781</v>
      </c>
      <c r="N689" s="158">
        <f>IF($H687 &lt;&gt; 0, N685/$H687, 0)</f>
        <v>0.48881074812133923</v>
      </c>
      <c r="AQ689" s="3"/>
    </row>
    <row r="690" spans="2:43" x14ac:dyDescent="0.25">
      <c r="AQ690" s="3"/>
    </row>
    <row r="691" spans="2:43" x14ac:dyDescent="0.25">
      <c r="B691" s="85" t="s">
        <v>232</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233</v>
      </c>
      <c r="G693" s="6" t="s">
        <v>57</v>
      </c>
      <c r="H693" s="113">
        <f t="array" ref="H693">SUM(IF(ISERROR(H22:Y309), 1))</f>
        <v>0</v>
      </c>
    </row>
    <row r="695" spans="2:43" x14ac:dyDescent="0.25">
      <c r="B695" s="85" t="s">
        <v>108</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xr:uid="{00000000-0002-0000-0C00-000000000000}">
      <formula1>0</formula1>
    </dataValidation>
    <dataValidation type="decimal" operator="greaterThanOrEqual" allowBlank="1" showInputMessage="1" showErrorMessage="1" errorTitle="Invalid volume data" error="Invalid volume data (negative number or unused cell)." sqref="Q209:R210 J212:Y223 J199:Y208" xr:uid="{00000000-0002-0000-0C00-000001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0" t="s">
        <v>144</v>
      </c>
      <c r="H5" s="107" t="s">
        <v>145</v>
      </c>
      <c r="I5" s="62"/>
      <c r="J5" s="107" t="s">
        <v>1114</v>
      </c>
      <c r="K5" s="107" t="s">
        <v>786</v>
      </c>
      <c r="L5" s="107" t="s">
        <v>1115</v>
      </c>
      <c r="M5" s="107" t="s">
        <v>787</v>
      </c>
      <c r="N5" s="107" t="s">
        <v>793</v>
      </c>
      <c r="O5" s="107" t="s">
        <v>794</v>
      </c>
      <c r="P5" s="107" t="s">
        <v>795</v>
      </c>
      <c r="Q5" s="107" t="s">
        <v>796</v>
      </c>
      <c r="R5" s="107" t="s">
        <v>788</v>
      </c>
      <c r="S5" s="107" t="s">
        <v>789</v>
      </c>
      <c r="T5" s="107" t="s">
        <v>790</v>
      </c>
      <c r="U5" s="107" t="s">
        <v>799</v>
      </c>
      <c r="V5" s="107" t="s">
        <v>791</v>
      </c>
      <c r="W5" s="107" t="s">
        <v>798</v>
      </c>
      <c r="X5" s="107" t="s">
        <v>792</v>
      </c>
      <c r="Y5" s="107" t="s">
        <v>797</v>
      </c>
      <c r="AA5" s="90" t="s">
        <v>146</v>
      </c>
    </row>
    <row r="7" spans="1:27" x14ac:dyDescent="0.25">
      <c r="B7" s="85" t="s">
        <v>12</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819</v>
      </c>
    </row>
    <row r="10" spans="1:27" x14ac:dyDescent="0.25">
      <c r="C10" s="86" t="s">
        <v>414</v>
      </c>
    </row>
    <row r="11" spans="1:27" x14ac:dyDescent="0.25">
      <c r="C11" s="86" t="s">
        <v>415</v>
      </c>
    </row>
    <row r="13" spans="1:27" x14ac:dyDescent="0.25">
      <c r="B13" s="85" t="s">
        <v>416</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816</v>
      </c>
      <c r="I15" t="s">
        <v>155</v>
      </c>
      <c r="AA15" t="s">
        <v>817</v>
      </c>
    </row>
    <row r="16" spans="1:27" x14ac:dyDescent="0.25">
      <c r="C16" s="86" t="s">
        <v>417</v>
      </c>
    </row>
    <row r="18" spans="3:27" x14ac:dyDescent="0.25">
      <c r="C18" s="93" t="str">
        <f ca="1">INDEX('Version control'!$H$42:$H$65,MATCH($A$1,'Version control'!$F$42:$F$65,0),1)&amp;"-A: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418</v>
      </c>
      <c r="F20" s="212"/>
      <c r="G20" s="212" t="s">
        <v>419</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420</v>
      </c>
      <c r="I22" t="s">
        <v>155</v>
      </c>
      <c r="AA22" t="s">
        <v>421</v>
      </c>
    </row>
    <row r="23" spans="3:27" x14ac:dyDescent="0.25">
      <c r="E23" s="86" t="s">
        <v>422</v>
      </c>
      <c r="F23" s="86"/>
    </row>
    <row r="24" spans="3:27" x14ac:dyDescent="0.25">
      <c r="F24" s="98" t="s">
        <v>423</v>
      </c>
      <c r="G24" s="98" t="s">
        <v>148</v>
      </c>
      <c r="H24" s="214"/>
      <c r="I24" s="214"/>
      <c r="J24" s="171">
        <f>IF(J$20, 'General inputs'!$H16, 'General inputs'!$H21)</f>
        <v>524</v>
      </c>
      <c r="K24" s="171">
        <f>IF(K$20, 'General inputs'!$H16, 'General inputs'!$H21)</f>
        <v>524</v>
      </c>
      <c r="L24" s="171">
        <f>IF(L$20, 'General inputs'!$H16, 'General inputs'!$H21)</f>
        <v>524</v>
      </c>
      <c r="M24" s="171">
        <f>IF(M$20, 'General inputs'!$H16, 'General inputs'!$H21)</f>
        <v>524</v>
      </c>
      <c r="N24" s="171">
        <f>IF(N$20, 'General inputs'!$H16, 'General inputs'!$H21)</f>
        <v>524</v>
      </c>
      <c r="O24" s="171">
        <f>IF(O$20, 'General inputs'!$H16, 'General inputs'!$H21)</f>
        <v>524</v>
      </c>
      <c r="P24" s="171">
        <f>IF(P$20, 'General inputs'!$H16, 'General inputs'!$H21)</f>
        <v>524</v>
      </c>
      <c r="Q24" s="171">
        <f>IF(Q$20, 'General inputs'!$H16, 'General inputs'!$H21)</f>
        <v>154</v>
      </c>
      <c r="R24" s="171">
        <f>IF(R$20, 'General inputs'!$H16, 'General inputs'!$H21)</f>
        <v>524</v>
      </c>
      <c r="S24" s="171">
        <f>IF(S$20, 'General inputs'!$H16, 'General inputs'!$H21)</f>
        <v>524</v>
      </c>
      <c r="T24" s="171">
        <f>IF(T$20, 'General inputs'!$H16, 'General inputs'!$H21)</f>
        <v>524</v>
      </c>
      <c r="U24" s="171">
        <f>IF(U$20, 'General inputs'!$H16, 'General inputs'!$H21)</f>
        <v>524</v>
      </c>
      <c r="V24" s="171">
        <f>IF(V$20, 'General inputs'!$H16, 'General inputs'!$H21)</f>
        <v>524</v>
      </c>
      <c r="W24" s="171">
        <f>IF(W$20, 'General inputs'!$H16, 'General inputs'!$H21)</f>
        <v>524</v>
      </c>
      <c r="X24" s="171">
        <f>IF(X$20, 'General inputs'!$H16, 'General inputs'!$H21)</f>
        <v>524</v>
      </c>
      <c r="Y24" s="171">
        <f>IF(Y$20, 'General inputs'!$H16, 'General inputs'!$H21)</f>
        <v>524</v>
      </c>
    </row>
    <row r="25" spans="3:27" x14ac:dyDescent="0.25">
      <c r="F25" s="94" t="s">
        <v>424</v>
      </c>
      <c r="G25" t="s">
        <v>148</v>
      </c>
      <c r="H25" s="215"/>
      <c r="I25" s="215"/>
      <c r="J25" s="167">
        <f>IF(J$20, 'General inputs'!$H17, 'General inputs'!$H22)</f>
        <v>3456</v>
      </c>
      <c r="K25" s="167">
        <f>IF(K$20, 'General inputs'!$H17, 'General inputs'!$H22)</f>
        <v>3456</v>
      </c>
      <c r="L25" s="167">
        <f>IF(L$20, 'General inputs'!$H17, 'General inputs'!$H22)</f>
        <v>3456</v>
      </c>
      <c r="M25" s="167">
        <f>IF(M$20, 'General inputs'!$H17, 'General inputs'!$H22)</f>
        <v>3456</v>
      </c>
      <c r="N25" s="167">
        <f>IF(N$20, 'General inputs'!$H17, 'General inputs'!$H22)</f>
        <v>3456</v>
      </c>
      <c r="O25" s="167">
        <f>IF(O$20, 'General inputs'!$H17, 'General inputs'!$H22)</f>
        <v>3456</v>
      </c>
      <c r="P25" s="167">
        <f>IF(P$20, 'General inputs'!$H17, 'General inputs'!$H22)</f>
        <v>3456</v>
      </c>
      <c r="Q25" s="167">
        <f>IF(Q$20, 'General inputs'!$H17, 'General inputs'!$H22)</f>
        <v>3826</v>
      </c>
      <c r="R25" s="167">
        <f>IF(R$20, 'General inputs'!$H17, 'General inputs'!$H22)</f>
        <v>3456</v>
      </c>
      <c r="S25" s="167">
        <f>IF(S$20, 'General inputs'!$H17, 'General inputs'!$H22)</f>
        <v>3456</v>
      </c>
      <c r="T25" s="167">
        <f>IF(T$20, 'General inputs'!$H17, 'General inputs'!$H22)</f>
        <v>3456</v>
      </c>
      <c r="U25" s="167">
        <f>IF(U$20, 'General inputs'!$H17, 'General inputs'!$H22)</f>
        <v>3456</v>
      </c>
      <c r="V25" s="167">
        <f>IF(V$20, 'General inputs'!$H17, 'General inputs'!$H22)</f>
        <v>3456</v>
      </c>
      <c r="W25" s="167">
        <f>IF(W$20, 'General inputs'!$H17, 'General inputs'!$H22)</f>
        <v>3456</v>
      </c>
      <c r="X25" s="167">
        <f>IF(X$20, 'General inputs'!$H17, 'General inputs'!$H22)</f>
        <v>3456</v>
      </c>
      <c r="Y25" s="167">
        <f>IF(Y$20, 'General inputs'!$H17, 'General inputs'!$H22)</f>
        <v>3456</v>
      </c>
    </row>
    <row r="26" spans="3:27" x14ac:dyDescent="0.25">
      <c r="F26" s="101" t="s">
        <v>258</v>
      </c>
      <c r="G26" s="96" t="s">
        <v>148</v>
      </c>
      <c r="H26" s="216"/>
      <c r="I26" s="216"/>
      <c r="J26" s="172">
        <f>IF(J$20, 'General inputs'!$H18, 'General inputs'!$H23)</f>
        <v>4804</v>
      </c>
      <c r="K26" s="172">
        <f>IF(K$20, 'General inputs'!$H18, 'General inputs'!$H23)</f>
        <v>4804</v>
      </c>
      <c r="L26" s="172">
        <f>IF(L$20, 'General inputs'!$H18, 'General inputs'!$H23)</f>
        <v>4804</v>
      </c>
      <c r="M26" s="172">
        <f>IF(M$20, 'General inputs'!$H18, 'General inputs'!$H23)</f>
        <v>4804</v>
      </c>
      <c r="N26" s="172">
        <f>IF(N$20, 'General inputs'!$H18, 'General inputs'!$H23)</f>
        <v>4804</v>
      </c>
      <c r="O26" s="172">
        <f>IF(O$20, 'General inputs'!$H18, 'General inputs'!$H23)</f>
        <v>4804</v>
      </c>
      <c r="P26" s="172">
        <f>IF(P$20, 'General inputs'!$H18, 'General inputs'!$H23)</f>
        <v>4804</v>
      </c>
      <c r="Q26" s="172">
        <f>IF(Q$20, 'General inputs'!$H18, 'General inputs'!$H23)</f>
        <v>4804</v>
      </c>
      <c r="R26" s="172">
        <f>IF(R$20, 'General inputs'!$H18, 'General inputs'!$H23)</f>
        <v>4804</v>
      </c>
      <c r="S26" s="172">
        <f>IF(S$20, 'General inputs'!$H18, 'General inputs'!$H23)</f>
        <v>4804</v>
      </c>
      <c r="T26" s="172">
        <f>IF(T$20, 'General inputs'!$H18, 'General inputs'!$H23)</f>
        <v>4804</v>
      </c>
      <c r="U26" s="172">
        <f>IF(U$20, 'General inputs'!$H18, 'General inputs'!$H23)</f>
        <v>4804</v>
      </c>
      <c r="V26" s="172">
        <f>IF(V$20, 'General inputs'!$H18, 'General inputs'!$H23)</f>
        <v>4804</v>
      </c>
      <c r="W26" s="172">
        <f>IF(W$20, 'General inputs'!$H18, 'General inputs'!$H23)</f>
        <v>4804</v>
      </c>
      <c r="X26" s="172">
        <f>IF(X$20, 'General inputs'!$H18, 'General inputs'!$H23)</f>
        <v>4804</v>
      </c>
      <c r="Y26" s="172">
        <f>IF(Y$20, 'General inputs'!$H18, 'General inputs'!$H23)</f>
        <v>4804</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control'!$H$42:$H$65,MATCH($A$1,'Version control'!$F$42:$F$65,0),1)&amp;"-B: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425</v>
      </c>
      <c r="J30" s="106"/>
      <c r="K30" s="106"/>
      <c r="L30" s="106"/>
      <c r="M30" s="106"/>
      <c r="N30" s="106"/>
      <c r="O30" s="106"/>
      <c r="P30" s="106"/>
      <c r="Q30" s="106"/>
      <c r="R30" s="106"/>
      <c r="S30" s="106"/>
      <c r="T30" s="106"/>
      <c r="U30" s="106"/>
      <c r="V30" s="106"/>
      <c r="W30" s="106"/>
      <c r="X30" s="106"/>
      <c r="Y30" s="106"/>
    </row>
    <row r="31" spans="3:27" x14ac:dyDescent="0.25">
      <c r="F31" s="98" t="s">
        <v>157</v>
      </c>
      <c r="G31" s="98" t="s">
        <v>208</v>
      </c>
      <c r="H31" s="95"/>
      <c r="I31" s="95"/>
      <c r="J31" s="171">
        <f>'Volume adjustments'!J238</f>
        <v>438764.76682252146</v>
      </c>
      <c r="K31" s="171">
        <f>'Volume adjustments'!K238</f>
        <v>36.928307828276772</v>
      </c>
      <c r="L31" s="171">
        <f>'Volume adjustments'!L238</f>
        <v>109434.03612280676</v>
      </c>
      <c r="M31" s="171">
        <f>'Volume adjustments'!M238</f>
        <v>26.004708483632935</v>
      </c>
      <c r="N31" s="171">
        <f>'Volume adjustments'!N238</f>
        <v>90308.691826729424</v>
      </c>
      <c r="O31" s="171">
        <f>'Volume adjustments'!O238</f>
        <v>41249.426391070279</v>
      </c>
      <c r="P31" s="171">
        <f>'Volume adjustments'!P238</f>
        <v>127473.05012901493</v>
      </c>
      <c r="Q31" s="171">
        <f>'Volume adjustments'!Q238</f>
        <v>2860.6386819365989</v>
      </c>
      <c r="R31" s="171">
        <f>'Volume adjustments'!R238</f>
        <v>11199.507843454163</v>
      </c>
      <c r="S31" s="171">
        <f>'Volume adjustments'!S238</f>
        <v>1296.193700379747</v>
      </c>
      <c r="T31" s="171">
        <f>'Volume adjustments'!T238</f>
        <v>4453.5338269398771</v>
      </c>
      <c r="U31" s="171">
        <f>'Volume adjustments'!U238</f>
        <v>0</v>
      </c>
      <c r="V31" s="171">
        <f>'Volume adjustments'!V238</f>
        <v>0</v>
      </c>
      <c r="W31" s="171">
        <f>'Volume adjustments'!W238</f>
        <v>0</v>
      </c>
      <c r="X31" s="171">
        <f>'Volume adjustments'!X238</f>
        <v>57918.120807023566</v>
      </c>
      <c r="Y31" s="171">
        <f>'Volume adjustments'!Y238</f>
        <v>0</v>
      </c>
    </row>
    <row r="32" spans="3:27" x14ac:dyDescent="0.25">
      <c r="F32" s="94" t="s">
        <v>158</v>
      </c>
      <c r="G32" s="94" t="s">
        <v>208</v>
      </c>
      <c r="J32" s="167">
        <f>'Volume adjustments'!J249</f>
        <v>2326173.3938634903</v>
      </c>
      <c r="K32" s="167">
        <f>'Volume adjustments'!K249</f>
        <v>2889.7541426122689</v>
      </c>
      <c r="L32" s="167">
        <f>'Volume adjustments'!L249</f>
        <v>921659.57142625086</v>
      </c>
      <c r="M32" s="167">
        <f>'Volume adjustments'!M249</f>
        <v>1591.5677042444584</v>
      </c>
      <c r="N32" s="167">
        <f>'Volume adjustments'!N249</f>
        <v>642463.99632405897</v>
      </c>
      <c r="O32" s="167">
        <f>'Volume adjustments'!O249</f>
        <v>293844.335807767</v>
      </c>
      <c r="P32" s="167">
        <f>'Volume adjustments'!P249</f>
        <v>877132.41626189707</v>
      </c>
      <c r="Q32" s="167">
        <f>'Volume adjustments'!Q249</f>
        <v>30425.348505603444</v>
      </c>
      <c r="R32" s="167">
        <f>'Volume adjustments'!R249</f>
        <v>122385.50091081993</v>
      </c>
      <c r="S32" s="167">
        <f>'Volume adjustments'!S249</f>
        <v>11378.491454160423</v>
      </c>
      <c r="T32" s="167">
        <f>'Volume adjustments'!T249</f>
        <v>42162.359126339878</v>
      </c>
      <c r="U32" s="167">
        <f>'Volume adjustments'!U249</f>
        <v>0</v>
      </c>
      <c r="V32" s="167">
        <f>'Volume adjustments'!V249</f>
        <v>0</v>
      </c>
      <c r="W32" s="167">
        <f>'Volume adjustments'!W249</f>
        <v>0</v>
      </c>
      <c r="X32" s="167">
        <f>'Volume adjustments'!X249</f>
        <v>316726.54989568843</v>
      </c>
      <c r="Y32" s="167">
        <f>'Volume adjustments'!Y249</f>
        <v>0</v>
      </c>
    </row>
    <row r="33" spans="3:27" x14ac:dyDescent="0.25">
      <c r="F33" s="94" t="s">
        <v>159</v>
      </c>
      <c r="G33" s="94" t="s">
        <v>208</v>
      </c>
      <c r="J33" s="167">
        <f>'Volume adjustments'!J260</f>
        <v>2765513.5778142381</v>
      </c>
      <c r="K33" s="167">
        <f>'Volume adjustments'!K260</f>
        <v>22694.611658437898</v>
      </c>
      <c r="L33" s="167">
        <f>'Volume adjustments'!L260</f>
        <v>744136.89576981449</v>
      </c>
      <c r="M33" s="167">
        <f>'Volume adjustments'!M260</f>
        <v>11266.245993465296</v>
      </c>
      <c r="N33" s="167">
        <f>'Volume adjustments'!N260</f>
        <v>585796.89561699633</v>
      </c>
      <c r="O33" s="167">
        <f>'Volume adjustments'!O260</f>
        <v>294508.20384664467</v>
      </c>
      <c r="P33" s="167">
        <f>'Volume adjustments'!P260</f>
        <v>989775.14268737985</v>
      </c>
      <c r="Q33" s="167">
        <f>'Volume adjustments'!Q260</f>
        <v>65820.427370404781</v>
      </c>
      <c r="R33" s="167">
        <f>'Volume adjustments'!R260</f>
        <v>50604.015593424534</v>
      </c>
      <c r="S33" s="167">
        <f>'Volume adjustments'!S260</f>
        <v>11582.900696102439</v>
      </c>
      <c r="T33" s="167">
        <f>'Volume adjustments'!T260</f>
        <v>30711.018749331204</v>
      </c>
      <c r="U33" s="167">
        <f>'Volume adjustments'!U260</f>
        <v>0</v>
      </c>
      <c r="V33" s="167">
        <f>'Volume adjustments'!V260</f>
        <v>0</v>
      </c>
      <c r="W33" s="167">
        <f>'Volume adjustments'!W260</f>
        <v>0</v>
      </c>
      <c r="X33" s="167">
        <f>'Volume adjustments'!X260</f>
        <v>252665.02390971759</v>
      </c>
      <c r="Y33" s="167">
        <f>'Volume adjustments'!Y260</f>
        <v>0</v>
      </c>
    </row>
    <row r="34" spans="3:27" x14ac:dyDescent="0.25">
      <c r="F34" s="217" t="s">
        <v>413</v>
      </c>
      <c r="G34" s="217" t="s">
        <v>208</v>
      </c>
      <c r="H34" s="145"/>
      <c r="I34" s="145"/>
      <c r="J34" s="146">
        <f t="shared" ref="J34:Y34" si="0">SUM(J31:J33)</f>
        <v>5530451.7385002505</v>
      </c>
      <c r="K34" s="146">
        <f t="shared" si="0"/>
        <v>25621.294108878443</v>
      </c>
      <c r="L34" s="146">
        <f t="shared" si="0"/>
        <v>1775230.5033188721</v>
      </c>
      <c r="M34" s="146">
        <f t="shared" si="0"/>
        <v>12883.818406193388</v>
      </c>
      <c r="N34" s="146">
        <f t="shared" si="0"/>
        <v>1318569.5837677848</v>
      </c>
      <c r="O34" s="146">
        <f t="shared" si="0"/>
        <v>629601.96604548197</v>
      </c>
      <c r="P34" s="146">
        <f t="shared" si="0"/>
        <v>1994380.6090782918</v>
      </c>
      <c r="Q34" s="146">
        <f t="shared" si="0"/>
        <v>99106.414557944823</v>
      </c>
      <c r="R34" s="146">
        <f t="shared" si="0"/>
        <v>184189.02434769861</v>
      </c>
      <c r="S34" s="146">
        <f t="shared" si="0"/>
        <v>24257.585850642608</v>
      </c>
      <c r="T34" s="146">
        <f t="shared" si="0"/>
        <v>77326.91170261096</v>
      </c>
      <c r="U34" s="146">
        <f t="shared" si="0"/>
        <v>0</v>
      </c>
      <c r="V34" s="146">
        <f t="shared" si="0"/>
        <v>0</v>
      </c>
      <c r="W34" s="146">
        <f t="shared" si="0"/>
        <v>0</v>
      </c>
      <c r="X34" s="146">
        <f t="shared" si="0"/>
        <v>627309.69461242959</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control'!$H$42:$H$65,MATCH($A$1,'Version control'!$F$42:$F$65,0),1)&amp;"-C: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803</v>
      </c>
      <c r="F38" s="94"/>
      <c r="G38" s="94" t="s">
        <v>150</v>
      </c>
      <c r="I38" t="s">
        <v>155</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815</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804</v>
      </c>
      <c r="J40" s="106"/>
      <c r="K40" s="106"/>
      <c r="L40" s="106"/>
      <c r="M40" s="106"/>
      <c r="N40" s="106"/>
      <c r="O40" s="106"/>
      <c r="P40" s="106"/>
      <c r="Q40" s="106"/>
      <c r="R40" s="106"/>
      <c r="S40" s="106"/>
      <c r="T40" s="106"/>
      <c r="U40" s="106"/>
      <c r="V40" s="106"/>
      <c r="W40" s="106"/>
      <c r="X40" s="106"/>
      <c r="Y40" s="106"/>
    </row>
    <row r="41" spans="3:27" x14ac:dyDescent="0.25">
      <c r="E41" s="86" t="s">
        <v>422</v>
      </c>
    </row>
    <row r="42" spans="3:27" x14ac:dyDescent="0.25">
      <c r="F42" s="98" t="s">
        <v>423</v>
      </c>
      <c r="G42" s="98" t="s">
        <v>168</v>
      </c>
      <c r="H42" s="95"/>
      <c r="I42" s="95"/>
      <c r="J42" s="199">
        <f t="shared" ref="J42:P44" si="1">SUMIF($J$38:$Y$38, J$38, $J31:$Y31) / SUMIF($J$38:$Y$38, J$38, $J$34:$Y$34)</f>
        <v>7.8976948746890152E-2</v>
      </c>
      <c r="K42" s="199">
        <f t="shared" si="1"/>
        <v>7.8976948746890152E-2</v>
      </c>
      <c r="L42" s="199">
        <f t="shared" si="1"/>
        <v>6.1215348203066747E-2</v>
      </c>
      <c r="M42" s="199">
        <f t="shared" si="1"/>
        <v>6.1215348203066747E-2</v>
      </c>
      <c r="N42" s="199">
        <f t="shared" si="1"/>
        <v>6.8489894608879304E-2</v>
      </c>
      <c r="O42" s="199">
        <f t="shared" si="1"/>
        <v>6.5516673415359786E-2</v>
      </c>
      <c r="P42" s="199">
        <f t="shared" si="1"/>
        <v>6.3916109868279822E-2</v>
      </c>
      <c r="Q42" s="220"/>
      <c r="R42" s="220"/>
      <c r="S42" s="220"/>
      <c r="T42" s="220"/>
      <c r="U42" s="220"/>
      <c r="V42" s="220"/>
      <c r="W42" s="220"/>
      <c r="X42" s="220"/>
      <c r="Y42" s="220"/>
    </row>
    <row r="43" spans="3:27" x14ac:dyDescent="0.25">
      <c r="F43" s="94" t="s">
        <v>424</v>
      </c>
      <c r="G43" s="94" t="s">
        <v>168</v>
      </c>
      <c r="J43" s="191">
        <f t="shared" si="1"/>
        <v>0.41919232060784767</v>
      </c>
      <c r="K43" s="191">
        <f t="shared" si="1"/>
        <v>0.41919232060784767</v>
      </c>
      <c r="L43" s="191">
        <f t="shared" si="1"/>
        <v>0.5163266844369313</v>
      </c>
      <c r="M43" s="191">
        <f t="shared" si="1"/>
        <v>0.5163266844369313</v>
      </c>
      <c r="N43" s="191">
        <f t="shared" si="1"/>
        <v>0.48724314911635658</v>
      </c>
      <c r="O43" s="191">
        <f t="shared" si="1"/>
        <v>0.4667144508035731</v>
      </c>
      <c r="P43" s="191">
        <f t="shared" si="1"/>
        <v>0.4398019175824549</v>
      </c>
      <c r="Q43" s="103"/>
      <c r="R43" s="103"/>
      <c r="S43" s="103"/>
      <c r="T43" s="103"/>
      <c r="U43" s="103"/>
      <c r="V43" s="103"/>
      <c r="W43" s="103"/>
      <c r="X43" s="103"/>
      <c r="Y43" s="103"/>
    </row>
    <row r="44" spans="3:27" x14ac:dyDescent="0.25">
      <c r="F44" s="101" t="s">
        <v>258</v>
      </c>
      <c r="G44" s="101" t="s">
        <v>168</v>
      </c>
      <c r="H44" s="96"/>
      <c r="I44" s="96"/>
      <c r="J44" s="200">
        <f t="shared" si="1"/>
        <v>0.50183073064526207</v>
      </c>
      <c r="K44" s="200">
        <f t="shared" si="1"/>
        <v>0.50183073064526207</v>
      </c>
      <c r="L44" s="200">
        <f t="shared" si="1"/>
        <v>0.42245796736000202</v>
      </c>
      <c r="M44" s="200">
        <f t="shared" si="1"/>
        <v>0.42245796736000202</v>
      </c>
      <c r="N44" s="200">
        <f t="shared" si="1"/>
        <v>0.44426695627476409</v>
      </c>
      <c r="O44" s="200">
        <f t="shared" si="1"/>
        <v>0.46776887578106707</v>
      </c>
      <c r="P44" s="200">
        <f t="shared" si="1"/>
        <v>0.49628197254926532</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805</v>
      </c>
      <c r="F46" s="94"/>
      <c r="G46" s="94"/>
    </row>
    <row r="47" spans="3:27" x14ac:dyDescent="0.25">
      <c r="E47" s="86" t="s">
        <v>422</v>
      </c>
    </row>
    <row r="48" spans="3:27" x14ac:dyDescent="0.25">
      <c r="F48" s="98" t="s">
        <v>423</v>
      </c>
      <c r="G48" s="98" t="s">
        <v>168</v>
      </c>
      <c r="H48" s="95"/>
      <c r="I48" s="95"/>
      <c r="J48" s="199">
        <f>IF(ISNUMBER(J$38), J42, IF(J$34 = 0, 0, J31 / J$34))</f>
        <v>7.8976948746890152E-2</v>
      </c>
      <c r="K48" s="199">
        <f t="shared" ref="K48:Y48" si="2">IF(ISNUMBER(K$38), K42, IF(K$34 = 0, 0, K31 / K$34))</f>
        <v>7.8976948746890152E-2</v>
      </c>
      <c r="L48" s="199">
        <f t="shared" si="2"/>
        <v>6.1215348203066747E-2</v>
      </c>
      <c r="M48" s="199">
        <f t="shared" si="2"/>
        <v>6.1215348203066747E-2</v>
      </c>
      <c r="N48" s="199">
        <f t="shared" si="2"/>
        <v>6.8489894608879304E-2</v>
      </c>
      <c r="O48" s="199">
        <f t="shared" si="2"/>
        <v>6.5516673415359786E-2</v>
      </c>
      <c r="P48" s="199">
        <f t="shared" si="2"/>
        <v>6.3916109868279822E-2</v>
      </c>
      <c r="Q48" s="199">
        <f t="shared" si="2"/>
        <v>2.8864314128366146E-2</v>
      </c>
      <c r="R48" s="199">
        <f t="shared" si="2"/>
        <v>6.080442568777903E-2</v>
      </c>
      <c r="S48" s="199">
        <f t="shared" si="2"/>
        <v>5.3434571286713986E-2</v>
      </c>
      <c r="T48" s="199">
        <f t="shared" si="2"/>
        <v>5.7593581961058744E-2</v>
      </c>
      <c r="U48" s="199">
        <f t="shared" si="2"/>
        <v>0</v>
      </c>
      <c r="V48" s="199">
        <f t="shared" si="2"/>
        <v>0</v>
      </c>
      <c r="W48" s="199">
        <f t="shared" si="2"/>
        <v>0</v>
      </c>
      <c r="X48" s="199">
        <f t="shared" si="2"/>
        <v>9.2327794874598718E-2</v>
      </c>
      <c r="Y48" s="199">
        <f t="shared" si="2"/>
        <v>0</v>
      </c>
    </row>
    <row r="49" spans="2:27" x14ac:dyDescent="0.25">
      <c r="F49" s="94" t="s">
        <v>424</v>
      </c>
      <c r="G49" s="94" t="s">
        <v>168</v>
      </c>
      <c r="J49" s="191">
        <f t="shared" ref="J49:Y49" si="3">IF(ISNUMBER(J$38), J43, IF(J$34 = 0, 0, J32 / J$34))</f>
        <v>0.41919232060784767</v>
      </c>
      <c r="K49" s="191">
        <f t="shared" si="3"/>
        <v>0.41919232060784767</v>
      </c>
      <c r="L49" s="191">
        <f t="shared" si="3"/>
        <v>0.5163266844369313</v>
      </c>
      <c r="M49" s="191">
        <f t="shared" si="3"/>
        <v>0.5163266844369313</v>
      </c>
      <c r="N49" s="191">
        <f t="shared" si="3"/>
        <v>0.48724314911635658</v>
      </c>
      <c r="O49" s="191">
        <f t="shared" si="3"/>
        <v>0.4667144508035731</v>
      </c>
      <c r="P49" s="191">
        <f t="shared" si="3"/>
        <v>0.4398019175824549</v>
      </c>
      <c r="Q49" s="191">
        <f t="shared" si="3"/>
        <v>0.30699676344173032</v>
      </c>
      <c r="R49" s="191">
        <f t="shared" si="3"/>
        <v>0.66445599212138451</v>
      </c>
      <c r="S49" s="191">
        <f t="shared" si="3"/>
        <v>0.46906940881171799</v>
      </c>
      <c r="T49" s="191">
        <f t="shared" si="3"/>
        <v>0.54524819623588117</v>
      </c>
      <c r="U49" s="191">
        <f t="shared" si="3"/>
        <v>0</v>
      </c>
      <c r="V49" s="191">
        <f t="shared" si="3"/>
        <v>0</v>
      </c>
      <c r="W49" s="191">
        <f t="shared" si="3"/>
        <v>0</v>
      </c>
      <c r="X49" s="191">
        <f t="shared" si="3"/>
        <v>0.50489662859645656</v>
      </c>
      <c r="Y49" s="191">
        <f t="shared" si="3"/>
        <v>0</v>
      </c>
    </row>
    <row r="50" spans="2:27" x14ac:dyDescent="0.25">
      <c r="F50" s="101" t="s">
        <v>258</v>
      </c>
      <c r="G50" s="101" t="s">
        <v>168</v>
      </c>
      <c r="H50" s="96"/>
      <c r="I50" s="96"/>
      <c r="J50" s="200">
        <f t="shared" ref="J50:Y50" si="4">IF(ISNUMBER(J$38), J44, IF(J$34 = 0, 0, J33 / J$34))</f>
        <v>0.50183073064526207</v>
      </c>
      <c r="K50" s="200">
        <f t="shared" si="4"/>
        <v>0.50183073064526207</v>
      </c>
      <c r="L50" s="200">
        <f t="shared" si="4"/>
        <v>0.42245796736000202</v>
      </c>
      <c r="M50" s="200">
        <f t="shared" si="4"/>
        <v>0.42245796736000202</v>
      </c>
      <c r="N50" s="200">
        <f t="shared" si="4"/>
        <v>0.44426695627476409</v>
      </c>
      <c r="O50" s="200">
        <f t="shared" si="4"/>
        <v>0.46776887578106707</v>
      </c>
      <c r="P50" s="200">
        <f t="shared" si="4"/>
        <v>0.49628197254926532</v>
      </c>
      <c r="Q50" s="200">
        <f t="shared" si="4"/>
        <v>0.66413892242990358</v>
      </c>
      <c r="R50" s="200">
        <f t="shared" si="4"/>
        <v>0.27473958219083655</v>
      </c>
      <c r="S50" s="200">
        <f t="shared" si="4"/>
        <v>0.47749601990156804</v>
      </c>
      <c r="T50" s="200">
        <f t="shared" si="4"/>
        <v>0.39715822180306004</v>
      </c>
      <c r="U50" s="200">
        <f t="shared" si="4"/>
        <v>0</v>
      </c>
      <c r="V50" s="200">
        <f t="shared" si="4"/>
        <v>0</v>
      </c>
      <c r="W50" s="200">
        <f t="shared" si="4"/>
        <v>0</v>
      </c>
      <c r="X50" s="200">
        <f t="shared" si="4"/>
        <v>0.40277557652894475</v>
      </c>
      <c r="Y50" s="200">
        <f t="shared" si="4"/>
        <v>0</v>
      </c>
    </row>
    <row r="52" spans="2:27" x14ac:dyDescent="0.25">
      <c r="C52" s="93" t="str">
        <f ca="1">INDEX('Version control'!$H$42:$H$65,MATCH($A$1,'Version control'!$F$42:$F$65,0),1)&amp;"-D: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426</v>
      </c>
      <c r="G54" t="s">
        <v>284</v>
      </c>
      <c r="H54" s="106"/>
      <c r="I54" s="106"/>
      <c r="J54" s="106">
        <f t="shared" ref="J54:Y54" si="5">J48 * hours_in_year / J24</f>
        <v>1.3239189270852731</v>
      </c>
      <c r="K54" s="106">
        <f t="shared" si="5"/>
        <v>1.3239189270852731</v>
      </c>
      <c r="L54" s="106">
        <f t="shared" si="5"/>
        <v>1.0261748446865235</v>
      </c>
      <c r="M54" s="106">
        <f t="shared" si="5"/>
        <v>1.0261748446865235</v>
      </c>
      <c r="N54" s="106">
        <f t="shared" si="5"/>
        <v>1.1481206760389233</v>
      </c>
      <c r="O54" s="106">
        <f t="shared" si="5"/>
        <v>1.0982795024437411</v>
      </c>
      <c r="P54" s="106">
        <f t="shared" si="5"/>
        <v>1.0714486814560495</v>
      </c>
      <c r="Q54" s="106">
        <f t="shared" si="5"/>
        <v>1.6463904889842094</v>
      </c>
      <c r="R54" s="106">
        <f t="shared" si="5"/>
        <v>1.0192864031325399</v>
      </c>
      <c r="S54" s="106">
        <f t="shared" si="5"/>
        <v>0.89574288966125126</v>
      </c>
      <c r="T54" s="106">
        <f t="shared" si="5"/>
        <v>0.96546187775942749</v>
      </c>
      <c r="U54" s="106">
        <f t="shared" si="5"/>
        <v>0</v>
      </c>
      <c r="V54" s="106">
        <f t="shared" si="5"/>
        <v>0</v>
      </c>
      <c r="W54" s="106">
        <f t="shared" si="5"/>
        <v>0</v>
      </c>
      <c r="X54" s="106">
        <f t="shared" si="5"/>
        <v>1.5477239507222809</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427</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428</v>
      </c>
      <c r="F58" s="94"/>
      <c r="G58" s="94"/>
    </row>
    <row r="59" spans="2:27" x14ac:dyDescent="0.25">
      <c r="F59" s="94"/>
      <c r="G59" s="94"/>
    </row>
    <row r="60" spans="2:27" x14ac:dyDescent="0.25">
      <c r="C60" s="93" t="str">
        <f ca="1">INDEX('Version control'!$H$42:$H$65,MATCH($A$1,'Version control'!$F$42:$F$65,0),1)&amp;"-E: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242</v>
      </c>
      <c r="G62" s="94" t="s">
        <v>168</v>
      </c>
      <c r="J62" s="155">
        <f>'Inputs by customer type'!J15</f>
        <v>0.42655107893391708</v>
      </c>
      <c r="K62" s="155">
        <f>'Inputs by customer type'!K15</f>
        <v>0.13014636404142343</v>
      </c>
      <c r="L62" s="155">
        <f>'Inputs by customer type'!L15</f>
        <v>0.43452597532609877</v>
      </c>
      <c r="M62" s="155">
        <f>'Inputs by customer type'!M15</f>
        <v>0.16348776224447439</v>
      </c>
      <c r="N62" s="155">
        <f>'Inputs by customer type'!N15</f>
        <v>0.54784543850635292</v>
      </c>
      <c r="O62" s="155">
        <f>'Inputs by customer type'!O15</f>
        <v>0.60177942640278592</v>
      </c>
      <c r="P62" s="155">
        <f>'Inputs by customer type'!P15</f>
        <v>0.73307505945788753</v>
      </c>
      <c r="Q62" s="155">
        <f>'Inputs by customer type'!Q15</f>
        <v>0.49990620990783308</v>
      </c>
      <c r="R62" s="103"/>
      <c r="S62" s="103"/>
      <c r="T62" s="103"/>
      <c r="U62" s="103"/>
      <c r="V62" s="103"/>
      <c r="W62" s="103"/>
      <c r="X62" s="103"/>
      <c r="Y62" s="103"/>
    </row>
    <row r="63" spans="2:27" x14ac:dyDescent="0.25">
      <c r="E63" s="94" t="s">
        <v>244</v>
      </c>
      <c r="G63" s="94" t="s">
        <v>168</v>
      </c>
      <c r="J63" s="155">
        <f>'Inputs by customer type'!J16</f>
        <v>0.94287666544264592</v>
      </c>
      <c r="K63" s="103"/>
      <c r="L63" s="155">
        <f>'Inputs by customer type'!L16</f>
        <v>0.73025082092930893</v>
      </c>
      <c r="M63" s="103"/>
      <c r="N63" s="155">
        <f>'Inputs by customer type'!N16</f>
        <v>0.78830648139323367</v>
      </c>
      <c r="O63" s="155">
        <f>'Inputs by customer type'!O16</f>
        <v>0.78135756752974661</v>
      </c>
      <c r="P63" s="155">
        <f>'Inputs by customer type'!P16</f>
        <v>0.85285211551601581</v>
      </c>
      <c r="Q63" s="155">
        <f>'Inputs by customer type'!Q16</f>
        <v>0.9903632355418871</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control'!$H$42:$H$65,MATCH($A$1,'Version control'!$F$42:$F$65,0),1)&amp;"-F: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806</v>
      </c>
      <c r="E67" s="94"/>
      <c r="F67" s="94"/>
      <c r="G67" s="94"/>
    </row>
    <row r="68" spans="3:27" x14ac:dyDescent="0.25">
      <c r="D68" s="75"/>
      <c r="E68" s="94"/>
      <c r="F68" s="94"/>
      <c r="G68" s="94"/>
    </row>
    <row r="69" spans="3:27" x14ac:dyDescent="0.25">
      <c r="D69" s="75"/>
      <c r="E69" s="94" t="s">
        <v>807</v>
      </c>
      <c r="F69" s="94"/>
      <c r="G69" s="94" t="s">
        <v>173</v>
      </c>
      <c r="J69" s="106">
        <f t="shared" ref="J69:P69" si="6">J34 / hours_in_year</f>
        <v>629.60516148682268</v>
      </c>
      <c r="K69" s="106">
        <f t="shared" si="6"/>
        <v>2.9168139923586569</v>
      </c>
      <c r="L69" s="106">
        <f t="shared" si="6"/>
        <v>202.09819026854191</v>
      </c>
      <c r="M69" s="106">
        <f t="shared" si="6"/>
        <v>1.4667370681003402</v>
      </c>
      <c r="N69" s="106">
        <f t="shared" si="6"/>
        <v>150.11038066573141</v>
      </c>
      <c r="O69" s="106">
        <f t="shared" si="6"/>
        <v>71.675997955997488</v>
      </c>
      <c r="P69" s="106">
        <f t="shared" si="6"/>
        <v>227.04697280035199</v>
      </c>
      <c r="Q69" s="219"/>
      <c r="R69" s="219"/>
      <c r="S69" s="219"/>
      <c r="T69" s="219"/>
      <c r="U69" s="219"/>
      <c r="V69" s="219"/>
      <c r="W69" s="219"/>
      <c r="X69" s="219"/>
      <c r="Y69" s="219"/>
    </row>
    <row r="70" spans="3:27" x14ac:dyDescent="0.25">
      <c r="D70" s="75"/>
      <c r="E70" s="94"/>
      <c r="F70" s="94"/>
      <c r="G70" s="94"/>
    </row>
    <row r="71" spans="3:27" x14ac:dyDescent="0.25">
      <c r="D71" s="75"/>
      <c r="E71" s="94" t="s">
        <v>429</v>
      </c>
      <c r="F71" s="94"/>
      <c r="G71" s="94" t="s">
        <v>173</v>
      </c>
      <c r="J71" s="106">
        <f t="shared" ref="J71:P71" si="7">IF(J62 = 0, 0, J34 / (J62 * hours_in_year))</f>
        <v>1476.0369685628284</v>
      </c>
      <c r="K71" s="106">
        <f t="shared" si="7"/>
        <v>22.411797777387644</v>
      </c>
      <c r="L71" s="106">
        <f t="shared" si="7"/>
        <v>465.10036624823925</v>
      </c>
      <c r="M71" s="106">
        <f t="shared" si="7"/>
        <v>8.9715404258028091</v>
      </c>
      <c r="N71" s="106">
        <f t="shared" si="7"/>
        <v>274.00133343264241</v>
      </c>
      <c r="O71" s="106">
        <f t="shared" si="7"/>
        <v>119.1067604029769</v>
      </c>
      <c r="P71" s="106">
        <f t="shared" si="7"/>
        <v>309.7185886643781</v>
      </c>
      <c r="Q71" s="219"/>
      <c r="R71" s="219"/>
      <c r="S71" s="219"/>
      <c r="T71" s="219"/>
      <c r="U71" s="219"/>
      <c r="V71" s="219"/>
      <c r="W71" s="219"/>
      <c r="X71" s="219"/>
      <c r="Y71" s="219"/>
    </row>
    <row r="72" spans="3:27" x14ac:dyDescent="0.25">
      <c r="D72" s="75"/>
      <c r="E72" s="94"/>
      <c r="F72" s="94"/>
      <c r="G72" s="94"/>
    </row>
    <row r="73" spans="3:27" x14ac:dyDescent="0.25">
      <c r="D73" s="75"/>
      <c r="E73" s="94" t="s">
        <v>808</v>
      </c>
      <c r="F73" s="94"/>
      <c r="G73" s="94" t="s">
        <v>173</v>
      </c>
      <c r="J73" s="106">
        <f>J71 * J63</f>
        <v>1391.7208149885912</v>
      </c>
      <c r="K73" s="106">
        <f t="shared" ref="K73:M73" si="8">K71 * K63</f>
        <v>0</v>
      </c>
      <c r="L73" s="106">
        <f t="shared" si="8"/>
        <v>339.63992426729897</v>
      </c>
      <c r="M73" s="106">
        <f t="shared" si="8"/>
        <v>0</v>
      </c>
      <c r="N73" s="106">
        <f t="shared" ref="N73:P73" si="9">N71 * N63</f>
        <v>215.99702705534054</v>
      </c>
      <c r="O73" s="106">
        <f t="shared" si="9"/>
        <v>93.064968584818374</v>
      </c>
      <c r="P73" s="106">
        <f t="shared" si="9"/>
        <v>264.14415355704961</v>
      </c>
      <c r="Q73" s="219"/>
      <c r="R73" s="219"/>
      <c r="S73" s="219"/>
      <c r="T73" s="219"/>
      <c r="U73" s="219"/>
      <c r="V73" s="219"/>
      <c r="W73" s="219"/>
      <c r="X73" s="219"/>
      <c r="Y73" s="219"/>
    </row>
    <row r="74" spans="3:27" x14ac:dyDescent="0.25">
      <c r="D74" s="75"/>
      <c r="E74" s="94"/>
      <c r="F74" s="94"/>
      <c r="G74" s="94"/>
    </row>
    <row r="75" spans="3:27" x14ac:dyDescent="0.25">
      <c r="D75" s="75" t="s">
        <v>809</v>
      </c>
      <c r="E75" s="94"/>
      <c r="F75" s="94"/>
      <c r="G75" s="94"/>
    </row>
    <row r="76" spans="3:27" x14ac:dyDescent="0.25">
      <c r="D76" s="75"/>
      <c r="E76" s="94"/>
      <c r="F76" s="94"/>
      <c r="G76" s="94"/>
    </row>
    <row r="77" spans="3:27" x14ac:dyDescent="0.25">
      <c r="D77" s="75"/>
      <c r="E77" s="94" t="s">
        <v>242</v>
      </c>
      <c r="F77" s="94"/>
      <c r="G77" s="94" t="s">
        <v>168</v>
      </c>
      <c r="J77" s="191">
        <f t="shared" ref="J77:P77" si="10">SUMIF($J$38:$Y$38, J$38, $J$69:$Y$69) / SUMIF($J$38:$Y$38, J$38, $J$71:$Y$71)</f>
        <v>0.42211785260035384</v>
      </c>
      <c r="K77" s="191">
        <f t="shared" si="10"/>
        <v>0.42211785260035384</v>
      </c>
      <c r="L77" s="191">
        <f t="shared" si="10"/>
        <v>0.42939673174223236</v>
      </c>
      <c r="M77" s="191">
        <f t="shared" si="10"/>
        <v>0.42939673174223236</v>
      </c>
      <c r="N77" s="191">
        <f t="shared" si="10"/>
        <v>0.54784543850635292</v>
      </c>
      <c r="O77" s="191">
        <f t="shared" si="10"/>
        <v>0.60177942640278581</v>
      </c>
      <c r="P77" s="191">
        <f t="shared" si="10"/>
        <v>0.73307505945788753</v>
      </c>
      <c r="Q77" s="219"/>
      <c r="R77" s="219"/>
      <c r="S77" s="219"/>
      <c r="T77" s="219"/>
      <c r="U77" s="219"/>
      <c r="V77" s="219"/>
      <c r="W77" s="219"/>
      <c r="X77" s="219"/>
      <c r="Y77" s="219"/>
    </row>
    <row r="78" spans="3:27" x14ac:dyDescent="0.25">
      <c r="D78" s="75"/>
      <c r="E78" s="94"/>
      <c r="F78" s="94"/>
      <c r="G78" s="94"/>
    </row>
    <row r="79" spans="3:27" x14ac:dyDescent="0.25">
      <c r="D79" s="75"/>
      <c r="E79" s="94" t="s">
        <v>244</v>
      </c>
      <c r="F79" s="94"/>
      <c r="G79" s="94" t="s">
        <v>168</v>
      </c>
      <c r="J79" s="191">
        <f t="shared" ref="J79:P79" si="11">SUMIF($J$38:$Y$38, J$38, $J$73:$Y$73) / SUMIF($J$38:$Y$38, J$38, $J$71:$Y$71)</f>
        <v>0.92877437403996455</v>
      </c>
      <c r="K79" s="191">
        <f t="shared" si="11"/>
        <v>0.92877437403996455</v>
      </c>
      <c r="L79" s="191">
        <f t="shared" si="11"/>
        <v>0.71643124067426633</v>
      </c>
      <c r="M79" s="191">
        <f t="shared" si="11"/>
        <v>0.71643124067426633</v>
      </c>
      <c r="N79" s="191">
        <f t="shared" si="11"/>
        <v>0.78830648139323367</v>
      </c>
      <c r="O79" s="191">
        <f t="shared" si="11"/>
        <v>0.78135756752974661</v>
      </c>
      <c r="P79" s="191">
        <f t="shared" si="11"/>
        <v>0.85285211551601592</v>
      </c>
      <c r="Q79" s="219"/>
      <c r="R79" s="219"/>
      <c r="S79" s="219"/>
      <c r="T79" s="219"/>
      <c r="U79" s="219"/>
      <c r="V79" s="219"/>
      <c r="W79" s="219"/>
      <c r="X79" s="219"/>
      <c r="Y79" s="219"/>
    </row>
    <row r="80" spans="3:27" x14ac:dyDescent="0.25">
      <c r="D80" s="75"/>
      <c r="E80" s="94"/>
      <c r="F80" s="94"/>
      <c r="G80" s="94"/>
    </row>
    <row r="81" spans="2:27" x14ac:dyDescent="0.25">
      <c r="D81" s="75" t="s">
        <v>810</v>
      </c>
      <c r="E81" s="94"/>
      <c r="F81" s="94"/>
      <c r="G81" s="94"/>
    </row>
    <row r="82" spans="2:27" x14ac:dyDescent="0.25">
      <c r="D82" s="94"/>
      <c r="E82" s="94"/>
      <c r="F82" s="94"/>
      <c r="G82" s="94"/>
    </row>
    <row r="83" spans="2:27" x14ac:dyDescent="0.25">
      <c r="D83" s="94"/>
      <c r="E83" s="94" t="s">
        <v>242</v>
      </c>
      <c r="F83" s="94"/>
      <c r="G83" s="94" t="s">
        <v>168</v>
      </c>
      <c r="J83" s="191">
        <f>IF(J$38 = 0, J62, J77)</f>
        <v>0.42211785260035384</v>
      </c>
      <c r="K83" s="191">
        <f t="shared" ref="K83:Y83" si="12">IF(K$38 = 0, K62, K77)</f>
        <v>0.42211785260035384</v>
      </c>
      <c r="L83" s="191">
        <f t="shared" si="12"/>
        <v>0.42939673174223236</v>
      </c>
      <c r="M83" s="191">
        <f>IF(M$38 = 0, M62, M77)</f>
        <v>0.42939673174223236</v>
      </c>
      <c r="N83" s="191">
        <f t="shared" si="12"/>
        <v>0.54784543850635292</v>
      </c>
      <c r="O83" s="191">
        <f t="shared" si="12"/>
        <v>0.60177942640278581</v>
      </c>
      <c r="P83" s="191">
        <f t="shared" si="12"/>
        <v>0.73307505945788753</v>
      </c>
      <c r="Q83" s="191">
        <f t="shared" si="12"/>
        <v>0.49990620990783308</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244</v>
      </c>
      <c r="F85" s="94"/>
      <c r="G85" s="94" t="s">
        <v>168</v>
      </c>
      <c r="J85" s="191">
        <f>IF(J38 = 0, J63, J79)</f>
        <v>0.92877437403996455</v>
      </c>
      <c r="K85" s="191">
        <f t="shared" ref="K85:Y85" si="13">IF(K38 = 0, K63, K79)</f>
        <v>0.92877437403996455</v>
      </c>
      <c r="L85" s="191">
        <f t="shared" si="13"/>
        <v>0.71643124067426633</v>
      </c>
      <c r="M85" s="191">
        <f t="shared" si="13"/>
        <v>0.71643124067426633</v>
      </c>
      <c r="N85" s="191">
        <f t="shared" si="13"/>
        <v>0.78830648139323367</v>
      </c>
      <c r="O85" s="191">
        <f t="shared" si="13"/>
        <v>0.78135756752974661</v>
      </c>
      <c r="P85" s="191">
        <f t="shared" si="13"/>
        <v>0.85285211551601592</v>
      </c>
      <c r="Q85" s="191">
        <f t="shared" si="13"/>
        <v>0.9903632355418871</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control'!$H$42:$H$65,MATCH($A$1,'Version control'!$F$42:$F$65,0),1)&amp;"-G: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430</v>
      </c>
      <c r="G89" s="94" t="s">
        <v>284</v>
      </c>
      <c r="J89" s="106">
        <f t="shared" ref="J89:Y89" si="14">IF(AND(J62 = 0, J63 = 0), 1, J63 / J62)</f>
        <v>2.2104660192143601</v>
      </c>
      <c r="K89" s="106">
        <f t="shared" si="14"/>
        <v>0</v>
      </c>
      <c r="L89" s="106">
        <f t="shared" si="14"/>
        <v>1.6805688552480147</v>
      </c>
      <c r="M89" s="106">
        <f t="shared" si="14"/>
        <v>0</v>
      </c>
      <c r="N89" s="106">
        <f t="shared" si="14"/>
        <v>1.4389213197475446</v>
      </c>
      <c r="O89" s="106">
        <f t="shared" si="14"/>
        <v>1.2984118985263624</v>
      </c>
      <c r="P89" s="106">
        <f t="shared" si="14"/>
        <v>1.1633898937261677</v>
      </c>
      <c r="Q89" s="106">
        <f t="shared" si="14"/>
        <v>1.9810980858278973</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811</v>
      </c>
      <c r="G91" s="94" t="s">
        <v>284</v>
      </c>
      <c r="I91" t="s">
        <v>155</v>
      </c>
      <c r="J91" s="106">
        <f>IF(AND(J83 = 0, J85 = 0), 1, J85 / J83)</f>
        <v>2.2002726686835845</v>
      </c>
      <c r="K91" s="106">
        <f t="shared" ref="K91:Y91" si="15">IF(AND(K83 = 0, K85 = 0), 1, K85 / K83)</f>
        <v>2.2002726686835845</v>
      </c>
      <c r="L91" s="106">
        <f t="shared" si="15"/>
        <v>1.6684599292766422</v>
      </c>
      <c r="M91" s="106">
        <f t="shared" si="15"/>
        <v>1.6684599292766422</v>
      </c>
      <c r="N91" s="106">
        <f>IF(AND(N83 = 0, N85 = 0), 1, N85 / N83)</f>
        <v>1.4389213197475446</v>
      </c>
      <c r="O91" s="106">
        <f t="shared" si="15"/>
        <v>1.2984118985263626</v>
      </c>
      <c r="P91" s="106">
        <f t="shared" si="15"/>
        <v>1.1633898937261677</v>
      </c>
      <c r="Q91" s="106">
        <f t="shared" si="15"/>
        <v>1.9810980858278973</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815</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431</v>
      </c>
      <c r="G93" s="94" t="s">
        <v>284</v>
      </c>
      <c r="I93" t="s">
        <v>155</v>
      </c>
      <c r="J93" s="106">
        <f>IF(OR(J54 = 0, J85 = 0), 1, J91 / J54)</f>
        <v>1.6619391291033834</v>
      </c>
      <c r="K93" s="106">
        <f t="shared" ref="K93:Y93" si="16">IF(OR(K54 = 0, K85 = 0), 1, K91 / K54)</f>
        <v>1.6619391291033834</v>
      </c>
      <c r="L93" s="106">
        <f t="shared" si="16"/>
        <v>1.6259021919274628</v>
      </c>
      <c r="M93" s="106">
        <f t="shared" si="16"/>
        <v>1.6259021919274628</v>
      </c>
      <c r="N93" s="106">
        <f>IF(OR(N54 = 0, N85 = 0), 1, N91 / N54)</f>
        <v>1.2532840404128063</v>
      </c>
      <c r="O93" s="106">
        <f t="shared" si="16"/>
        <v>1.1822235556953529</v>
      </c>
      <c r="P93" s="106">
        <f t="shared" si="16"/>
        <v>1.0858101875165633</v>
      </c>
      <c r="Q93" s="106">
        <f t="shared" si="16"/>
        <v>1.2032978197354602</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432</v>
      </c>
    </row>
    <row r="94" spans="2:27" x14ac:dyDescent="0.25">
      <c r="F94" s="94"/>
      <c r="G94" s="94"/>
    </row>
    <row r="95" spans="2:27" x14ac:dyDescent="0.25">
      <c r="B95" s="85" t="s">
        <v>433</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435</v>
      </c>
      <c r="I97" t="s">
        <v>155</v>
      </c>
      <c r="AA97" t="s">
        <v>434</v>
      </c>
    </row>
    <row r="98" spans="3:27" x14ac:dyDescent="0.25">
      <c r="C98" s="86" t="s">
        <v>436</v>
      </c>
    </row>
    <row r="100" spans="3:27" x14ac:dyDescent="0.25">
      <c r="C100" s="93" t="str">
        <f ca="1">INDEX('Version control'!$H$42:$H$65,MATCH($A$1,'Version control'!$F$42:$F$65,0),1)&amp;"-H: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437</v>
      </c>
      <c r="G102" s="94"/>
    </row>
    <row r="103" spans="3:27" x14ac:dyDescent="0.25">
      <c r="F103" s="116" t="s">
        <v>295</v>
      </c>
      <c r="G103" s="98" t="s">
        <v>168</v>
      </c>
      <c r="H103" s="154">
        <f>'Inputs by network level'!K40</f>
        <v>0.94231270200947836</v>
      </c>
    </row>
    <row r="104" spans="3:27" x14ac:dyDescent="0.25">
      <c r="F104" s="118" t="s">
        <v>296</v>
      </c>
      <c r="G104" s="94" t="s">
        <v>168</v>
      </c>
      <c r="H104" s="155">
        <f>'Inputs by network level'!K41</f>
        <v>5.7687297990521684E-2</v>
      </c>
    </row>
    <row r="105" spans="3:27" x14ac:dyDescent="0.25">
      <c r="F105" s="120" t="s">
        <v>258</v>
      </c>
      <c r="G105" s="101" t="s">
        <v>168</v>
      </c>
      <c r="H105" s="187">
        <f>'Inputs by network level'!K42</f>
        <v>0</v>
      </c>
    </row>
    <row r="106" spans="3:27" x14ac:dyDescent="0.25">
      <c r="F106" s="116" t="s">
        <v>297</v>
      </c>
      <c r="G106" s="98" t="s">
        <v>168</v>
      </c>
      <c r="H106" s="154">
        <f>'Inputs by network level'!K43</f>
        <v>0.89762314165729473</v>
      </c>
    </row>
    <row r="107" spans="3:27" x14ac:dyDescent="0.25">
      <c r="F107" s="118" t="s">
        <v>306</v>
      </c>
      <c r="G107" s="94" t="s">
        <v>168</v>
      </c>
      <c r="H107" s="221">
        <f>SUM(H103:H104) - H106</f>
        <v>0.10237685834270527</v>
      </c>
    </row>
    <row r="108" spans="3:27" x14ac:dyDescent="0.25">
      <c r="F108" s="120" t="s">
        <v>258</v>
      </c>
      <c r="G108" s="101" t="s">
        <v>168</v>
      </c>
      <c r="H108" s="222">
        <f>H105</f>
        <v>0</v>
      </c>
    </row>
    <row r="109" spans="3:27" x14ac:dyDescent="0.25">
      <c r="F109" s="86"/>
      <c r="G109" s="94"/>
    </row>
    <row r="110" spans="3:27" x14ac:dyDescent="0.25">
      <c r="E110" s="75" t="s">
        <v>438</v>
      </c>
      <c r="G110" s="94"/>
    </row>
    <row r="111" spans="3:27" x14ac:dyDescent="0.25">
      <c r="F111" s="116" t="s">
        <v>423</v>
      </c>
      <c r="G111" s="98" t="s">
        <v>168</v>
      </c>
      <c r="H111" s="154">
        <f>'Inputs by network level'!L40</f>
        <v>0.82221491263415702</v>
      </c>
    </row>
    <row r="112" spans="3:27" x14ac:dyDescent="0.25">
      <c r="F112" s="118" t="s">
        <v>424</v>
      </c>
      <c r="G112" s="94" t="s">
        <v>168</v>
      </c>
      <c r="H112" s="155">
        <f>'Inputs by network level'!L41</f>
        <v>0.14849233662031211</v>
      </c>
    </row>
    <row r="113" spans="5:8" x14ac:dyDescent="0.25">
      <c r="F113" s="120" t="s">
        <v>258</v>
      </c>
      <c r="G113" s="101" t="s">
        <v>168</v>
      </c>
      <c r="H113" s="187">
        <f>'Inputs by network level'!L42</f>
        <v>2.9292750745530938E-2</v>
      </c>
    </row>
    <row r="114" spans="5:8" x14ac:dyDescent="0.25">
      <c r="F114" s="116" t="s">
        <v>297</v>
      </c>
      <c r="G114" s="98" t="s">
        <v>168</v>
      </c>
      <c r="H114" s="154">
        <f>'Inputs by network level'!L43</f>
        <v>0.7268227731172695</v>
      </c>
    </row>
    <row r="115" spans="5:8" x14ac:dyDescent="0.25">
      <c r="F115" s="118" t="s">
        <v>306</v>
      </c>
      <c r="G115" s="94" t="s">
        <v>168</v>
      </c>
      <c r="H115" s="221">
        <f>SUM(H111:H112) - H114</f>
        <v>0.24388447613719966</v>
      </c>
    </row>
    <row r="116" spans="5:8" x14ac:dyDescent="0.25">
      <c r="F116" s="120" t="s">
        <v>258</v>
      </c>
      <c r="G116" s="101" t="s">
        <v>168</v>
      </c>
      <c r="H116" s="222">
        <f>H113</f>
        <v>2.9292750745530938E-2</v>
      </c>
    </row>
    <row r="117" spans="5:8" x14ac:dyDescent="0.25">
      <c r="F117" s="86"/>
      <c r="G117" s="94"/>
    </row>
    <row r="118" spans="5:8" x14ac:dyDescent="0.25">
      <c r="E118" s="75" t="s">
        <v>439</v>
      </c>
      <c r="G118" s="94"/>
    </row>
    <row r="119" spans="5:8" x14ac:dyDescent="0.25">
      <c r="F119" s="116" t="s">
        <v>423</v>
      </c>
      <c r="G119" s="98" t="s">
        <v>168</v>
      </c>
      <c r="H119" s="154">
        <f>'Inputs by network level'!M40</f>
        <v>0.82221491263415702</v>
      </c>
    </row>
    <row r="120" spans="5:8" x14ac:dyDescent="0.25">
      <c r="F120" s="118" t="s">
        <v>424</v>
      </c>
      <c r="G120" s="94" t="s">
        <v>168</v>
      </c>
      <c r="H120" s="155">
        <f>'Inputs by network level'!M41</f>
        <v>0.14849233662031211</v>
      </c>
    </row>
    <row r="121" spans="5:8" x14ac:dyDescent="0.25">
      <c r="F121" s="120" t="s">
        <v>258</v>
      </c>
      <c r="G121" s="101" t="s">
        <v>168</v>
      </c>
      <c r="H121" s="187">
        <f>'Inputs by network level'!M42</f>
        <v>2.9292750745530938E-2</v>
      </c>
    </row>
    <row r="122" spans="5:8" x14ac:dyDescent="0.25">
      <c r="F122" s="116" t="s">
        <v>297</v>
      </c>
      <c r="G122" s="98" t="s">
        <v>168</v>
      </c>
      <c r="H122" s="154">
        <f>'Inputs by network level'!M43</f>
        <v>0.7268227731172695</v>
      </c>
    </row>
    <row r="123" spans="5:8" x14ac:dyDescent="0.25">
      <c r="F123" s="118" t="s">
        <v>306</v>
      </c>
      <c r="G123" s="94" t="s">
        <v>168</v>
      </c>
      <c r="H123" s="221">
        <f>SUM(H119:H120) - H122</f>
        <v>0.24388447613719966</v>
      </c>
    </row>
    <row r="124" spans="5:8" x14ac:dyDescent="0.25">
      <c r="F124" s="120" t="s">
        <v>258</v>
      </c>
      <c r="G124" s="101" t="s">
        <v>168</v>
      </c>
      <c r="H124" s="222">
        <f>H121</f>
        <v>2.9292750745530938E-2</v>
      </c>
    </row>
    <row r="125" spans="5:8" x14ac:dyDescent="0.25">
      <c r="F125" s="86"/>
      <c r="G125" s="94"/>
    </row>
    <row r="126" spans="5:8" x14ac:dyDescent="0.25">
      <c r="E126" s="75" t="s">
        <v>440</v>
      </c>
      <c r="G126" s="94"/>
    </row>
    <row r="127" spans="5:8" x14ac:dyDescent="0.25">
      <c r="F127" s="116" t="s">
        <v>423</v>
      </c>
      <c r="G127" s="98" t="s">
        <v>168</v>
      </c>
      <c r="H127" s="154">
        <f>'Inputs by network level'!N40</f>
        <v>0.5368830052022483</v>
      </c>
    </row>
    <row r="128" spans="5:8" x14ac:dyDescent="0.25">
      <c r="F128" s="118" t="s">
        <v>424</v>
      </c>
      <c r="G128" s="94" t="s">
        <v>168</v>
      </c>
      <c r="H128" s="155">
        <f>'Inputs by network level'!N41</f>
        <v>0.40957442333583177</v>
      </c>
    </row>
    <row r="129" spans="5:8" x14ac:dyDescent="0.25">
      <c r="F129" s="120" t="s">
        <v>258</v>
      </c>
      <c r="G129" s="101" t="s">
        <v>168</v>
      </c>
      <c r="H129" s="187">
        <f>'Inputs by network level'!N42</f>
        <v>5.3542571461920048E-2</v>
      </c>
    </row>
    <row r="130" spans="5:8" x14ac:dyDescent="0.25">
      <c r="F130" s="116" t="s">
        <v>297</v>
      </c>
      <c r="G130" s="98" t="s">
        <v>168</v>
      </c>
      <c r="H130" s="154">
        <f>'Inputs by network level'!N43</f>
        <v>0.47979178727836241</v>
      </c>
    </row>
    <row r="131" spans="5:8" x14ac:dyDescent="0.25">
      <c r="F131" s="118" t="s">
        <v>306</v>
      </c>
      <c r="G131" s="94" t="s">
        <v>168</v>
      </c>
      <c r="H131" s="221">
        <f>SUM(H127:H128) - H130</f>
        <v>0.4666656412597176</v>
      </c>
    </row>
    <row r="132" spans="5:8" x14ac:dyDescent="0.25">
      <c r="F132" s="120" t="s">
        <v>258</v>
      </c>
      <c r="G132" s="101" t="s">
        <v>168</v>
      </c>
      <c r="H132" s="222">
        <f>H129</f>
        <v>5.3542571461920048E-2</v>
      </c>
    </row>
    <row r="133" spans="5:8" x14ac:dyDescent="0.25">
      <c r="F133" s="86"/>
      <c r="G133" s="94"/>
    </row>
    <row r="134" spans="5:8" x14ac:dyDescent="0.25">
      <c r="E134" s="75" t="s">
        <v>441</v>
      </c>
      <c r="G134" s="94"/>
    </row>
    <row r="135" spans="5:8" x14ac:dyDescent="0.25">
      <c r="F135" s="116" t="s">
        <v>423</v>
      </c>
      <c r="G135" s="98" t="s">
        <v>168</v>
      </c>
      <c r="H135" s="154">
        <f>'Inputs by network level'!O40</f>
        <v>0.5368830052022483</v>
      </c>
    </row>
    <row r="136" spans="5:8" x14ac:dyDescent="0.25">
      <c r="F136" s="118" t="s">
        <v>424</v>
      </c>
      <c r="G136" s="94" t="s">
        <v>168</v>
      </c>
      <c r="H136" s="155">
        <f>'Inputs by network level'!O41</f>
        <v>0.40957442333583177</v>
      </c>
    </row>
    <row r="137" spans="5:8" x14ac:dyDescent="0.25">
      <c r="F137" s="120" t="s">
        <v>258</v>
      </c>
      <c r="G137" s="101" t="s">
        <v>168</v>
      </c>
      <c r="H137" s="187">
        <f>'Inputs by network level'!O42</f>
        <v>5.3542571461920048E-2</v>
      </c>
    </row>
    <row r="138" spans="5:8" x14ac:dyDescent="0.25">
      <c r="F138" s="116" t="s">
        <v>297</v>
      </c>
      <c r="G138" s="98" t="s">
        <v>168</v>
      </c>
      <c r="H138" s="154">
        <f>'Inputs by network level'!O43</f>
        <v>0.47979178727836241</v>
      </c>
    </row>
    <row r="139" spans="5:8" x14ac:dyDescent="0.25">
      <c r="F139" s="118" t="s">
        <v>306</v>
      </c>
      <c r="G139" s="94" t="s">
        <v>168</v>
      </c>
      <c r="H139" s="221">
        <f>SUM(H135:H136) - H138</f>
        <v>0.4666656412597176</v>
      </c>
    </row>
    <row r="140" spans="5:8" x14ac:dyDescent="0.25">
      <c r="F140" s="120" t="s">
        <v>258</v>
      </c>
      <c r="G140" s="101" t="s">
        <v>168</v>
      </c>
      <c r="H140" s="222">
        <f>H137</f>
        <v>5.3542571461920048E-2</v>
      </c>
    </row>
    <row r="141" spans="5:8" x14ac:dyDescent="0.25">
      <c r="F141" s="86"/>
      <c r="G141" s="94"/>
    </row>
    <row r="142" spans="5:8" x14ac:dyDescent="0.25">
      <c r="E142" s="75" t="s">
        <v>442</v>
      </c>
      <c r="G142" s="94"/>
    </row>
    <row r="143" spans="5:8" x14ac:dyDescent="0.25">
      <c r="F143" s="116" t="s">
        <v>423</v>
      </c>
      <c r="G143" s="98" t="s">
        <v>168</v>
      </c>
      <c r="H143" s="154">
        <f>'Inputs by network level'!P40</f>
        <v>0.82221491263415702</v>
      </c>
    </row>
    <row r="144" spans="5:8" x14ac:dyDescent="0.25">
      <c r="F144" s="118" t="s">
        <v>424</v>
      </c>
      <c r="G144" s="94" t="s">
        <v>168</v>
      </c>
      <c r="H144" s="155">
        <f>'Inputs by network level'!P41</f>
        <v>0.14849233662031211</v>
      </c>
    </row>
    <row r="145" spans="5:8" x14ac:dyDescent="0.25">
      <c r="F145" s="120" t="s">
        <v>258</v>
      </c>
      <c r="G145" s="101" t="s">
        <v>168</v>
      </c>
      <c r="H145" s="187">
        <f>'Inputs by network level'!P42</f>
        <v>2.9292750745530938E-2</v>
      </c>
    </row>
    <row r="146" spans="5:8" x14ac:dyDescent="0.25">
      <c r="F146" s="116" t="s">
        <v>297</v>
      </c>
      <c r="G146" s="98" t="s">
        <v>168</v>
      </c>
      <c r="H146" s="154">
        <f>'Inputs by network level'!P43</f>
        <v>0.7268227731172695</v>
      </c>
    </row>
    <row r="147" spans="5:8" x14ac:dyDescent="0.25">
      <c r="F147" s="118" t="s">
        <v>306</v>
      </c>
      <c r="G147" s="94" t="s">
        <v>168</v>
      </c>
      <c r="H147" s="221">
        <f>SUM(H143:H144) - H146</f>
        <v>0.24388447613719966</v>
      </c>
    </row>
    <row r="148" spans="5:8" x14ac:dyDescent="0.25">
      <c r="F148" s="120" t="s">
        <v>258</v>
      </c>
      <c r="G148" s="101" t="s">
        <v>168</v>
      </c>
      <c r="H148" s="222">
        <f>H145</f>
        <v>2.9292750745530938E-2</v>
      </c>
    </row>
    <row r="149" spans="5:8" x14ac:dyDescent="0.25">
      <c r="F149" s="86"/>
      <c r="G149" s="94"/>
    </row>
    <row r="150" spans="5:8" x14ac:dyDescent="0.25">
      <c r="E150" s="75" t="s">
        <v>443</v>
      </c>
      <c r="G150" s="94"/>
    </row>
    <row r="151" spans="5:8" x14ac:dyDescent="0.25">
      <c r="F151" s="116" t="s">
        <v>423</v>
      </c>
      <c r="G151" s="98" t="s">
        <v>168</v>
      </c>
      <c r="H151" s="154">
        <f>'Inputs by network level'!Q40</f>
        <v>0.5368830052022483</v>
      </c>
    </row>
    <row r="152" spans="5:8" x14ac:dyDescent="0.25">
      <c r="F152" s="118" t="s">
        <v>424</v>
      </c>
      <c r="G152" s="94" t="s">
        <v>168</v>
      </c>
      <c r="H152" s="155">
        <f>'Inputs by network level'!Q41</f>
        <v>0.40957442333583177</v>
      </c>
    </row>
    <row r="153" spans="5:8" x14ac:dyDescent="0.25">
      <c r="F153" s="120" t="s">
        <v>258</v>
      </c>
      <c r="G153" s="101" t="s">
        <v>168</v>
      </c>
      <c r="H153" s="187">
        <f>'Inputs by network level'!Q42</f>
        <v>5.3542571461920048E-2</v>
      </c>
    </row>
    <row r="154" spans="5:8" x14ac:dyDescent="0.25">
      <c r="F154" s="116" t="s">
        <v>297</v>
      </c>
      <c r="G154" s="98" t="s">
        <v>168</v>
      </c>
      <c r="H154" s="154">
        <f>'Inputs by network level'!Q43</f>
        <v>0.47979178727836241</v>
      </c>
    </row>
    <row r="155" spans="5:8" x14ac:dyDescent="0.25">
      <c r="F155" s="118" t="s">
        <v>306</v>
      </c>
      <c r="G155" s="94" t="s">
        <v>168</v>
      </c>
      <c r="H155" s="221">
        <f>SUM(H151:H152) - H154</f>
        <v>0.4666656412597176</v>
      </c>
    </row>
    <row r="156" spans="5:8" x14ac:dyDescent="0.25">
      <c r="F156" s="120" t="s">
        <v>258</v>
      </c>
      <c r="G156" s="101" t="s">
        <v>168</v>
      </c>
      <c r="H156" s="222">
        <f>H153</f>
        <v>5.3542571461920048E-2</v>
      </c>
    </row>
    <row r="157" spans="5:8" x14ac:dyDescent="0.25">
      <c r="F157" s="86"/>
      <c r="G157" s="94"/>
    </row>
    <row r="158" spans="5:8" x14ac:dyDescent="0.25">
      <c r="E158" s="75" t="s">
        <v>444</v>
      </c>
      <c r="G158" s="94"/>
    </row>
    <row r="159" spans="5:8" x14ac:dyDescent="0.25">
      <c r="F159" s="116" t="s">
        <v>423</v>
      </c>
      <c r="G159" s="98" t="s">
        <v>168</v>
      </c>
      <c r="H159" s="154">
        <f>'Inputs by network level'!R40</f>
        <v>0.5368830052022483</v>
      </c>
    </row>
    <row r="160" spans="5:8" x14ac:dyDescent="0.25">
      <c r="F160" s="118" t="s">
        <v>424</v>
      </c>
      <c r="G160" s="94" t="s">
        <v>168</v>
      </c>
      <c r="H160" s="155">
        <f>'Inputs by network level'!R41</f>
        <v>0.40957442333583177</v>
      </c>
    </row>
    <row r="161" spans="3:27" x14ac:dyDescent="0.25">
      <c r="F161" s="120" t="s">
        <v>258</v>
      </c>
      <c r="G161" s="101" t="s">
        <v>168</v>
      </c>
      <c r="H161" s="187">
        <f>'Inputs by network level'!R42</f>
        <v>5.3542571461920048E-2</v>
      </c>
    </row>
    <row r="162" spans="3:27" x14ac:dyDescent="0.25">
      <c r="F162" s="116" t="s">
        <v>297</v>
      </c>
      <c r="G162" s="98" t="s">
        <v>168</v>
      </c>
      <c r="H162" s="154">
        <f>'Inputs by network level'!R43</f>
        <v>0.47979178727836241</v>
      </c>
    </row>
    <row r="163" spans="3:27" x14ac:dyDescent="0.25">
      <c r="F163" s="118" t="s">
        <v>306</v>
      </c>
      <c r="G163" s="94" t="s">
        <v>168</v>
      </c>
      <c r="H163" s="221">
        <f>SUM(H159:H160) - H162</f>
        <v>0.4666656412597176</v>
      </c>
    </row>
    <row r="164" spans="3:27" x14ac:dyDescent="0.25">
      <c r="F164" s="120" t="s">
        <v>258</v>
      </c>
      <c r="G164" s="101" t="s">
        <v>168</v>
      </c>
      <c r="H164" s="222">
        <f>H161</f>
        <v>5.3542571461920048E-2</v>
      </c>
    </row>
    <row r="165" spans="3:27" x14ac:dyDescent="0.25">
      <c r="F165" s="86"/>
      <c r="G165" s="94"/>
    </row>
    <row r="166" spans="3:27" x14ac:dyDescent="0.25">
      <c r="E166" s="75" t="s">
        <v>445</v>
      </c>
      <c r="G166" s="94"/>
    </row>
    <row r="167" spans="3:27" x14ac:dyDescent="0.25">
      <c r="F167" s="116" t="s">
        <v>423</v>
      </c>
      <c r="G167" s="98" t="s">
        <v>168</v>
      </c>
      <c r="H167" s="154">
        <f>'Inputs by network level'!S40</f>
        <v>0.5368830052022483</v>
      </c>
    </row>
    <row r="168" spans="3:27" x14ac:dyDescent="0.25">
      <c r="F168" s="118" t="s">
        <v>424</v>
      </c>
      <c r="G168" s="94" t="s">
        <v>168</v>
      </c>
      <c r="H168" s="155">
        <f>'Inputs by network level'!S41</f>
        <v>0.40957442333583177</v>
      </c>
    </row>
    <row r="169" spans="3:27" x14ac:dyDescent="0.25">
      <c r="F169" s="120" t="s">
        <v>258</v>
      </c>
      <c r="G169" s="101" t="s">
        <v>168</v>
      </c>
      <c r="H169" s="187">
        <f>'Inputs by network level'!S42</f>
        <v>5.3542571461920048E-2</v>
      </c>
    </row>
    <row r="170" spans="3:27" x14ac:dyDescent="0.25">
      <c r="F170" s="116" t="s">
        <v>297</v>
      </c>
      <c r="G170" s="98" t="s">
        <v>168</v>
      </c>
      <c r="H170" s="154">
        <f>'Inputs by network level'!S43</f>
        <v>0.47979178727836241</v>
      </c>
    </row>
    <row r="171" spans="3:27" x14ac:dyDescent="0.25">
      <c r="F171" s="118" t="s">
        <v>306</v>
      </c>
      <c r="G171" s="94" t="s">
        <v>168</v>
      </c>
      <c r="H171" s="221">
        <f>SUM(H167:H168) - H170</f>
        <v>0.4666656412597176</v>
      </c>
    </row>
    <row r="172" spans="3:27" x14ac:dyDescent="0.25">
      <c r="F172" s="120" t="s">
        <v>258</v>
      </c>
      <c r="G172" s="101" t="s">
        <v>168</v>
      </c>
      <c r="H172" s="222">
        <f>H169</f>
        <v>5.3542571461920048E-2</v>
      </c>
    </row>
    <row r="173" spans="3:27" x14ac:dyDescent="0.25">
      <c r="E173" s="86"/>
      <c r="F173" s="94"/>
      <c r="G173" s="94"/>
    </row>
    <row r="174" spans="3:27" x14ac:dyDescent="0.25">
      <c r="C174" s="93" t="str">
        <f ca="1">INDEX('Version control'!$H$42:$H$65,MATCH($A$1,'Version control'!$F$42:$F$65,0),1)&amp;"-I: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437</v>
      </c>
      <c r="G176" s="94"/>
    </row>
    <row r="177" spans="5:25" x14ac:dyDescent="0.25">
      <c r="E177" s="86"/>
      <c r="F177" s="116" t="s">
        <v>423</v>
      </c>
      <c r="G177" s="98" t="s">
        <v>168</v>
      </c>
      <c r="H177" s="154"/>
      <c r="I177" s="95"/>
      <c r="J177" s="199">
        <f t="shared" ref="J177:K177" si="17">IF(J$20, $H106, $H103)</f>
        <v>0.94231270200947836</v>
      </c>
      <c r="K177" s="199">
        <f t="shared" si="17"/>
        <v>0.94231270200947836</v>
      </c>
      <c r="L177" s="199">
        <f t="shared" ref="L177:M177" si="18">IF(L$20, $H106, $H103)</f>
        <v>0.94231270200947836</v>
      </c>
      <c r="M177" s="199">
        <f t="shared" si="18"/>
        <v>0.94231270200947836</v>
      </c>
      <c r="N177" s="199">
        <f t="shared" ref="N177:P177" si="19">IF(N$20, $H106, $H103)</f>
        <v>0.94231270200947836</v>
      </c>
      <c r="O177" s="199">
        <f t="shared" si="19"/>
        <v>0.94231270200947836</v>
      </c>
      <c r="P177" s="199">
        <f t="shared" si="19"/>
        <v>0.94231270200947836</v>
      </c>
      <c r="Q177" s="199">
        <f t="shared" ref="Q177:S177" si="20">IF(Q$20, $H106, $H103)</f>
        <v>0.89762314165729473</v>
      </c>
      <c r="R177" s="199">
        <f t="shared" si="20"/>
        <v>0.94231270200947836</v>
      </c>
      <c r="S177" s="199">
        <f t="shared" si="20"/>
        <v>0.94231270200947836</v>
      </c>
      <c r="T177" s="199">
        <f t="shared" ref="T177:U177" si="21">IF(T$20, $H106, $H103)</f>
        <v>0.94231270200947836</v>
      </c>
      <c r="U177" s="199">
        <f t="shared" si="21"/>
        <v>0.94231270200947836</v>
      </c>
      <c r="V177" s="199">
        <f t="shared" ref="V177:W177" si="22">IF(V$20, $H106, $H103)</f>
        <v>0.94231270200947836</v>
      </c>
      <c r="W177" s="199">
        <f t="shared" si="22"/>
        <v>0.94231270200947836</v>
      </c>
      <c r="X177" s="199">
        <f t="shared" ref="X177:Y177" si="23">IF(X$20, $H106, $H103)</f>
        <v>0.94231270200947836</v>
      </c>
      <c r="Y177" s="199">
        <f t="shared" si="23"/>
        <v>0.94231270200947836</v>
      </c>
    </row>
    <row r="178" spans="5:25" x14ac:dyDescent="0.25">
      <c r="E178" s="86"/>
      <c r="F178" s="118" t="s">
        <v>424</v>
      </c>
      <c r="G178" s="94" t="s">
        <v>168</v>
      </c>
      <c r="H178" s="155"/>
      <c r="J178" s="191">
        <f t="shared" ref="J178:K178" si="24">IF(J$20, $H107, $H104)</f>
        <v>5.7687297990521684E-2</v>
      </c>
      <c r="K178" s="191">
        <f t="shared" si="24"/>
        <v>5.7687297990521684E-2</v>
      </c>
      <c r="L178" s="191">
        <f t="shared" ref="L178:M178" si="25">IF(L$20, $H107, $H104)</f>
        <v>5.7687297990521684E-2</v>
      </c>
      <c r="M178" s="191">
        <f t="shared" si="25"/>
        <v>5.7687297990521684E-2</v>
      </c>
      <c r="N178" s="191">
        <f t="shared" ref="N178:P178" si="26">IF(N$20, $H107, $H104)</f>
        <v>5.7687297990521684E-2</v>
      </c>
      <c r="O178" s="191">
        <f t="shared" si="26"/>
        <v>5.7687297990521684E-2</v>
      </c>
      <c r="P178" s="191">
        <f t="shared" si="26"/>
        <v>5.7687297990521684E-2</v>
      </c>
      <c r="Q178" s="191">
        <f t="shared" ref="Q178:S178" si="27">IF(Q$20, $H107, $H104)</f>
        <v>0.10237685834270527</v>
      </c>
      <c r="R178" s="191">
        <f t="shared" si="27"/>
        <v>5.7687297990521684E-2</v>
      </c>
      <c r="S178" s="191">
        <f t="shared" si="27"/>
        <v>5.7687297990521684E-2</v>
      </c>
      <c r="T178" s="191">
        <f t="shared" ref="T178:U178" si="28">IF(T$20, $H107, $H104)</f>
        <v>5.7687297990521684E-2</v>
      </c>
      <c r="U178" s="191">
        <f t="shared" si="28"/>
        <v>5.7687297990521684E-2</v>
      </c>
      <c r="V178" s="191">
        <f t="shared" ref="V178:W178" si="29">IF(V$20, $H107, $H104)</f>
        <v>5.7687297990521684E-2</v>
      </c>
      <c r="W178" s="191">
        <f t="shared" si="29"/>
        <v>5.7687297990521684E-2</v>
      </c>
      <c r="X178" s="191">
        <f t="shared" ref="X178:Y178" si="30">IF(X$20, $H107, $H104)</f>
        <v>5.7687297990521684E-2</v>
      </c>
      <c r="Y178" s="191">
        <f t="shared" si="30"/>
        <v>5.7687297990521684E-2</v>
      </c>
    </row>
    <row r="179" spans="5:25" x14ac:dyDescent="0.25">
      <c r="E179" s="86"/>
      <c r="F179" s="120" t="s">
        <v>258</v>
      </c>
      <c r="G179" s="101" t="s">
        <v>168</v>
      </c>
      <c r="H179" s="187"/>
      <c r="I179" s="96"/>
      <c r="J179" s="200">
        <f t="shared" ref="J179:K179" si="31">IF(J$20, $H108, $H105)</f>
        <v>0</v>
      </c>
      <c r="K179" s="200">
        <f t="shared" si="31"/>
        <v>0</v>
      </c>
      <c r="L179" s="200">
        <f t="shared" ref="L179:M179" si="32">IF(L$20, $H108, $H105)</f>
        <v>0</v>
      </c>
      <c r="M179" s="200">
        <f t="shared" si="32"/>
        <v>0</v>
      </c>
      <c r="N179" s="200">
        <f t="shared" ref="N179:P179" si="33">IF(N$20, $H108, $H105)</f>
        <v>0</v>
      </c>
      <c r="O179" s="200">
        <f t="shared" si="33"/>
        <v>0</v>
      </c>
      <c r="P179" s="200">
        <f t="shared" si="33"/>
        <v>0</v>
      </c>
      <c r="Q179" s="200">
        <f t="shared" ref="Q179:S179" si="34">IF(Q$20, $H108, $H105)</f>
        <v>0</v>
      </c>
      <c r="R179" s="200">
        <f t="shared" si="34"/>
        <v>0</v>
      </c>
      <c r="S179" s="200">
        <f t="shared" si="34"/>
        <v>0</v>
      </c>
      <c r="T179" s="200">
        <f t="shared" ref="T179:U179" si="35">IF(T$20, $H108, $H105)</f>
        <v>0</v>
      </c>
      <c r="U179" s="200">
        <f t="shared" si="35"/>
        <v>0</v>
      </c>
      <c r="V179" s="200">
        <f t="shared" ref="V179:W179" si="36">IF(V$20, $H108, $H105)</f>
        <v>0</v>
      </c>
      <c r="W179" s="200">
        <f t="shared" si="36"/>
        <v>0</v>
      </c>
      <c r="X179" s="200">
        <f t="shared" ref="X179:Y179" si="37">IF(X$20, $H108, $H105)</f>
        <v>0</v>
      </c>
      <c r="Y179" s="200">
        <f t="shared" si="37"/>
        <v>0</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438</v>
      </c>
      <c r="G181" s="94"/>
    </row>
    <row r="182" spans="5:25" x14ac:dyDescent="0.25">
      <c r="E182" s="86"/>
      <c r="F182" s="116" t="s">
        <v>423</v>
      </c>
      <c r="G182" s="98" t="s">
        <v>168</v>
      </c>
      <c r="H182" s="154"/>
      <c r="I182" s="95"/>
      <c r="J182" s="199">
        <f t="shared" ref="J182:K182" si="38">IF(J$20, $H114, $H111)</f>
        <v>0.82221491263415702</v>
      </c>
      <c r="K182" s="199">
        <f t="shared" si="38"/>
        <v>0.82221491263415702</v>
      </c>
      <c r="L182" s="199">
        <f t="shared" ref="L182:M182" si="39">IF(L$20, $H114, $H111)</f>
        <v>0.82221491263415702</v>
      </c>
      <c r="M182" s="199">
        <f t="shared" si="39"/>
        <v>0.82221491263415702</v>
      </c>
      <c r="N182" s="199">
        <f t="shared" ref="N182:P182" si="40">IF(N$20, $H114, $H111)</f>
        <v>0.82221491263415702</v>
      </c>
      <c r="O182" s="199">
        <f t="shared" si="40"/>
        <v>0.82221491263415702</v>
      </c>
      <c r="P182" s="199">
        <f t="shared" si="40"/>
        <v>0.82221491263415702</v>
      </c>
      <c r="Q182" s="199">
        <f t="shared" ref="Q182:S182" si="41">IF(Q$20, $H114, $H111)</f>
        <v>0.7268227731172695</v>
      </c>
      <c r="R182" s="199">
        <f t="shared" si="41"/>
        <v>0.82221491263415702</v>
      </c>
      <c r="S182" s="199">
        <f t="shared" si="41"/>
        <v>0.82221491263415702</v>
      </c>
      <c r="T182" s="199">
        <f t="shared" ref="T182:U182" si="42">IF(T$20, $H114, $H111)</f>
        <v>0.82221491263415702</v>
      </c>
      <c r="U182" s="199">
        <f t="shared" si="42"/>
        <v>0.82221491263415702</v>
      </c>
      <c r="V182" s="199">
        <f t="shared" ref="V182:W182" si="43">IF(V$20, $H114, $H111)</f>
        <v>0.82221491263415702</v>
      </c>
      <c r="W182" s="199">
        <f t="shared" si="43"/>
        <v>0.82221491263415702</v>
      </c>
      <c r="X182" s="199">
        <f t="shared" ref="X182:Y182" si="44">IF(X$20, $H114, $H111)</f>
        <v>0.82221491263415702</v>
      </c>
      <c r="Y182" s="199">
        <f t="shared" si="44"/>
        <v>0.82221491263415702</v>
      </c>
    </row>
    <row r="183" spans="5:25" x14ac:dyDescent="0.25">
      <c r="E183" s="86"/>
      <c r="F183" s="118" t="s">
        <v>424</v>
      </c>
      <c r="G183" s="94" t="s">
        <v>168</v>
      </c>
      <c r="H183" s="155"/>
      <c r="J183" s="191">
        <f t="shared" ref="J183:K183" si="45">IF(J$20, $H115, $H112)</f>
        <v>0.14849233662031211</v>
      </c>
      <c r="K183" s="191">
        <f t="shared" si="45"/>
        <v>0.14849233662031211</v>
      </c>
      <c r="L183" s="191">
        <f t="shared" ref="L183:M183" si="46">IF(L$20, $H115, $H112)</f>
        <v>0.14849233662031211</v>
      </c>
      <c r="M183" s="191">
        <f t="shared" si="46"/>
        <v>0.14849233662031211</v>
      </c>
      <c r="N183" s="191">
        <f t="shared" ref="N183:P183" si="47">IF(N$20, $H115, $H112)</f>
        <v>0.14849233662031211</v>
      </c>
      <c r="O183" s="191">
        <f t="shared" si="47"/>
        <v>0.14849233662031211</v>
      </c>
      <c r="P183" s="191">
        <f t="shared" si="47"/>
        <v>0.14849233662031211</v>
      </c>
      <c r="Q183" s="191">
        <f t="shared" ref="Q183:S183" si="48">IF(Q$20, $H115, $H112)</f>
        <v>0.24388447613719966</v>
      </c>
      <c r="R183" s="191">
        <f t="shared" si="48"/>
        <v>0.14849233662031211</v>
      </c>
      <c r="S183" s="191">
        <f t="shared" si="48"/>
        <v>0.14849233662031211</v>
      </c>
      <c r="T183" s="191">
        <f t="shared" ref="T183:U183" si="49">IF(T$20, $H115, $H112)</f>
        <v>0.14849233662031211</v>
      </c>
      <c r="U183" s="191">
        <f t="shared" si="49"/>
        <v>0.14849233662031211</v>
      </c>
      <c r="V183" s="191">
        <f t="shared" ref="V183:W183" si="50">IF(V$20, $H115, $H112)</f>
        <v>0.14849233662031211</v>
      </c>
      <c r="W183" s="191">
        <f t="shared" si="50"/>
        <v>0.14849233662031211</v>
      </c>
      <c r="X183" s="191">
        <f t="shared" ref="X183:Y183" si="51">IF(X$20, $H115, $H112)</f>
        <v>0.14849233662031211</v>
      </c>
      <c r="Y183" s="191">
        <f t="shared" si="51"/>
        <v>0.14849233662031211</v>
      </c>
    </row>
    <row r="184" spans="5:25" x14ac:dyDescent="0.25">
      <c r="E184" s="86"/>
      <c r="F184" s="120" t="s">
        <v>258</v>
      </c>
      <c r="G184" s="101" t="s">
        <v>168</v>
      </c>
      <c r="H184" s="187"/>
      <c r="I184" s="96"/>
      <c r="J184" s="200">
        <f t="shared" ref="J184:K184" si="52">IF(J$20, $H116, $H113)</f>
        <v>2.9292750745530938E-2</v>
      </c>
      <c r="K184" s="200">
        <f t="shared" si="52"/>
        <v>2.9292750745530938E-2</v>
      </c>
      <c r="L184" s="200">
        <f t="shared" ref="L184:M184" si="53">IF(L$20, $H116, $H113)</f>
        <v>2.9292750745530938E-2</v>
      </c>
      <c r="M184" s="200">
        <f t="shared" si="53"/>
        <v>2.9292750745530938E-2</v>
      </c>
      <c r="N184" s="200">
        <f t="shared" ref="N184:P184" si="54">IF(N$20, $H116, $H113)</f>
        <v>2.9292750745530938E-2</v>
      </c>
      <c r="O184" s="200">
        <f t="shared" si="54"/>
        <v>2.9292750745530938E-2</v>
      </c>
      <c r="P184" s="200">
        <f t="shared" si="54"/>
        <v>2.9292750745530938E-2</v>
      </c>
      <c r="Q184" s="200">
        <f t="shared" ref="Q184:S184" si="55">IF(Q$20, $H116, $H113)</f>
        <v>2.9292750745530938E-2</v>
      </c>
      <c r="R184" s="200">
        <f t="shared" si="55"/>
        <v>2.9292750745530938E-2</v>
      </c>
      <c r="S184" s="200">
        <f t="shared" si="55"/>
        <v>2.9292750745530938E-2</v>
      </c>
      <c r="T184" s="200">
        <f t="shared" ref="T184:U184" si="56">IF(T$20, $H116, $H113)</f>
        <v>2.9292750745530938E-2</v>
      </c>
      <c r="U184" s="200">
        <f t="shared" si="56"/>
        <v>2.9292750745530938E-2</v>
      </c>
      <c r="V184" s="200">
        <f t="shared" ref="V184:W184" si="57">IF(V$20, $H116, $H113)</f>
        <v>2.9292750745530938E-2</v>
      </c>
      <c r="W184" s="200">
        <f t="shared" si="57"/>
        <v>2.9292750745530938E-2</v>
      </c>
      <c r="X184" s="200">
        <f t="shared" ref="X184:Y184" si="58">IF(X$20, $H116, $H113)</f>
        <v>2.9292750745530938E-2</v>
      </c>
      <c r="Y184" s="200">
        <f t="shared" si="58"/>
        <v>2.9292750745530938E-2</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439</v>
      </c>
      <c r="G186" s="94"/>
    </row>
    <row r="187" spans="5:25" x14ac:dyDescent="0.25">
      <c r="E187" s="86"/>
      <c r="F187" s="116" t="s">
        <v>423</v>
      </c>
      <c r="G187" s="98" t="s">
        <v>168</v>
      </c>
      <c r="H187" s="154"/>
      <c r="I187" s="95"/>
      <c r="J187" s="199">
        <f t="shared" ref="J187:K187" si="59">IF(J$20, $H122, $H119)</f>
        <v>0.82221491263415702</v>
      </c>
      <c r="K187" s="199">
        <f t="shared" si="59"/>
        <v>0.82221491263415702</v>
      </c>
      <c r="L187" s="199">
        <f t="shared" ref="L187:M187" si="60">IF(L$20, $H122, $H119)</f>
        <v>0.82221491263415702</v>
      </c>
      <c r="M187" s="199">
        <f t="shared" si="60"/>
        <v>0.82221491263415702</v>
      </c>
      <c r="N187" s="199">
        <f t="shared" ref="N187:P187" si="61">IF(N$20, $H122, $H119)</f>
        <v>0.82221491263415702</v>
      </c>
      <c r="O187" s="199">
        <f t="shared" si="61"/>
        <v>0.82221491263415702</v>
      </c>
      <c r="P187" s="199">
        <f t="shared" si="61"/>
        <v>0.82221491263415702</v>
      </c>
      <c r="Q187" s="199">
        <f t="shared" ref="Q187:S187" si="62">IF(Q$20, $H122, $H119)</f>
        <v>0.7268227731172695</v>
      </c>
      <c r="R187" s="199">
        <f t="shared" si="62"/>
        <v>0.82221491263415702</v>
      </c>
      <c r="S187" s="199">
        <f t="shared" si="62"/>
        <v>0.82221491263415702</v>
      </c>
      <c r="T187" s="199">
        <f t="shared" ref="T187:U187" si="63">IF(T$20, $H122, $H119)</f>
        <v>0.82221491263415702</v>
      </c>
      <c r="U187" s="199">
        <f t="shared" si="63"/>
        <v>0.82221491263415702</v>
      </c>
      <c r="V187" s="199">
        <f t="shared" ref="V187:W187" si="64">IF(V$20, $H122, $H119)</f>
        <v>0.82221491263415702</v>
      </c>
      <c r="W187" s="199">
        <f t="shared" si="64"/>
        <v>0.82221491263415702</v>
      </c>
      <c r="X187" s="199">
        <f t="shared" ref="X187:Y187" si="65">IF(X$20, $H122, $H119)</f>
        <v>0.82221491263415702</v>
      </c>
      <c r="Y187" s="199">
        <f t="shared" si="65"/>
        <v>0.82221491263415702</v>
      </c>
    </row>
    <row r="188" spans="5:25" x14ac:dyDescent="0.25">
      <c r="E188" s="86"/>
      <c r="F188" s="118" t="s">
        <v>424</v>
      </c>
      <c r="G188" s="94" t="s">
        <v>168</v>
      </c>
      <c r="H188" s="155"/>
      <c r="J188" s="191">
        <f t="shared" ref="J188:K188" si="66">IF(J$20, $H123, $H120)</f>
        <v>0.14849233662031211</v>
      </c>
      <c r="K188" s="191">
        <f t="shared" si="66"/>
        <v>0.14849233662031211</v>
      </c>
      <c r="L188" s="191">
        <f t="shared" ref="L188:M188" si="67">IF(L$20, $H123, $H120)</f>
        <v>0.14849233662031211</v>
      </c>
      <c r="M188" s="191">
        <f t="shared" si="67"/>
        <v>0.14849233662031211</v>
      </c>
      <c r="N188" s="191">
        <f t="shared" ref="N188:P188" si="68">IF(N$20, $H123, $H120)</f>
        <v>0.14849233662031211</v>
      </c>
      <c r="O188" s="191">
        <f t="shared" si="68"/>
        <v>0.14849233662031211</v>
      </c>
      <c r="P188" s="191">
        <f t="shared" si="68"/>
        <v>0.14849233662031211</v>
      </c>
      <c r="Q188" s="191">
        <f t="shared" ref="Q188:S188" si="69">IF(Q$20, $H123, $H120)</f>
        <v>0.24388447613719966</v>
      </c>
      <c r="R188" s="191">
        <f t="shared" si="69"/>
        <v>0.14849233662031211</v>
      </c>
      <c r="S188" s="191">
        <f t="shared" si="69"/>
        <v>0.14849233662031211</v>
      </c>
      <c r="T188" s="191">
        <f t="shared" ref="T188:U188" si="70">IF(T$20, $H123, $H120)</f>
        <v>0.14849233662031211</v>
      </c>
      <c r="U188" s="191">
        <f t="shared" si="70"/>
        <v>0.14849233662031211</v>
      </c>
      <c r="V188" s="191">
        <f t="shared" ref="V188:W188" si="71">IF(V$20, $H123, $H120)</f>
        <v>0.14849233662031211</v>
      </c>
      <c r="W188" s="191">
        <f t="shared" si="71"/>
        <v>0.14849233662031211</v>
      </c>
      <c r="X188" s="191">
        <f t="shared" ref="X188:Y188" si="72">IF(X$20, $H123, $H120)</f>
        <v>0.14849233662031211</v>
      </c>
      <c r="Y188" s="191">
        <f t="shared" si="72"/>
        <v>0.14849233662031211</v>
      </c>
    </row>
    <row r="189" spans="5:25" x14ac:dyDescent="0.25">
      <c r="E189" s="86"/>
      <c r="F189" s="120" t="s">
        <v>258</v>
      </c>
      <c r="G189" s="101" t="s">
        <v>168</v>
      </c>
      <c r="H189" s="187"/>
      <c r="I189" s="96"/>
      <c r="J189" s="200">
        <f t="shared" ref="J189:K189" si="73">IF(J$20, $H124, $H121)</f>
        <v>2.9292750745530938E-2</v>
      </c>
      <c r="K189" s="200">
        <f t="shared" si="73"/>
        <v>2.9292750745530938E-2</v>
      </c>
      <c r="L189" s="200">
        <f t="shared" ref="L189:M189" si="74">IF(L$20, $H124, $H121)</f>
        <v>2.9292750745530938E-2</v>
      </c>
      <c r="M189" s="200">
        <f t="shared" si="74"/>
        <v>2.9292750745530938E-2</v>
      </c>
      <c r="N189" s="200">
        <f t="shared" ref="N189:P189" si="75">IF(N$20, $H124, $H121)</f>
        <v>2.9292750745530938E-2</v>
      </c>
      <c r="O189" s="200">
        <f t="shared" si="75"/>
        <v>2.9292750745530938E-2</v>
      </c>
      <c r="P189" s="200">
        <f t="shared" si="75"/>
        <v>2.9292750745530938E-2</v>
      </c>
      <c r="Q189" s="200">
        <f t="shared" ref="Q189:S189" si="76">IF(Q$20, $H124, $H121)</f>
        <v>2.9292750745530938E-2</v>
      </c>
      <c r="R189" s="200">
        <f t="shared" si="76"/>
        <v>2.9292750745530938E-2</v>
      </c>
      <c r="S189" s="200">
        <f t="shared" si="76"/>
        <v>2.9292750745530938E-2</v>
      </c>
      <c r="T189" s="200">
        <f t="shared" ref="T189:U189" si="77">IF(T$20, $H124, $H121)</f>
        <v>2.9292750745530938E-2</v>
      </c>
      <c r="U189" s="200">
        <f t="shared" si="77"/>
        <v>2.9292750745530938E-2</v>
      </c>
      <c r="V189" s="200">
        <f t="shared" ref="V189:W189" si="78">IF(V$20, $H124, $H121)</f>
        <v>2.9292750745530938E-2</v>
      </c>
      <c r="W189" s="200">
        <f t="shared" si="78"/>
        <v>2.9292750745530938E-2</v>
      </c>
      <c r="X189" s="200">
        <f t="shared" ref="X189:Y189" si="79">IF(X$20, $H124, $H121)</f>
        <v>2.9292750745530938E-2</v>
      </c>
      <c r="Y189" s="200">
        <f t="shared" si="79"/>
        <v>2.9292750745530938E-2</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440</v>
      </c>
      <c r="G191" s="94"/>
    </row>
    <row r="192" spans="5:25" x14ac:dyDescent="0.25">
      <c r="E192" s="86"/>
      <c r="F192" s="116" t="s">
        <v>423</v>
      </c>
      <c r="G192" s="98" t="s">
        <v>168</v>
      </c>
      <c r="H192" s="154"/>
      <c r="I192" s="95"/>
      <c r="J192" s="199">
        <f t="shared" ref="J192:K192" si="80">IF(J$20, $H130, $H127)</f>
        <v>0.5368830052022483</v>
      </c>
      <c r="K192" s="199">
        <f t="shared" si="80"/>
        <v>0.5368830052022483</v>
      </c>
      <c r="L192" s="199">
        <f t="shared" ref="L192:M192" si="81">IF(L$20, $H130, $H127)</f>
        <v>0.5368830052022483</v>
      </c>
      <c r="M192" s="199">
        <f t="shared" si="81"/>
        <v>0.5368830052022483</v>
      </c>
      <c r="N192" s="199">
        <f t="shared" ref="N192:P192" si="82">IF(N$20, $H130, $H127)</f>
        <v>0.5368830052022483</v>
      </c>
      <c r="O192" s="199">
        <f t="shared" si="82"/>
        <v>0.5368830052022483</v>
      </c>
      <c r="P192" s="199">
        <f t="shared" si="82"/>
        <v>0.5368830052022483</v>
      </c>
      <c r="Q192" s="199">
        <f t="shared" ref="Q192:S192" si="83">IF(Q$20, $H130, $H127)</f>
        <v>0.47979178727836241</v>
      </c>
      <c r="R192" s="199">
        <f t="shared" si="83"/>
        <v>0.5368830052022483</v>
      </c>
      <c r="S192" s="199">
        <f t="shared" si="83"/>
        <v>0.5368830052022483</v>
      </c>
      <c r="T192" s="199">
        <f t="shared" ref="T192:U192" si="84">IF(T$20, $H130, $H127)</f>
        <v>0.5368830052022483</v>
      </c>
      <c r="U192" s="199">
        <f t="shared" si="84"/>
        <v>0.5368830052022483</v>
      </c>
      <c r="V192" s="199">
        <f t="shared" ref="V192:W192" si="85">IF(V$20, $H130, $H127)</f>
        <v>0.5368830052022483</v>
      </c>
      <c r="W192" s="199">
        <f t="shared" si="85"/>
        <v>0.5368830052022483</v>
      </c>
      <c r="X192" s="199">
        <f t="shared" ref="X192:Y192" si="86">IF(X$20, $H130, $H127)</f>
        <v>0.5368830052022483</v>
      </c>
      <c r="Y192" s="199">
        <f t="shared" si="86"/>
        <v>0.5368830052022483</v>
      </c>
    </row>
    <row r="193" spans="5:25" x14ac:dyDescent="0.25">
      <c r="E193" s="86"/>
      <c r="F193" s="118" t="s">
        <v>424</v>
      </c>
      <c r="G193" s="94" t="s">
        <v>168</v>
      </c>
      <c r="H193" s="155"/>
      <c r="J193" s="191">
        <f t="shared" ref="J193:K193" si="87">IF(J$20, $H131, $H128)</f>
        <v>0.40957442333583177</v>
      </c>
      <c r="K193" s="191">
        <f t="shared" si="87"/>
        <v>0.40957442333583177</v>
      </c>
      <c r="L193" s="191">
        <f t="shared" ref="L193:M193" si="88">IF(L$20, $H131, $H128)</f>
        <v>0.40957442333583177</v>
      </c>
      <c r="M193" s="191">
        <f t="shared" si="88"/>
        <v>0.40957442333583177</v>
      </c>
      <c r="N193" s="191">
        <f t="shared" ref="N193:P193" si="89">IF(N$20, $H131, $H128)</f>
        <v>0.40957442333583177</v>
      </c>
      <c r="O193" s="191">
        <f t="shared" si="89"/>
        <v>0.40957442333583177</v>
      </c>
      <c r="P193" s="191">
        <f t="shared" si="89"/>
        <v>0.40957442333583177</v>
      </c>
      <c r="Q193" s="191">
        <f t="shared" ref="Q193:S193" si="90">IF(Q$20, $H131, $H128)</f>
        <v>0.4666656412597176</v>
      </c>
      <c r="R193" s="191">
        <f t="shared" si="90"/>
        <v>0.40957442333583177</v>
      </c>
      <c r="S193" s="191">
        <f t="shared" si="90"/>
        <v>0.40957442333583177</v>
      </c>
      <c r="T193" s="191">
        <f t="shared" ref="T193:U193" si="91">IF(T$20, $H131, $H128)</f>
        <v>0.40957442333583177</v>
      </c>
      <c r="U193" s="191">
        <f t="shared" si="91"/>
        <v>0.40957442333583177</v>
      </c>
      <c r="V193" s="191">
        <f t="shared" ref="V193:W193" si="92">IF(V$20, $H131, $H128)</f>
        <v>0.40957442333583177</v>
      </c>
      <c r="W193" s="191">
        <f t="shared" si="92"/>
        <v>0.40957442333583177</v>
      </c>
      <c r="X193" s="191">
        <f t="shared" ref="X193:Y193" si="93">IF(X$20, $H131, $H128)</f>
        <v>0.40957442333583177</v>
      </c>
      <c r="Y193" s="191">
        <f t="shared" si="93"/>
        <v>0.40957442333583177</v>
      </c>
    </row>
    <row r="194" spans="5:25" x14ac:dyDescent="0.25">
      <c r="E194" s="86"/>
      <c r="F194" s="120" t="s">
        <v>258</v>
      </c>
      <c r="G194" s="101" t="s">
        <v>168</v>
      </c>
      <c r="H194" s="187"/>
      <c r="I194" s="96"/>
      <c r="J194" s="200">
        <f t="shared" ref="J194:K194" si="94">IF(J$20, $H132, $H129)</f>
        <v>5.3542571461920048E-2</v>
      </c>
      <c r="K194" s="200">
        <f t="shared" si="94"/>
        <v>5.3542571461920048E-2</v>
      </c>
      <c r="L194" s="200">
        <f t="shared" ref="L194:M194" si="95">IF(L$20, $H132, $H129)</f>
        <v>5.3542571461920048E-2</v>
      </c>
      <c r="M194" s="200">
        <f t="shared" si="95"/>
        <v>5.3542571461920048E-2</v>
      </c>
      <c r="N194" s="200">
        <f t="shared" ref="N194:P194" si="96">IF(N$20, $H132, $H129)</f>
        <v>5.3542571461920048E-2</v>
      </c>
      <c r="O194" s="200">
        <f t="shared" si="96"/>
        <v>5.3542571461920048E-2</v>
      </c>
      <c r="P194" s="200">
        <f t="shared" si="96"/>
        <v>5.3542571461920048E-2</v>
      </c>
      <c r="Q194" s="200">
        <f t="shared" ref="Q194:S194" si="97">IF(Q$20, $H132, $H129)</f>
        <v>5.3542571461920048E-2</v>
      </c>
      <c r="R194" s="200">
        <f t="shared" si="97"/>
        <v>5.3542571461920048E-2</v>
      </c>
      <c r="S194" s="200">
        <f t="shared" si="97"/>
        <v>5.3542571461920048E-2</v>
      </c>
      <c r="T194" s="200">
        <f t="shared" ref="T194:U194" si="98">IF(T$20, $H132, $H129)</f>
        <v>5.3542571461920048E-2</v>
      </c>
      <c r="U194" s="200">
        <f t="shared" si="98"/>
        <v>5.3542571461920048E-2</v>
      </c>
      <c r="V194" s="200">
        <f t="shared" ref="V194:W194" si="99">IF(V$20, $H132, $H129)</f>
        <v>5.3542571461920048E-2</v>
      </c>
      <c r="W194" s="200">
        <f t="shared" si="99"/>
        <v>5.3542571461920048E-2</v>
      </c>
      <c r="X194" s="200">
        <f t="shared" ref="X194:Y194" si="100">IF(X$20, $H132, $H129)</f>
        <v>5.3542571461920048E-2</v>
      </c>
      <c r="Y194" s="200">
        <f t="shared" si="100"/>
        <v>5.3542571461920048E-2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441</v>
      </c>
      <c r="G196" s="94"/>
    </row>
    <row r="197" spans="5:25" x14ac:dyDescent="0.25">
      <c r="E197" s="86"/>
      <c r="F197" s="116" t="s">
        <v>423</v>
      </c>
      <c r="G197" s="98" t="s">
        <v>168</v>
      </c>
      <c r="H197" s="154"/>
      <c r="I197" s="95"/>
      <c r="J197" s="199">
        <f t="shared" ref="J197:K197" si="101">IF(J$20, $H138, $H135)</f>
        <v>0.5368830052022483</v>
      </c>
      <c r="K197" s="199">
        <f t="shared" si="101"/>
        <v>0.5368830052022483</v>
      </c>
      <c r="L197" s="199">
        <f t="shared" ref="L197:M197" si="102">IF(L$20, $H138, $H135)</f>
        <v>0.5368830052022483</v>
      </c>
      <c r="M197" s="199">
        <f t="shared" si="102"/>
        <v>0.5368830052022483</v>
      </c>
      <c r="N197" s="199">
        <f t="shared" ref="N197:P197" si="103">IF(N$20, $H138, $H135)</f>
        <v>0.5368830052022483</v>
      </c>
      <c r="O197" s="199">
        <f t="shared" si="103"/>
        <v>0.5368830052022483</v>
      </c>
      <c r="P197" s="199">
        <f t="shared" si="103"/>
        <v>0.5368830052022483</v>
      </c>
      <c r="Q197" s="199">
        <f t="shared" ref="Q197:S197" si="104">IF(Q$20, $H138, $H135)</f>
        <v>0.47979178727836241</v>
      </c>
      <c r="R197" s="199">
        <f t="shared" si="104"/>
        <v>0.5368830052022483</v>
      </c>
      <c r="S197" s="199">
        <f t="shared" si="104"/>
        <v>0.5368830052022483</v>
      </c>
      <c r="T197" s="199">
        <f t="shared" ref="T197:U197" si="105">IF(T$20, $H138, $H135)</f>
        <v>0.5368830052022483</v>
      </c>
      <c r="U197" s="199">
        <f t="shared" si="105"/>
        <v>0.5368830052022483</v>
      </c>
      <c r="V197" s="199">
        <f t="shared" ref="V197:W197" si="106">IF(V$20, $H138, $H135)</f>
        <v>0.5368830052022483</v>
      </c>
      <c r="W197" s="199">
        <f t="shared" si="106"/>
        <v>0.5368830052022483</v>
      </c>
      <c r="X197" s="199">
        <f t="shared" ref="X197:Y197" si="107">IF(X$20, $H138, $H135)</f>
        <v>0.5368830052022483</v>
      </c>
      <c r="Y197" s="199">
        <f t="shared" si="107"/>
        <v>0.5368830052022483</v>
      </c>
    </row>
    <row r="198" spans="5:25" x14ac:dyDescent="0.25">
      <c r="E198" s="86"/>
      <c r="F198" s="118" t="s">
        <v>424</v>
      </c>
      <c r="G198" s="94" t="s">
        <v>168</v>
      </c>
      <c r="H198" s="155"/>
      <c r="J198" s="191">
        <f t="shared" ref="J198:K198" si="108">IF(J$20, $H139, $H136)</f>
        <v>0.40957442333583177</v>
      </c>
      <c r="K198" s="191">
        <f t="shared" si="108"/>
        <v>0.40957442333583177</v>
      </c>
      <c r="L198" s="191">
        <f t="shared" ref="L198:M198" si="109">IF(L$20, $H139, $H136)</f>
        <v>0.40957442333583177</v>
      </c>
      <c r="M198" s="191">
        <f t="shared" si="109"/>
        <v>0.40957442333583177</v>
      </c>
      <c r="N198" s="191">
        <f t="shared" ref="N198:P198" si="110">IF(N$20, $H139, $H136)</f>
        <v>0.40957442333583177</v>
      </c>
      <c r="O198" s="191">
        <f t="shared" si="110"/>
        <v>0.40957442333583177</v>
      </c>
      <c r="P198" s="191">
        <f t="shared" si="110"/>
        <v>0.40957442333583177</v>
      </c>
      <c r="Q198" s="191">
        <f t="shared" ref="Q198:S198" si="111">IF(Q$20, $H139, $H136)</f>
        <v>0.4666656412597176</v>
      </c>
      <c r="R198" s="191">
        <f t="shared" si="111"/>
        <v>0.40957442333583177</v>
      </c>
      <c r="S198" s="191">
        <f t="shared" si="111"/>
        <v>0.40957442333583177</v>
      </c>
      <c r="T198" s="191">
        <f t="shared" ref="T198:U198" si="112">IF(T$20, $H139, $H136)</f>
        <v>0.40957442333583177</v>
      </c>
      <c r="U198" s="191">
        <f t="shared" si="112"/>
        <v>0.40957442333583177</v>
      </c>
      <c r="V198" s="191">
        <f t="shared" ref="V198:W198" si="113">IF(V$20, $H139, $H136)</f>
        <v>0.40957442333583177</v>
      </c>
      <c r="W198" s="191">
        <f t="shared" si="113"/>
        <v>0.40957442333583177</v>
      </c>
      <c r="X198" s="191">
        <f t="shared" ref="X198:Y198" si="114">IF(X$20, $H139, $H136)</f>
        <v>0.40957442333583177</v>
      </c>
      <c r="Y198" s="191">
        <f t="shared" si="114"/>
        <v>0.40957442333583177</v>
      </c>
    </row>
    <row r="199" spans="5:25" x14ac:dyDescent="0.25">
      <c r="E199" s="86"/>
      <c r="F199" s="120" t="s">
        <v>258</v>
      </c>
      <c r="G199" s="101" t="s">
        <v>168</v>
      </c>
      <c r="H199" s="187"/>
      <c r="I199" s="96"/>
      <c r="J199" s="200">
        <f t="shared" ref="J199:K199" si="115">IF(J$20, $H140, $H137)</f>
        <v>5.3542571461920048E-2</v>
      </c>
      <c r="K199" s="200">
        <f t="shared" si="115"/>
        <v>5.3542571461920048E-2</v>
      </c>
      <c r="L199" s="200">
        <f t="shared" ref="L199:M199" si="116">IF(L$20, $H140, $H137)</f>
        <v>5.3542571461920048E-2</v>
      </c>
      <c r="M199" s="200">
        <f t="shared" si="116"/>
        <v>5.3542571461920048E-2</v>
      </c>
      <c r="N199" s="200">
        <f t="shared" ref="N199:P199" si="117">IF(N$20, $H140, $H137)</f>
        <v>5.3542571461920048E-2</v>
      </c>
      <c r="O199" s="200">
        <f t="shared" si="117"/>
        <v>5.3542571461920048E-2</v>
      </c>
      <c r="P199" s="200">
        <f t="shared" si="117"/>
        <v>5.3542571461920048E-2</v>
      </c>
      <c r="Q199" s="200">
        <f t="shared" ref="Q199:S199" si="118">IF(Q$20, $H140, $H137)</f>
        <v>5.3542571461920048E-2</v>
      </c>
      <c r="R199" s="200">
        <f t="shared" si="118"/>
        <v>5.3542571461920048E-2</v>
      </c>
      <c r="S199" s="200">
        <f t="shared" si="118"/>
        <v>5.3542571461920048E-2</v>
      </c>
      <c r="T199" s="200">
        <f t="shared" ref="T199:U199" si="119">IF(T$20, $H140, $H137)</f>
        <v>5.3542571461920048E-2</v>
      </c>
      <c r="U199" s="200">
        <f t="shared" si="119"/>
        <v>5.3542571461920048E-2</v>
      </c>
      <c r="V199" s="200">
        <f t="shared" ref="V199:W199" si="120">IF(V$20, $H140, $H137)</f>
        <v>5.3542571461920048E-2</v>
      </c>
      <c r="W199" s="200">
        <f t="shared" si="120"/>
        <v>5.3542571461920048E-2</v>
      </c>
      <c r="X199" s="200">
        <f t="shared" ref="X199:Y199" si="121">IF(X$20, $H140, $H137)</f>
        <v>5.3542571461920048E-2</v>
      </c>
      <c r="Y199" s="200">
        <f t="shared" si="121"/>
        <v>5.3542571461920048E-2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442</v>
      </c>
      <c r="G201" s="94"/>
    </row>
    <row r="202" spans="5:25" x14ac:dyDescent="0.25">
      <c r="E202" s="86"/>
      <c r="F202" s="116" t="s">
        <v>423</v>
      </c>
      <c r="G202" s="98" t="s">
        <v>168</v>
      </c>
      <c r="H202" s="154"/>
      <c r="I202" s="95"/>
      <c r="J202" s="199">
        <f t="shared" ref="J202:K202" si="122">IF(J$20, $H146, $H143)</f>
        <v>0.82221491263415702</v>
      </c>
      <c r="K202" s="199">
        <f t="shared" si="122"/>
        <v>0.82221491263415702</v>
      </c>
      <c r="L202" s="199">
        <f t="shared" ref="L202:M202" si="123">IF(L$20, $H146, $H143)</f>
        <v>0.82221491263415702</v>
      </c>
      <c r="M202" s="199">
        <f t="shared" si="123"/>
        <v>0.82221491263415702</v>
      </c>
      <c r="N202" s="199">
        <f t="shared" ref="N202:P202" si="124">IF(N$20, $H146, $H143)</f>
        <v>0.82221491263415702</v>
      </c>
      <c r="O202" s="199">
        <f t="shared" si="124"/>
        <v>0.82221491263415702</v>
      </c>
      <c r="P202" s="199">
        <f t="shared" si="124"/>
        <v>0.82221491263415702</v>
      </c>
      <c r="Q202" s="199">
        <f t="shared" ref="Q202:S202" si="125">IF(Q$20, $H146, $H143)</f>
        <v>0.7268227731172695</v>
      </c>
      <c r="R202" s="199">
        <f t="shared" si="125"/>
        <v>0.82221491263415702</v>
      </c>
      <c r="S202" s="199">
        <f t="shared" si="125"/>
        <v>0.82221491263415702</v>
      </c>
      <c r="T202" s="199">
        <f t="shared" ref="T202:U202" si="126">IF(T$20, $H146, $H143)</f>
        <v>0.82221491263415702</v>
      </c>
      <c r="U202" s="199">
        <f t="shared" si="126"/>
        <v>0.82221491263415702</v>
      </c>
      <c r="V202" s="199">
        <f t="shared" ref="V202:W202" si="127">IF(V$20, $H146, $H143)</f>
        <v>0.82221491263415702</v>
      </c>
      <c r="W202" s="199">
        <f t="shared" si="127"/>
        <v>0.82221491263415702</v>
      </c>
      <c r="X202" s="199">
        <f t="shared" ref="X202:Y202" si="128">IF(X$20, $H146, $H143)</f>
        <v>0.82221491263415702</v>
      </c>
      <c r="Y202" s="199">
        <f t="shared" si="128"/>
        <v>0.82221491263415702</v>
      </c>
    </row>
    <row r="203" spans="5:25" x14ac:dyDescent="0.25">
      <c r="E203" s="86"/>
      <c r="F203" s="118" t="s">
        <v>424</v>
      </c>
      <c r="G203" s="94" t="s">
        <v>168</v>
      </c>
      <c r="H203" s="155"/>
      <c r="J203" s="191">
        <f t="shared" ref="J203:K203" si="129">IF(J$20, $H147, $H144)</f>
        <v>0.14849233662031211</v>
      </c>
      <c r="K203" s="191">
        <f t="shared" si="129"/>
        <v>0.14849233662031211</v>
      </c>
      <c r="L203" s="191">
        <f t="shared" ref="L203:M203" si="130">IF(L$20, $H147, $H144)</f>
        <v>0.14849233662031211</v>
      </c>
      <c r="M203" s="191">
        <f t="shared" si="130"/>
        <v>0.14849233662031211</v>
      </c>
      <c r="N203" s="191">
        <f t="shared" ref="N203:P203" si="131">IF(N$20, $H147, $H144)</f>
        <v>0.14849233662031211</v>
      </c>
      <c r="O203" s="191">
        <f t="shared" si="131"/>
        <v>0.14849233662031211</v>
      </c>
      <c r="P203" s="191">
        <f t="shared" si="131"/>
        <v>0.14849233662031211</v>
      </c>
      <c r="Q203" s="191">
        <f t="shared" ref="Q203:S203" si="132">IF(Q$20, $H147, $H144)</f>
        <v>0.24388447613719966</v>
      </c>
      <c r="R203" s="191">
        <f t="shared" si="132"/>
        <v>0.14849233662031211</v>
      </c>
      <c r="S203" s="191">
        <f t="shared" si="132"/>
        <v>0.14849233662031211</v>
      </c>
      <c r="T203" s="191">
        <f t="shared" ref="T203:U203" si="133">IF(T$20, $H147, $H144)</f>
        <v>0.14849233662031211</v>
      </c>
      <c r="U203" s="191">
        <f t="shared" si="133"/>
        <v>0.14849233662031211</v>
      </c>
      <c r="V203" s="191">
        <f t="shared" ref="V203:W203" si="134">IF(V$20, $H147, $H144)</f>
        <v>0.14849233662031211</v>
      </c>
      <c r="W203" s="191">
        <f t="shared" si="134"/>
        <v>0.14849233662031211</v>
      </c>
      <c r="X203" s="191">
        <f t="shared" ref="X203:Y203" si="135">IF(X$20, $H147, $H144)</f>
        <v>0.14849233662031211</v>
      </c>
      <c r="Y203" s="191">
        <f t="shared" si="135"/>
        <v>0.14849233662031211</v>
      </c>
    </row>
    <row r="204" spans="5:25" x14ac:dyDescent="0.25">
      <c r="E204" s="86"/>
      <c r="F204" s="120" t="s">
        <v>258</v>
      </c>
      <c r="G204" s="101" t="s">
        <v>168</v>
      </c>
      <c r="H204" s="187"/>
      <c r="I204" s="96"/>
      <c r="J204" s="200">
        <f t="shared" ref="J204:K204" si="136">IF(J$20, $H148, $H145)</f>
        <v>2.9292750745530938E-2</v>
      </c>
      <c r="K204" s="200">
        <f t="shared" si="136"/>
        <v>2.9292750745530938E-2</v>
      </c>
      <c r="L204" s="200">
        <f t="shared" ref="L204:M204" si="137">IF(L$20, $H148, $H145)</f>
        <v>2.9292750745530938E-2</v>
      </c>
      <c r="M204" s="200">
        <f t="shared" si="137"/>
        <v>2.9292750745530938E-2</v>
      </c>
      <c r="N204" s="200">
        <f t="shared" ref="N204:P204" si="138">IF(N$20, $H148, $H145)</f>
        <v>2.9292750745530938E-2</v>
      </c>
      <c r="O204" s="200">
        <f t="shared" si="138"/>
        <v>2.9292750745530938E-2</v>
      </c>
      <c r="P204" s="200">
        <f t="shared" si="138"/>
        <v>2.9292750745530938E-2</v>
      </c>
      <c r="Q204" s="200">
        <f t="shared" ref="Q204:S204" si="139">IF(Q$20, $H148, $H145)</f>
        <v>2.9292750745530938E-2</v>
      </c>
      <c r="R204" s="200">
        <f t="shared" si="139"/>
        <v>2.9292750745530938E-2</v>
      </c>
      <c r="S204" s="200">
        <f t="shared" si="139"/>
        <v>2.9292750745530938E-2</v>
      </c>
      <c r="T204" s="200">
        <f t="shared" ref="T204:U204" si="140">IF(T$20, $H148, $H145)</f>
        <v>2.9292750745530938E-2</v>
      </c>
      <c r="U204" s="200">
        <f t="shared" si="140"/>
        <v>2.9292750745530938E-2</v>
      </c>
      <c r="V204" s="200">
        <f t="shared" ref="V204:W204" si="141">IF(V$20, $H148, $H145)</f>
        <v>2.9292750745530938E-2</v>
      </c>
      <c r="W204" s="200">
        <f t="shared" si="141"/>
        <v>2.9292750745530938E-2</v>
      </c>
      <c r="X204" s="200">
        <f t="shared" ref="X204:Y204" si="142">IF(X$20, $H148, $H145)</f>
        <v>2.9292750745530938E-2</v>
      </c>
      <c r="Y204" s="200">
        <f t="shared" si="142"/>
        <v>2.9292750745530938E-2</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443</v>
      </c>
      <c r="G206" s="94"/>
    </row>
    <row r="207" spans="5:25" x14ac:dyDescent="0.25">
      <c r="E207" s="86"/>
      <c r="F207" s="116" t="s">
        <v>423</v>
      </c>
      <c r="G207" s="98" t="s">
        <v>168</v>
      </c>
      <c r="H207" s="154"/>
      <c r="I207" s="95"/>
      <c r="J207" s="199">
        <f t="shared" ref="J207:K207" si="143">IF(J$20, $H154, $H151)</f>
        <v>0.5368830052022483</v>
      </c>
      <c r="K207" s="199">
        <f t="shared" si="143"/>
        <v>0.5368830052022483</v>
      </c>
      <c r="L207" s="199">
        <f t="shared" ref="L207:M207" si="144">IF(L$20, $H154, $H151)</f>
        <v>0.5368830052022483</v>
      </c>
      <c r="M207" s="199">
        <f t="shared" si="144"/>
        <v>0.5368830052022483</v>
      </c>
      <c r="N207" s="199">
        <f t="shared" ref="N207:P207" si="145">IF(N$20, $H154, $H151)</f>
        <v>0.5368830052022483</v>
      </c>
      <c r="O207" s="199">
        <f t="shared" si="145"/>
        <v>0.5368830052022483</v>
      </c>
      <c r="P207" s="199">
        <f t="shared" si="145"/>
        <v>0.5368830052022483</v>
      </c>
      <c r="Q207" s="199">
        <f t="shared" ref="Q207:S207" si="146">IF(Q$20, $H154, $H151)</f>
        <v>0.47979178727836241</v>
      </c>
      <c r="R207" s="199">
        <f t="shared" si="146"/>
        <v>0.5368830052022483</v>
      </c>
      <c r="S207" s="199">
        <f t="shared" si="146"/>
        <v>0.5368830052022483</v>
      </c>
      <c r="T207" s="199">
        <f t="shared" ref="T207:U207" si="147">IF(T$20, $H154, $H151)</f>
        <v>0.5368830052022483</v>
      </c>
      <c r="U207" s="199">
        <f t="shared" si="147"/>
        <v>0.5368830052022483</v>
      </c>
      <c r="V207" s="199">
        <f t="shared" ref="V207:W207" si="148">IF(V$20, $H154, $H151)</f>
        <v>0.5368830052022483</v>
      </c>
      <c r="W207" s="199">
        <f t="shared" si="148"/>
        <v>0.5368830052022483</v>
      </c>
      <c r="X207" s="199">
        <f t="shared" ref="X207:Y207" si="149">IF(X$20, $H154, $H151)</f>
        <v>0.5368830052022483</v>
      </c>
      <c r="Y207" s="199">
        <f t="shared" si="149"/>
        <v>0.5368830052022483</v>
      </c>
    </row>
    <row r="208" spans="5:25" x14ac:dyDescent="0.25">
      <c r="E208" s="86"/>
      <c r="F208" s="118" t="s">
        <v>424</v>
      </c>
      <c r="G208" s="94" t="s">
        <v>168</v>
      </c>
      <c r="H208" s="155"/>
      <c r="J208" s="191">
        <f t="shared" ref="J208:K208" si="150">IF(J$20, $H155, $H152)</f>
        <v>0.40957442333583177</v>
      </c>
      <c r="K208" s="191">
        <f t="shared" si="150"/>
        <v>0.40957442333583177</v>
      </c>
      <c r="L208" s="191">
        <f t="shared" ref="L208:M208" si="151">IF(L$20, $H155, $H152)</f>
        <v>0.40957442333583177</v>
      </c>
      <c r="M208" s="191">
        <f t="shared" si="151"/>
        <v>0.40957442333583177</v>
      </c>
      <c r="N208" s="191">
        <f t="shared" ref="N208:P208" si="152">IF(N$20, $H155, $H152)</f>
        <v>0.40957442333583177</v>
      </c>
      <c r="O208" s="191">
        <f t="shared" si="152"/>
        <v>0.40957442333583177</v>
      </c>
      <c r="P208" s="191">
        <f t="shared" si="152"/>
        <v>0.40957442333583177</v>
      </c>
      <c r="Q208" s="191">
        <f t="shared" ref="Q208:S208" si="153">IF(Q$20, $H155, $H152)</f>
        <v>0.4666656412597176</v>
      </c>
      <c r="R208" s="191">
        <f t="shared" si="153"/>
        <v>0.40957442333583177</v>
      </c>
      <c r="S208" s="191">
        <f t="shared" si="153"/>
        <v>0.40957442333583177</v>
      </c>
      <c r="T208" s="191">
        <f t="shared" ref="T208:U208" si="154">IF(T$20, $H155, $H152)</f>
        <v>0.40957442333583177</v>
      </c>
      <c r="U208" s="191">
        <f t="shared" si="154"/>
        <v>0.40957442333583177</v>
      </c>
      <c r="V208" s="191">
        <f t="shared" ref="V208:W208" si="155">IF(V$20, $H155, $H152)</f>
        <v>0.40957442333583177</v>
      </c>
      <c r="W208" s="191">
        <f t="shared" si="155"/>
        <v>0.40957442333583177</v>
      </c>
      <c r="X208" s="191">
        <f t="shared" ref="X208:Y208" si="156">IF(X$20, $H155, $H152)</f>
        <v>0.40957442333583177</v>
      </c>
      <c r="Y208" s="191">
        <f t="shared" si="156"/>
        <v>0.40957442333583177</v>
      </c>
    </row>
    <row r="209" spans="3:27" x14ac:dyDescent="0.25">
      <c r="E209" s="86"/>
      <c r="F209" s="120" t="s">
        <v>258</v>
      </c>
      <c r="G209" s="101" t="s">
        <v>168</v>
      </c>
      <c r="H209" s="187"/>
      <c r="I209" s="96"/>
      <c r="J209" s="200">
        <f t="shared" ref="J209:K209" si="157">IF(J$20, $H156, $H153)</f>
        <v>5.3542571461920048E-2</v>
      </c>
      <c r="K209" s="200">
        <f t="shared" si="157"/>
        <v>5.3542571461920048E-2</v>
      </c>
      <c r="L209" s="200">
        <f t="shared" ref="L209:M209" si="158">IF(L$20, $H156, $H153)</f>
        <v>5.3542571461920048E-2</v>
      </c>
      <c r="M209" s="200">
        <f t="shared" si="158"/>
        <v>5.3542571461920048E-2</v>
      </c>
      <c r="N209" s="200">
        <f t="shared" ref="N209:P209" si="159">IF(N$20, $H156, $H153)</f>
        <v>5.3542571461920048E-2</v>
      </c>
      <c r="O209" s="200">
        <f t="shared" si="159"/>
        <v>5.3542571461920048E-2</v>
      </c>
      <c r="P209" s="200">
        <f t="shared" si="159"/>
        <v>5.3542571461920048E-2</v>
      </c>
      <c r="Q209" s="200">
        <f t="shared" ref="Q209:S209" si="160">IF(Q$20, $H156, $H153)</f>
        <v>5.3542571461920048E-2</v>
      </c>
      <c r="R209" s="200">
        <f t="shared" si="160"/>
        <v>5.3542571461920048E-2</v>
      </c>
      <c r="S209" s="200">
        <f t="shared" si="160"/>
        <v>5.3542571461920048E-2</v>
      </c>
      <c r="T209" s="200">
        <f t="shared" ref="T209:U209" si="161">IF(T$20, $H156, $H153)</f>
        <v>5.3542571461920048E-2</v>
      </c>
      <c r="U209" s="200">
        <f t="shared" si="161"/>
        <v>5.3542571461920048E-2</v>
      </c>
      <c r="V209" s="200">
        <f t="shared" ref="V209:W209" si="162">IF(V$20, $H156, $H153)</f>
        <v>5.3542571461920048E-2</v>
      </c>
      <c r="W209" s="200">
        <f t="shared" si="162"/>
        <v>5.3542571461920048E-2</v>
      </c>
      <c r="X209" s="200">
        <f t="shared" ref="X209:Y209" si="163">IF(X$20, $H156, $H153)</f>
        <v>5.3542571461920048E-2</v>
      </c>
      <c r="Y209" s="200">
        <f t="shared" si="163"/>
        <v>5.3542571461920048E-2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444</v>
      </c>
      <c r="G211" s="94"/>
    </row>
    <row r="212" spans="3:27" x14ac:dyDescent="0.25">
      <c r="E212" s="86"/>
      <c r="F212" s="116" t="s">
        <v>423</v>
      </c>
      <c r="G212" s="98" t="s">
        <v>168</v>
      </c>
      <c r="H212" s="154"/>
      <c r="I212" s="95"/>
      <c r="J212" s="199">
        <f t="shared" ref="J212:K212" si="164">IF(J$20, $H162, $H159)</f>
        <v>0.5368830052022483</v>
      </c>
      <c r="K212" s="199">
        <f t="shared" si="164"/>
        <v>0.5368830052022483</v>
      </c>
      <c r="L212" s="199">
        <f t="shared" ref="L212:M212" si="165">IF(L$20, $H162, $H159)</f>
        <v>0.5368830052022483</v>
      </c>
      <c r="M212" s="199">
        <f t="shared" si="165"/>
        <v>0.5368830052022483</v>
      </c>
      <c r="N212" s="199">
        <f t="shared" ref="N212:P212" si="166">IF(N$20, $H162, $H159)</f>
        <v>0.5368830052022483</v>
      </c>
      <c r="O212" s="199">
        <f t="shared" si="166"/>
        <v>0.5368830052022483</v>
      </c>
      <c r="P212" s="199">
        <f t="shared" si="166"/>
        <v>0.5368830052022483</v>
      </c>
      <c r="Q212" s="199">
        <f t="shared" ref="Q212:S212" si="167">IF(Q$20, $H162, $H159)</f>
        <v>0.47979178727836241</v>
      </c>
      <c r="R212" s="199">
        <f t="shared" si="167"/>
        <v>0.5368830052022483</v>
      </c>
      <c r="S212" s="199">
        <f t="shared" si="167"/>
        <v>0.5368830052022483</v>
      </c>
      <c r="T212" s="199">
        <f t="shared" ref="T212:U212" si="168">IF(T$20, $H162, $H159)</f>
        <v>0.5368830052022483</v>
      </c>
      <c r="U212" s="199">
        <f t="shared" si="168"/>
        <v>0.5368830052022483</v>
      </c>
      <c r="V212" s="199">
        <f t="shared" ref="V212:W212" si="169">IF(V$20, $H162, $H159)</f>
        <v>0.5368830052022483</v>
      </c>
      <c r="W212" s="199">
        <f t="shared" si="169"/>
        <v>0.5368830052022483</v>
      </c>
      <c r="X212" s="199">
        <f t="shared" ref="X212:Y212" si="170">IF(X$20, $H162, $H159)</f>
        <v>0.5368830052022483</v>
      </c>
      <c r="Y212" s="199">
        <f t="shared" si="170"/>
        <v>0.5368830052022483</v>
      </c>
    </row>
    <row r="213" spans="3:27" x14ac:dyDescent="0.25">
      <c r="E213" s="86"/>
      <c r="F213" s="118" t="s">
        <v>424</v>
      </c>
      <c r="G213" s="94" t="s">
        <v>168</v>
      </c>
      <c r="H213" s="155"/>
      <c r="J213" s="191">
        <f t="shared" ref="J213:K213" si="171">IF(J$20, $H163, $H160)</f>
        <v>0.40957442333583177</v>
      </c>
      <c r="K213" s="191">
        <f t="shared" si="171"/>
        <v>0.40957442333583177</v>
      </c>
      <c r="L213" s="191">
        <f t="shared" ref="L213:M213" si="172">IF(L$20, $H163, $H160)</f>
        <v>0.40957442333583177</v>
      </c>
      <c r="M213" s="191">
        <f t="shared" si="172"/>
        <v>0.40957442333583177</v>
      </c>
      <c r="N213" s="191">
        <f t="shared" ref="N213:P213" si="173">IF(N$20, $H163, $H160)</f>
        <v>0.40957442333583177</v>
      </c>
      <c r="O213" s="191">
        <f t="shared" si="173"/>
        <v>0.40957442333583177</v>
      </c>
      <c r="P213" s="191">
        <f t="shared" si="173"/>
        <v>0.40957442333583177</v>
      </c>
      <c r="Q213" s="191">
        <f t="shared" ref="Q213:S213" si="174">IF(Q$20, $H163, $H160)</f>
        <v>0.4666656412597176</v>
      </c>
      <c r="R213" s="191">
        <f t="shared" si="174"/>
        <v>0.40957442333583177</v>
      </c>
      <c r="S213" s="191">
        <f t="shared" si="174"/>
        <v>0.40957442333583177</v>
      </c>
      <c r="T213" s="191">
        <f t="shared" ref="T213:U213" si="175">IF(T$20, $H163, $H160)</f>
        <v>0.40957442333583177</v>
      </c>
      <c r="U213" s="191">
        <f t="shared" si="175"/>
        <v>0.40957442333583177</v>
      </c>
      <c r="V213" s="191">
        <f t="shared" ref="V213:W213" si="176">IF(V$20, $H163, $H160)</f>
        <v>0.40957442333583177</v>
      </c>
      <c r="W213" s="191">
        <f t="shared" si="176"/>
        <v>0.40957442333583177</v>
      </c>
      <c r="X213" s="191">
        <f t="shared" ref="X213:Y213" si="177">IF(X$20, $H163, $H160)</f>
        <v>0.40957442333583177</v>
      </c>
      <c r="Y213" s="191">
        <f t="shared" si="177"/>
        <v>0.40957442333583177</v>
      </c>
    </row>
    <row r="214" spans="3:27" x14ac:dyDescent="0.25">
      <c r="E214" s="86"/>
      <c r="F214" s="120" t="s">
        <v>258</v>
      </c>
      <c r="G214" s="101" t="s">
        <v>168</v>
      </c>
      <c r="H214" s="187"/>
      <c r="I214" s="96"/>
      <c r="J214" s="200">
        <f t="shared" ref="J214:K214" si="178">IF(J$20, $H164, $H161)</f>
        <v>5.3542571461920048E-2</v>
      </c>
      <c r="K214" s="200">
        <f t="shared" si="178"/>
        <v>5.3542571461920048E-2</v>
      </c>
      <c r="L214" s="200">
        <f t="shared" ref="L214:M214" si="179">IF(L$20, $H164, $H161)</f>
        <v>5.3542571461920048E-2</v>
      </c>
      <c r="M214" s="200">
        <f t="shared" si="179"/>
        <v>5.3542571461920048E-2</v>
      </c>
      <c r="N214" s="200">
        <f t="shared" ref="N214:P214" si="180">IF(N$20, $H164, $H161)</f>
        <v>5.3542571461920048E-2</v>
      </c>
      <c r="O214" s="200">
        <f t="shared" si="180"/>
        <v>5.3542571461920048E-2</v>
      </c>
      <c r="P214" s="200">
        <f t="shared" si="180"/>
        <v>5.3542571461920048E-2</v>
      </c>
      <c r="Q214" s="200">
        <f t="shared" ref="Q214:S214" si="181">IF(Q$20, $H164, $H161)</f>
        <v>5.3542571461920048E-2</v>
      </c>
      <c r="R214" s="200">
        <f t="shared" si="181"/>
        <v>5.3542571461920048E-2</v>
      </c>
      <c r="S214" s="200">
        <f t="shared" si="181"/>
        <v>5.3542571461920048E-2</v>
      </c>
      <c r="T214" s="200">
        <f t="shared" ref="T214:U214" si="182">IF(T$20, $H164, $H161)</f>
        <v>5.3542571461920048E-2</v>
      </c>
      <c r="U214" s="200">
        <f t="shared" si="182"/>
        <v>5.3542571461920048E-2</v>
      </c>
      <c r="V214" s="200">
        <f t="shared" ref="V214:W214" si="183">IF(V$20, $H164, $H161)</f>
        <v>5.3542571461920048E-2</v>
      </c>
      <c r="W214" s="200">
        <f t="shared" si="183"/>
        <v>5.3542571461920048E-2</v>
      </c>
      <c r="X214" s="200">
        <f t="shared" ref="X214:Y214" si="184">IF(X$20, $H164, $H161)</f>
        <v>5.3542571461920048E-2</v>
      </c>
      <c r="Y214" s="200">
        <f t="shared" si="184"/>
        <v>5.3542571461920048E-2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445</v>
      </c>
      <c r="G216" s="94"/>
    </row>
    <row r="217" spans="3:27" x14ac:dyDescent="0.25">
      <c r="E217" s="86"/>
      <c r="F217" s="116" t="s">
        <v>423</v>
      </c>
      <c r="G217" s="98" t="s">
        <v>168</v>
      </c>
      <c r="H217" s="154"/>
      <c r="I217" s="95"/>
      <c r="J217" s="199">
        <f t="shared" ref="J217:K217" si="185">IF(J$20, $H170, $H167)</f>
        <v>0.5368830052022483</v>
      </c>
      <c r="K217" s="199">
        <f t="shared" si="185"/>
        <v>0.5368830052022483</v>
      </c>
      <c r="L217" s="199">
        <f t="shared" ref="L217:M217" si="186">IF(L$20, $H170, $H167)</f>
        <v>0.5368830052022483</v>
      </c>
      <c r="M217" s="199">
        <f t="shared" si="186"/>
        <v>0.5368830052022483</v>
      </c>
      <c r="N217" s="199">
        <f t="shared" ref="N217:P217" si="187">IF(N$20, $H170, $H167)</f>
        <v>0.5368830052022483</v>
      </c>
      <c r="O217" s="199">
        <f t="shared" si="187"/>
        <v>0.5368830052022483</v>
      </c>
      <c r="P217" s="199">
        <f t="shared" si="187"/>
        <v>0.5368830052022483</v>
      </c>
      <c r="Q217" s="199">
        <f t="shared" ref="Q217:S217" si="188">IF(Q$20, $H170, $H167)</f>
        <v>0.47979178727836241</v>
      </c>
      <c r="R217" s="199">
        <f t="shared" si="188"/>
        <v>0.5368830052022483</v>
      </c>
      <c r="S217" s="199">
        <f t="shared" si="188"/>
        <v>0.5368830052022483</v>
      </c>
      <c r="T217" s="199">
        <f t="shared" ref="T217:U217" si="189">IF(T$20, $H170, $H167)</f>
        <v>0.5368830052022483</v>
      </c>
      <c r="U217" s="199">
        <f t="shared" si="189"/>
        <v>0.5368830052022483</v>
      </c>
      <c r="V217" s="199">
        <f t="shared" ref="V217:W217" si="190">IF(V$20, $H170, $H167)</f>
        <v>0.5368830052022483</v>
      </c>
      <c r="W217" s="199">
        <f t="shared" si="190"/>
        <v>0.5368830052022483</v>
      </c>
      <c r="X217" s="199">
        <f t="shared" ref="X217:Y217" si="191">IF(X$20, $H170, $H167)</f>
        <v>0.5368830052022483</v>
      </c>
      <c r="Y217" s="199">
        <f t="shared" si="191"/>
        <v>0.5368830052022483</v>
      </c>
    </row>
    <row r="218" spans="3:27" x14ac:dyDescent="0.25">
      <c r="E218" s="86"/>
      <c r="F218" s="118" t="s">
        <v>424</v>
      </c>
      <c r="G218" s="94" t="s">
        <v>168</v>
      </c>
      <c r="H218" s="155"/>
      <c r="J218" s="191">
        <f t="shared" ref="J218:K218" si="192">IF(J$20, $H171, $H168)</f>
        <v>0.40957442333583177</v>
      </c>
      <c r="K218" s="191">
        <f t="shared" si="192"/>
        <v>0.40957442333583177</v>
      </c>
      <c r="L218" s="191">
        <f t="shared" ref="L218:M218" si="193">IF(L$20, $H171, $H168)</f>
        <v>0.40957442333583177</v>
      </c>
      <c r="M218" s="191">
        <f t="shared" si="193"/>
        <v>0.40957442333583177</v>
      </c>
      <c r="N218" s="191">
        <f t="shared" ref="N218:P218" si="194">IF(N$20, $H171, $H168)</f>
        <v>0.40957442333583177</v>
      </c>
      <c r="O218" s="191">
        <f t="shared" si="194"/>
        <v>0.40957442333583177</v>
      </c>
      <c r="P218" s="191">
        <f t="shared" si="194"/>
        <v>0.40957442333583177</v>
      </c>
      <c r="Q218" s="191">
        <f t="shared" ref="Q218:S218" si="195">IF(Q$20, $H171, $H168)</f>
        <v>0.4666656412597176</v>
      </c>
      <c r="R218" s="191">
        <f t="shared" si="195"/>
        <v>0.40957442333583177</v>
      </c>
      <c r="S218" s="191">
        <f t="shared" si="195"/>
        <v>0.40957442333583177</v>
      </c>
      <c r="T218" s="191">
        <f t="shared" ref="T218:U218" si="196">IF(T$20, $H171, $H168)</f>
        <v>0.40957442333583177</v>
      </c>
      <c r="U218" s="191">
        <f t="shared" si="196"/>
        <v>0.40957442333583177</v>
      </c>
      <c r="V218" s="191">
        <f t="shared" ref="V218:W218" si="197">IF(V$20, $H171, $H168)</f>
        <v>0.40957442333583177</v>
      </c>
      <c r="W218" s="191">
        <f t="shared" si="197"/>
        <v>0.40957442333583177</v>
      </c>
      <c r="X218" s="191">
        <f t="shared" ref="X218:Y218" si="198">IF(X$20, $H171, $H168)</f>
        <v>0.40957442333583177</v>
      </c>
      <c r="Y218" s="191">
        <f t="shared" si="198"/>
        <v>0.40957442333583177</v>
      </c>
    </row>
    <row r="219" spans="3:27" x14ac:dyDescent="0.25">
      <c r="E219" s="86"/>
      <c r="F219" s="120" t="s">
        <v>258</v>
      </c>
      <c r="G219" s="101" t="s">
        <v>168</v>
      </c>
      <c r="H219" s="187"/>
      <c r="I219" s="96"/>
      <c r="J219" s="200">
        <f t="shared" ref="J219:K219" si="199">IF(J$20, $H172, $H169)</f>
        <v>5.3542571461920048E-2</v>
      </c>
      <c r="K219" s="200">
        <f t="shared" si="199"/>
        <v>5.3542571461920048E-2</v>
      </c>
      <c r="L219" s="200">
        <f t="shared" ref="L219:M219" si="200">IF(L$20, $H172, $H169)</f>
        <v>5.3542571461920048E-2</v>
      </c>
      <c r="M219" s="200">
        <f t="shared" si="200"/>
        <v>5.3542571461920048E-2</v>
      </c>
      <c r="N219" s="200">
        <f t="shared" ref="N219:P219" si="201">IF(N$20, $H172, $H169)</f>
        <v>5.3542571461920048E-2</v>
      </c>
      <c r="O219" s="200">
        <f t="shared" si="201"/>
        <v>5.3542571461920048E-2</v>
      </c>
      <c r="P219" s="200">
        <f t="shared" si="201"/>
        <v>5.3542571461920048E-2</v>
      </c>
      <c r="Q219" s="200">
        <f t="shared" ref="Q219:S219" si="202">IF(Q$20, $H172, $H169)</f>
        <v>5.3542571461920048E-2</v>
      </c>
      <c r="R219" s="200">
        <f t="shared" si="202"/>
        <v>5.3542571461920048E-2</v>
      </c>
      <c r="S219" s="200">
        <f t="shared" si="202"/>
        <v>5.3542571461920048E-2</v>
      </c>
      <c r="T219" s="200">
        <f t="shared" ref="T219:U219" si="203">IF(T$20, $H172, $H169)</f>
        <v>5.3542571461920048E-2</v>
      </c>
      <c r="U219" s="200">
        <f t="shared" si="203"/>
        <v>5.3542571461920048E-2</v>
      </c>
      <c r="V219" s="200">
        <f t="shared" ref="V219:W219" si="204">IF(V$20, $H172, $H169)</f>
        <v>5.3542571461920048E-2</v>
      </c>
      <c r="W219" s="200">
        <f t="shared" si="204"/>
        <v>5.3542571461920048E-2</v>
      </c>
      <c r="X219" s="200">
        <f t="shared" ref="X219:Y219" si="205">IF(X$20, $H172, $H169)</f>
        <v>5.3542571461920048E-2</v>
      </c>
      <c r="Y219" s="200">
        <f t="shared" si="205"/>
        <v>5.3542571461920048E-2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control'!$H$42:$H$65,MATCH($A$1,'Version control'!$F$42:$F$65,0),1)&amp;"-J: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446</v>
      </c>
      <c r="G223" s="94"/>
    </row>
    <row r="224" spans="3:27" x14ac:dyDescent="0.25">
      <c r="F224" s="98" t="s">
        <v>423</v>
      </c>
      <c r="G224" s="98" t="s">
        <v>447</v>
      </c>
      <c r="H224" s="95"/>
      <c r="I224" s="95"/>
      <c r="J224" s="223">
        <f t="shared" ref="J224:Y224" si="206">1 / J24</f>
        <v>1.9083969465648854E-3</v>
      </c>
      <c r="K224" s="223">
        <f t="shared" si="206"/>
        <v>1.9083969465648854E-3</v>
      </c>
      <c r="L224" s="223">
        <f t="shared" si="206"/>
        <v>1.9083969465648854E-3</v>
      </c>
      <c r="M224" s="223">
        <f t="shared" si="206"/>
        <v>1.9083969465648854E-3</v>
      </c>
      <c r="N224" s="223">
        <f t="shared" si="206"/>
        <v>1.9083969465648854E-3</v>
      </c>
      <c r="O224" s="223">
        <f t="shared" si="206"/>
        <v>1.9083969465648854E-3</v>
      </c>
      <c r="P224" s="223">
        <f t="shared" si="206"/>
        <v>1.9083969465648854E-3</v>
      </c>
      <c r="Q224" s="223">
        <f t="shared" si="206"/>
        <v>6.4935064935064939E-3</v>
      </c>
      <c r="R224" s="223">
        <f t="shared" si="206"/>
        <v>1.9083969465648854E-3</v>
      </c>
      <c r="S224" s="223">
        <f t="shared" si="206"/>
        <v>1.9083969465648854E-3</v>
      </c>
      <c r="T224" s="223">
        <f t="shared" si="206"/>
        <v>1.9083969465648854E-3</v>
      </c>
      <c r="U224" s="223">
        <f t="shared" si="206"/>
        <v>1.9083969465648854E-3</v>
      </c>
      <c r="V224" s="223">
        <f t="shared" si="206"/>
        <v>1.9083969465648854E-3</v>
      </c>
      <c r="W224" s="223">
        <f t="shared" si="206"/>
        <v>1.9083969465648854E-3</v>
      </c>
      <c r="X224" s="223">
        <f t="shared" si="206"/>
        <v>1.9083969465648854E-3</v>
      </c>
      <c r="Y224" s="223">
        <f t="shared" si="206"/>
        <v>1.9083969465648854E-3</v>
      </c>
    </row>
    <row r="225" spans="5:25" x14ac:dyDescent="0.25">
      <c r="F225" s="94" t="s">
        <v>424</v>
      </c>
      <c r="G225" s="94" t="s">
        <v>447</v>
      </c>
      <c r="J225" s="106">
        <f t="shared" ref="J225:Y225" si="207">1 / J25</f>
        <v>2.8935185185185184E-4</v>
      </c>
      <c r="K225" s="106">
        <f t="shared" si="207"/>
        <v>2.8935185185185184E-4</v>
      </c>
      <c r="L225" s="106">
        <f t="shared" si="207"/>
        <v>2.8935185185185184E-4</v>
      </c>
      <c r="M225" s="106">
        <f t="shared" si="207"/>
        <v>2.8935185185185184E-4</v>
      </c>
      <c r="N225" s="106">
        <f t="shared" si="207"/>
        <v>2.8935185185185184E-4</v>
      </c>
      <c r="O225" s="106">
        <f t="shared" si="207"/>
        <v>2.8935185185185184E-4</v>
      </c>
      <c r="P225" s="106">
        <f t="shared" si="207"/>
        <v>2.8935185185185184E-4</v>
      </c>
      <c r="Q225" s="106">
        <f t="shared" si="207"/>
        <v>2.6136957658128593E-4</v>
      </c>
      <c r="R225" s="106">
        <f t="shared" si="207"/>
        <v>2.8935185185185184E-4</v>
      </c>
      <c r="S225" s="106">
        <f t="shared" si="207"/>
        <v>2.8935185185185184E-4</v>
      </c>
      <c r="T225" s="106">
        <f t="shared" si="207"/>
        <v>2.8935185185185184E-4</v>
      </c>
      <c r="U225" s="106">
        <f t="shared" si="207"/>
        <v>2.8935185185185184E-4</v>
      </c>
      <c r="V225" s="106">
        <f t="shared" si="207"/>
        <v>2.8935185185185184E-4</v>
      </c>
      <c r="W225" s="106">
        <f t="shared" si="207"/>
        <v>2.8935185185185184E-4</v>
      </c>
      <c r="X225" s="106">
        <f t="shared" si="207"/>
        <v>2.8935185185185184E-4</v>
      </c>
      <c r="Y225" s="106">
        <f t="shared" si="207"/>
        <v>2.8935185185185184E-4</v>
      </c>
    </row>
    <row r="226" spans="5:25" x14ac:dyDescent="0.25">
      <c r="F226" s="101" t="s">
        <v>258</v>
      </c>
      <c r="G226" s="101" t="s">
        <v>447</v>
      </c>
      <c r="H226" s="96"/>
      <c r="I226" s="96"/>
      <c r="J226" s="196">
        <f t="shared" ref="J226:Y226" si="208">1 / J26</f>
        <v>2.0815986677768527E-4</v>
      </c>
      <c r="K226" s="196">
        <f t="shared" si="208"/>
        <v>2.0815986677768527E-4</v>
      </c>
      <c r="L226" s="196">
        <f t="shared" si="208"/>
        <v>2.0815986677768527E-4</v>
      </c>
      <c r="M226" s="196">
        <f t="shared" si="208"/>
        <v>2.0815986677768527E-4</v>
      </c>
      <c r="N226" s="196">
        <f t="shared" si="208"/>
        <v>2.0815986677768527E-4</v>
      </c>
      <c r="O226" s="196">
        <f t="shared" si="208"/>
        <v>2.0815986677768527E-4</v>
      </c>
      <c r="P226" s="196">
        <f t="shared" si="208"/>
        <v>2.0815986677768527E-4</v>
      </c>
      <c r="Q226" s="196">
        <f t="shared" si="208"/>
        <v>2.0815986677768527E-4</v>
      </c>
      <c r="R226" s="196">
        <f t="shared" si="208"/>
        <v>2.0815986677768527E-4</v>
      </c>
      <c r="S226" s="196">
        <f t="shared" si="208"/>
        <v>2.0815986677768527E-4</v>
      </c>
      <c r="T226" s="196">
        <f t="shared" si="208"/>
        <v>2.0815986677768527E-4</v>
      </c>
      <c r="U226" s="196">
        <f t="shared" si="208"/>
        <v>2.0815986677768527E-4</v>
      </c>
      <c r="V226" s="196">
        <f t="shared" si="208"/>
        <v>2.0815986677768527E-4</v>
      </c>
      <c r="W226" s="196">
        <f t="shared" si="208"/>
        <v>2.0815986677768527E-4</v>
      </c>
      <c r="X226" s="196">
        <f t="shared" si="208"/>
        <v>2.0815986677768527E-4</v>
      </c>
      <c r="Y226" s="196">
        <f t="shared" si="208"/>
        <v>2.0815986677768527E-4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157</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192</v>
      </c>
      <c r="G229" s="98" t="s">
        <v>284</v>
      </c>
      <c r="H229" s="95"/>
      <c r="I229" s="95"/>
      <c r="J229" s="146">
        <f>J177 * J$224 * hours_in_year</f>
        <v>15.796325905441332</v>
      </c>
      <c r="K229" s="146">
        <f t="shared" ref="K229:Y229" si="209">K177 * K$224 * hours_in_year</f>
        <v>15.796325905441332</v>
      </c>
      <c r="L229" s="146">
        <f t="shared" si="209"/>
        <v>15.796325905441332</v>
      </c>
      <c r="M229" s="146">
        <f t="shared" si="209"/>
        <v>15.796325905441332</v>
      </c>
      <c r="N229" s="146">
        <f t="shared" si="209"/>
        <v>15.796325905441332</v>
      </c>
      <c r="O229" s="146">
        <f t="shared" si="209"/>
        <v>15.796325905441332</v>
      </c>
      <c r="P229" s="146">
        <f t="shared" si="209"/>
        <v>15.796325905441332</v>
      </c>
      <c r="Q229" s="146">
        <f t="shared" si="209"/>
        <v>51.199491404660243</v>
      </c>
      <c r="R229" s="146">
        <f t="shared" si="209"/>
        <v>15.796325905441332</v>
      </c>
      <c r="S229" s="146">
        <f t="shared" si="209"/>
        <v>15.796325905441332</v>
      </c>
      <c r="T229" s="146">
        <f t="shared" si="209"/>
        <v>15.796325905441332</v>
      </c>
      <c r="U229" s="146">
        <f t="shared" si="209"/>
        <v>15.796325905441332</v>
      </c>
      <c r="V229" s="146">
        <f t="shared" si="209"/>
        <v>15.796325905441332</v>
      </c>
      <c r="W229" s="146">
        <f t="shared" si="209"/>
        <v>15.796325905441332</v>
      </c>
      <c r="X229" s="146">
        <f t="shared" si="209"/>
        <v>15.796325905441332</v>
      </c>
      <c r="Y229" s="146">
        <f t="shared" si="209"/>
        <v>15.796325905441332</v>
      </c>
    </row>
    <row r="230" spans="5:25" x14ac:dyDescent="0.25">
      <c r="F230" s="225" t="s">
        <v>193</v>
      </c>
      <c r="G230" s="94" t="s">
        <v>284</v>
      </c>
      <c r="J230" s="146">
        <f t="shared" ref="J230:Y230" si="210">J182 * J224 * hours_in_year</f>
        <v>13.783083573622967</v>
      </c>
      <c r="K230" s="146">
        <f t="shared" si="210"/>
        <v>13.783083573622967</v>
      </c>
      <c r="L230" s="146">
        <f t="shared" si="210"/>
        <v>13.783083573622967</v>
      </c>
      <c r="M230" s="146">
        <f t="shared" si="210"/>
        <v>13.783083573622967</v>
      </c>
      <c r="N230" s="146">
        <f t="shared" si="210"/>
        <v>13.783083573622967</v>
      </c>
      <c r="O230" s="146">
        <f t="shared" si="210"/>
        <v>13.783083573622967</v>
      </c>
      <c r="P230" s="146">
        <f t="shared" si="210"/>
        <v>13.783083573622967</v>
      </c>
      <c r="Q230" s="146">
        <f t="shared" si="210"/>
        <v>41.457215838065558</v>
      </c>
      <c r="R230" s="146">
        <f t="shared" si="210"/>
        <v>13.783083573622967</v>
      </c>
      <c r="S230" s="146">
        <f t="shared" si="210"/>
        <v>13.783083573622967</v>
      </c>
      <c r="T230" s="146">
        <f t="shared" si="210"/>
        <v>13.783083573622967</v>
      </c>
      <c r="U230" s="146">
        <f t="shared" si="210"/>
        <v>13.783083573622967</v>
      </c>
      <c r="V230" s="146">
        <f t="shared" si="210"/>
        <v>13.783083573622967</v>
      </c>
      <c r="W230" s="146">
        <f t="shared" si="210"/>
        <v>13.783083573622967</v>
      </c>
      <c r="X230" s="146">
        <f t="shared" si="210"/>
        <v>13.783083573622967</v>
      </c>
      <c r="Y230" s="146">
        <f t="shared" si="210"/>
        <v>13.783083573622967</v>
      </c>
    </row>
    <row r="231" spans="5:25" x14ac:dyDescent="0.25">
      <c r="F231" s="225" t="s">
        <v>194</v>
      </c>
      <c r="G231" s="94" t="s">
        <v>284</v>
      </c>
      <c r="J231" s="146">
        <f t="shared" ref="J231:Y231" si="211">J187 * J224 * hours_in_year</f>
        <v>13.783083573622967</v>
      </c>
      <c r="K231" s="146">
        <f t="shared" si="211"/>
        <v>13.783083573622967</v>
      </c>
      <c r="L231" s="146">
        <f t="shared" si="211"/>
        <v>13.783083573622967</v>
      </c>
      <c r="M231" s="146">
        <f t="shared" si="211"/>
        <v>13.783083573622967</v>
      </c>
      <c r="N231" s="146">
        <f t="shared" si="211"/>
        <v>13.783083573622967</v>
      </c>
      <c r="O231" s="146">
        <f t="shared" si="211"/>
        <v>13.783083573622967</v>
      </c>
      <c r="P231" s="146">
        <f t="shared" si="211"/>
        <v>13.783083573622967</v>
      </c>
      <c r="Q231" s="146">
        <f t="shared" si="211"/>
        <v>41.457215838065558</v>
      </c>
      <c r="R231" s="146">
        <f t="shared" si="211"/>
        <v>13.783083573622967</v>
      </c>
      <c r="S231" s="146">
        <f t="shared" si="211"/>
        <v>13.783083573622967</v>
      </c>
      <c r="T231" s="146">
        <f t="shared" si="211"/>
        <v>13.783083573622967</v>
      </c>
      <c r="U231" s="146">
        <f t="shared" si="211"/>
        <v>13.783083573622967</v>
      </c>
      <c r="V231" s="146">
        <f t="shared" si="211"/>
        <v>13.783083573622967</v>
      </c>
      <c r="W231" s="146">
        <f t="shared" si="211"/>
        <v>13.783083573622967</v>
      </c>
      <c r="X231" s="146">
        <f t="shared" si="211"/>
        <v>13.783083573622967</v>
      </c>
      <c r="Y231" s="146">
        <f t="shared" si="211"/>
        <v>13.783083573622967</v>
      </c>
    </row>
    <row r="232" spans="5:25" x14ac:dyDescent="0.25">
      <c r="F232" s="225" t="s">
        <v>195</v>
      </c>
      <c r="G232" s="94" t="s">
        <v>284</v>
      </c>
      <c r="J232" s="146">
        <f t="shared" ref="J232:Y232" si="212">J192 * J224 * hours_in_year</f>
        <v>8.9999624383521937</v>
      </c>
      <c r="K232" s="146">
        <f t="shared" si="212"/>
        <v>8.9999624383521937</v>
      </c>
      <c r="L232" s="146">
        <f t="shared" si="212"/>
        <v>8.9999624383521937</v>
      </c>
      <c r="M232" s="146">
        <f t="shared" si="212"/>
        <v>8.9999624383521937</v>
      </c>
      <c r="N232" s="146">
        <f t="shared" si="212"/>
        <v>8.9999624383521937</v>
      </c>
      <c r="O232" s="146">
        <f t="shared" si="212"/>
        <v>8.9999624383521937</v>
      </c>
      <c r="P232" s="146">
        <f t="shared" si="212"/>
        <v>8.9999624383521937</v>
      </c>
      <c r="Q232" s="146">
        <f t="shared" si="212"/>
        <v>27.366825061383999</v>
      </c>
      <c r="R232" s="146">
        <f t="shared" si="212"/>
        <v>8.9999624383521937</v>
      </c>
      <c r="S232" s="146">
        <f t="shared" si="212"/>
        <v>8.9999624383521937</v>
      </c>
      <c r="T232" s="146">
        <f t="shared" si="212"/>
        <v>8.9999624383521937</v>
      </c>
      <c r="U232" s="146">
        <f t="shared" si="212"/>
        <v>8.9999624383521937</v>
      </c>
      <c r="V232" s="146">
        <f t="shared" si="212"/>
        <v>8.9999624383521937</v>
      </c>
      <c r="W232" s="146">
        <f t="shared" si="212"/>
        <v>8.9999624383521937</v>
      </c>
      <c r="X232" s="146">
        <f t="shared" si="212"/>
        <v>8.9999624383521937</v>
      </c>
      <c r="Y232" s="146">
        <f t="shared" si="212"/>
        <v>8.9999624383521937</v>
      </c>
    </row>
    <row r="233" spans="5:25" x14ac:dyDescent="0.25">
      <c r="F233" s="225" t="s">
        <v>196</v>
      </c>
      <c r="G233" s="94" t="s">
        <v>284</v>
      </c>
      <c r="J233" s="146">
        <f t="shared" ref="J233:Y233" si="213">J197 * J224 * hours_in_year</f>
        <v>8.9999624383521937</v>
      </c>
      <c r="K233" s="146">
        <f t="shared" si="213"/>
        <v>8.9999624383521937</v>
      </c>
      <c r="L233" s="146">
        <f t="shared" si="213"/>
        <v>8.9999624383521937</v>
      </c>
      <c r="M233" s="146">
        <f t="shared" si="213"/>
        <v>8.9999624383521937</v>
      </c>
      <c r="N233" s="146">
        <f t="shared" si="213"/>
        <v>8.9999624383521937</v>
      </c>
      <c r="O233" s="146">
        <f t="shared" si="213"/>
        <v>8.9999624383521937</v>
      </c>
      <c r="P233" s="146">
        <f t="shared" si="213"/>
        <v>8.9999624383521937</v>
      </c>
      <c r="Q233" s="146">
        <f t="shared" si="213"/>
        <v>27.366825061383999</v>
      </c>
      <c r="R233" s="146">
        <f t="shared" si="213"/>
        <v>8.9999624383521937</v>
      </c>
      <c r="S233" s="146">
        <f t="shared" si="213"/>
        <v>8.9999624383521937</v>
      </c>
      <c r="T233" s="146">
        <f t="shared" si="213"/>
        <v>8.9999624383521937</v>
      </c>
      <c r="U233" s="146">
        <f t="shared" si="213"/>
        <v>8.9999624383521937</v>
      </c>
      <c r="V233" s="146">
        <f t="shared" si="213"/>
        <v>8.9999624383521937</v>
      </c>
      <c r="W233" s="146">
        <f t="shared" si="213"/>
        <v>8.9999624383521937</v>
      </c>
      <c r="X233" s="146">
        <f t="shared" si="213"/>
        <v>8.9999624383521937</v>
      </c>
      <c r="Y233" s="146">
        <f t="shared" si="213"/>
        <v>8.9999624383521937</v>
      </c>
    </row>
    <row r="234" spans="5:25" x14ac:dyDescent="0.25">
      <c r="F234" s="225" t="s">
        <v>197</v>
      </c>
      <c r="G234" s="94" t="s">
        <v>284</v>
      </c>
      <c r="J234" s="146">
        <f t="shared" ref="J234:Y234" si="214">J202 * J224 * hours_in_year</f>
        <v>13.783083573622967</v>
      </c>
      <c r="K234" s="146">
        <f t="shared" si="214"/>
        <v>13.783083573622967</v>
      </c>
      <c r="L234" s="146">
        <f t="shared" si="214"/>
        <v>13.783083573622967</v>
      </c>
      <c r="M234" s="146">
        <f t="shared" si="214"/>
        <v>13.783083573622967</v>
      </c>
      <c r="N234" s="146">
        <f t="shared" si="214"/>
        <v>13.783083573622967</v>
      </c>
      <c r="O234" s="146">
        <f t="shared" si="214"/>
        <v>13.783083573622967</v>
      </c>
      <c r="P234" s="146">
        <f t="shared" si="214"/>
        <v>13.783083573622967</v>
      </c>
      <c r="Q234" s="146">
        <f t="shared" si="214"/>
        <v>41.457215838065558</v>
      </c>
      <c r="R234" s="146">
        <f t="shared" si="214"/>
        <v>13.783083573622967</v>
      </c>
      <c r="S234" s="146">
        <f t="shared" si="214"/>
        <v>13.783083573622967</v>
      </c>
      <c r="T234" s="146">
        <f t="shared" si="214"/>
        <v>13.783083573622967</v>
      </c>
      <c r="U234" s="146">
        <f t="shared" si="214"/>
        <v>13.783083573622967</v>
      </c>
      <c r="V234" s="146">
        <f t="shared" si="214"/>
        <v>13.783083573622967</v>
      </c>
      <c r="W234" s="146">
        <f t="shared" si="214"/>
        <v>13.783083573622967</v>
      </c>
      <c r="X234" s="146">
        <f t="shared" si="214"/>
        <v>13.783083573622967</v>
      </c>
      <c r="Y234" s="146">
        <f t="shared" si="214"/>
        <v>13.783083573622967</v>
      </c>
    </row>
    <row r="235" spans="5:25" x14ac:dyDescent="0.25">
      <c r="F235" s="225" t="s">
        <v>198</v>
      </c>
      <c r="G235" s="94" t="s">
        <v>284</v>
      </c>
      <c r="J235" s="146">
        <f t="shared" ref="J235:Y235" si="215">J207 * J224 * hours_in_year</f>
        <v>8.9999624383521937</v>
      </c>
      <c r="K235" s="146">
        <f t="shared" si="215"/>
        <v>8.9999624383521937</v>
      </c>
      <c r="L235" s="146">
        <f t="shared" si="215"/>
        <v>8.9999624383521937</v>
      </c>
      <c r="M235" s="146">
        <f t="shared" si="215"/>
        <v>8.9999624383521937</v>
      </c>
      <c r="N235" s="146">
        <f t="shared" si="215"/>
        <v>8.9999624383521937</v>
      </c>
      <c r="O235" s="146">
        <f t="shared" si="215"/>
        <v>8.9999624383521937</v>
      </c>
      <c r="P235" s="146">
        <f t="shared" si="215"/>
        <v>8.9999624383521937</v>
      </c>
      <c r="Q235" s="146">
        <f t="shared" si="215"/>
        <v>27.366825061383999</v>
      </c>
      <c r="R235" s="146">
        <f t="shared" si="215"/>
        <v>8.9999624383521937</v>
      </c>
      <c r="S235" s="146">
        <f t="shared" si="215"/>
        <v>8.9999624383521937</v>
      </c>
      <c r="T235" s="146">
        <f t="shared" si="215"/>
        <v>8.9999624383521937</v>
      </c>
      <c r="U235" s="146">
        <f t="shared" si="215"/>
        <v>8.9999624383521937</v>
      </c>
      <c r="V235" s="146">
        <f t="shared" si="215"/>
        <v>8.9999624383521937</v>
      </c>
      <c r="W235" s="146">
        <f t="shared" si="215"/>
        <v>8.9999624383521937</v>
      </c>
      <c r="X235" s="146">
        <f t="shared" si="215"/>
        <v>8.9999624383521937</v>
      </c>
      <c r="Y235" s="146">
        <f t="shared" si="215"/>
        <v>8.9999624383521937</v>
      </c>
    </row>
    <row r="236" spans="5:25" x14ac:dyDescent="0.25">
      <c r="F236" s="225" t="s">
        <v>199</v>
      </c>
      <c r="G236" s="94" t="s">
        <v>284</v>
      </c>
      <c r="J236" s="146">
        <f t="shared" ref="J236:Y236" si="216">J212 * J224 * hours_in_year</f>
        <v>8.9999624383521937</v>
      </c>
      <c r="K236" s="146">
        <f t="shared" si="216"/>
        <v>8.9999624383521937</v>
      </c>
      <c r="L236" s="146">
        <f t="shared" si="216"/>
        <v>8.9999624383521937</v>
      </c>
      <c r="M236" s="146">
        <f t="shared" si="216"/>
        <v>8.9999624383521937</v>
      </c>
      <c r="N236" s="146">
        <f t="shared" si="216"/>
        <v>8.9999624383521937</v>
      </c>
      <c r="O236" s="146">
        <f t="shared" si="216"/>
        <v>8.9999624383521937</v>
      </c>
      <c r="P236" s="146">
        <f t="shared" si="216"/>
        <v>8.9999624383521937</v>
      </c>
      <c r="Q236" s="146">
        <f t="shared" si="216"/>
        <v>27.366825061383999</v>
      </c>
      <c r="R236" s="146">
        <f t="shared" si="216"/>
        <v>8.9999624383521937</v>
      </c>
      <c r="S236" s="146">
        <f t="shared" si="216"/>
        <v>8.9999624383521937</v>
      </c>
      <c r="T236" s="146">
        <f t="shared" si="216"/>
        <v>8.9999624383521937</v>
      </c>
      <c r="U236" s="146">
        <f t="shared" si="216"/>
        <v>8.9999624383521937</v>
      </c>
      <c r="V236" s="146">
        <f t="shared" si="216"/>
        <v>8.9999624383521937</v>
      </c>
      <c r="W236" s="146">
        <f t="shared" si="216"/>
        <v>8.9999624383521937</v>
      </c>
      <c r="X236" s="146">
        <f t="shared" si="216"/>
        <v>8.9999624383521937</v>
      </c>
      <c r="Y236" s="146">
        <f t="shared" si="216"/>
        <v>8.9999624383521937</v>
      </c>
    </row>
    <row r="237" spans="5:25" x14ac:dyDescent="0.25">
      <c r="F237" s="226" t="s">
        <v>200</v>
      </c>
      <c r="G237" s="101" t="s">
        <v>284</v>
      </c>
      <c r="H237" s="96"/>
      <c r="I237" s="96"/>
      <c r="J237" s="146">
        <f t="shared" ref="J237:Y237" si="217">J217 * J224 * hours_in_year</f>
        <v>8.9999624383521937</v>
      </c>
      <c r="K237" s="146">
        <f t="shared" si="217"/>
        <v>8.9999624383521937</v>
      </c>
      <c r="L237" s="146">
        <f t="shared" si="217"/>
        <v>8.9999624383521937</v>
      </c>
      <c r="M237" s="146">
        <f t="shared" si="217"/>
        <v>8.9999624383521937</v>
      </c>
      <c r="N237" s="146">
        <f t="shared" si="217"/>
        <v>8.9999624383521937</v>
      </c>
      <c r="O237" s="146">
        <f t="shared" si="217"/>
        <v>8.9999624383521937</v>
      </c>
      <c r="P237" s="146">
        <f t="shared" si="217"/>
        <v>8.9999624383521937</v>
      </c>
      <c r="Q237" s="146">
        <f t="shared" si="217"/>
        <v>27.366825061383999</v>
      </c>
      <c r="R237" s="146">
        <f t="shared" si="217"/>
        <v>8.9999624383521937</v>
      </c>
      <c r="S237" s="146">
        <f t="shared" si="217"/>
        <v>8.9999624383521937</v>
      </c>
      <c r="T237" s="146">
        <f t="shared" si="217"/>
        <v>8.9999624383521937</v>
      </c>
      <c r="U237" s="146">
        <f t="shared" si="217"/>
        <v>8.9999624383521937</v>
      </c>
      <c r="V237" s="146">
        <f t="shared" si="217"/>
        <v>8.9999624383521937</v>
      </c>
      <c r="W237" s="146">
        <f t="shared" si="217"/>
        <v>8.9999624383521937</v>
      </c>
      <c r="X237" s="146">
        <f t="shared" si="217"/>
        <v>8.9999624383521937</v>
      </c>
      <c r="Y237" s="146">
        <f t="shared" si="217"/>
        <v>8.9999624383521937</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158</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192</v>
      </c>
      <c r="G240" s="98" t="s">
        <v>284</v>
      </c>
      <c r="H240" s="95"/>
      <c r="I240" s="95"/>
      <c r="J240" s="146">
        <f t="shared" ref="J240:Y240" si="218">J178 * J225 * hours_in_year</f>
        <v>0.14662188239257595</v>
      </c>
      <c r="K240" s="146">
        <f t="shared" si="218"/>
        <v>0.14662188239257595</v>
      </c>
      <c r="L240" s="146">
        <f t="shared" si="218"/>
        <v>0.14662188239257595</v>
      </c>
      <c r="M240" s="146">
        <f t="shared" si="218"/>
        <v>0.14662188239257595</v>
      </c>
      <c r="N240" s="146">
        <f t="shared" si="218"/>
        <v>0.14662188239257595</v>
      </c>
      <c r="O240" s="146">
        <f t="shared" si="218"/>
        <v>0.14662188239257595</v>
      </c>
      <c r="P240" s="146">
        <f t="shared" si="218"/>
        <v>0.14662188239257595</v>
      </c>
      <c r="Q240" s="146">
        <f t="shared" si="218"/>
        <v>0.23504399468957737</v>
      </c>
      <c r="R240" s="146">
        <f t="shared" si="218"/>
        <v>0.14662188239257595</v>
      </c>
      <c r="S240" s="146">
        <f t="shared" si="218"/>
        <v>0.14662188239257595</v>
      </c>
      <c r="T240" s="146">
        <f t="shared" si="218"/>
        <v>0.14662188239257595</v>
      </c>
      <c r="U240" s="146">
        <f t="shared" si="218"/>
        <v>0.14662188239257595</v>
      </c>
      <c r="V240" s="146">
        <f t="shared" si="218"/>
        <v>0.14662188239257595</v>
      </c>
      <c r="W240" s="146">
        <f t="shared" si="218"/>
        <v>0.14662188239257595</v>
      </c>
      <c r="X240" s="146">
        <f t="shared" si="218"/>
        <v>0.14662188239257595</v>
      </c>
      <c r="Y240" s="146">
        <f t="shared" si="218"/>
        <v>0.14662188239257595</v>
      </c>
    </row>
    <row r="241" spans="5:25" x14ac:dyDescent="0.25">
      <c r="F241" s="94" t="s">
        <v>193</v>
      </c>
      <c r="G241" s="94" t="s">
        <v>284</v>
      </c>
      <c r="J241" s="146">
        <f t="shared" ref="J241:Y241" si="219">J183 * J225 * hours_in_year</f>
        <v>0.37741802224329329</v>
      </c>
      <c r="K241" s="146">
        <f t="shared" si="219"/>
        <v>0.37741802224329329</v>
      </c>
      <c r="L241" s="146">
        <f t="shared" si="219"/>
        <v>0.37741802224329329</v>
      </c>
      <c r="M241" s="146">
        <f t="shared" si="219"/>
        <v>0.37741802224329329</v>
      </c>
      <c r="N241" s="146">
        <f t="shared" si="219"/>
        <v>0.37741802224329329</v>
      </c>
      <c r="O241" s="146">
        <f t="shared" si="219"/>
        <v>0.37741802224329329</v>
      </c>
      <c r="P241" s="146">
        <f t="shared" si="219"/>
        <v>0.37741802224329329</v>
      </c>
      <c r="Q241" s="146">
        <f t="shared" si="219"/>
        <v>0.55992714019580814</v>
      </c>
      <c r="R241" s="146">
        <f t="shared" si="219"/>
        <v>0.37741802224329329</v>
      </c>
      <c r="S241" s="146">
        <f t="shared" si="219"/>
        <v>0.37741802224329329</v>
      </c>
      <c r="T241" s="146">
        <f t="shared" si="219"/>
        <v>0.37741802224329329</v>
      </c>
      <c r="U241" s="146">
        <f t="shared" si="219"/>
        <v>0.37741802224329329</v>
      </c>
      <c r="V241" s="146">
        <f t="shared" si="219"/>
        <v>0.37741802224329329</v>
      </c>
      <c r="W241" s="146">
        <f t="shared" si="219"/>
        <v>0.37741802224329329</v>
      </c>
      <c r="X241" s="146">
        <f t="shared" si="219"/>
        <v>0.37741802224329329</v>
      </c>
      <c r="Y241" s="146">
        <f t="shared" si="219"/>
        <v>0.37741802224329329</v>
      </c>
    </row>
    <row r="242" spans="5:25" x14ac:dyDescent="0.25">
      <c r="F242" s="94" t="s">
        <v>194</v>
      </c>
      <c r="G242" s="94" t="s">
        <v>284</v>
      </c>
      <c r="J242" s="146">
        <f t="shared" ref="J242:Y242" si="220">J188 * J225 * hours_in_year</f>
        <v>0.37741802224329329</v>
      </c>
      <c r="K242" s="146">
        <f t="shared" si="220"/>
        <v>0.37741802224329329</v>
      </c>
      <c r="L242" s="146">
        <f t="shared" si="220"/>
        <v>0.37741802224329329</v>
      </c>
      <c r="M242" s="146">
        <f t="shared" si="220"/>
        <v>0.37741802224329329</v>
      </c>
      <c r="N242" s="146">
        <f t="shared" si="220"/>
        <v>0.37741802224329329</v>
      </c>
      <c r="O242" s="146">
        <f t="shared" si="220"/>
        <v>0.37741802224329329</v>
      </c>
      <c r="P242" s="146">
        <f t="shared" si="220"/>
        <v>0.37741802224329329</v>
      </c>
      <c r="Q242" s="146">
        <f t="shared" si="220"/>
        <v>0.55992714019580814</v>
      </c>
      <c r="R242" s="146">
        <f t="shared" si="220"/>
        <v>0.37741802224329329</v>
      </c>
      <c r="S242" s="146">
        <f t="shared" si="220"/>
        <v>0.37741802224329329</v>
      </c>
      <c r="T242" s="146">
        <f t="shared" si="220"/>
        <v>0.37741802224329329</v>
      </c>
      <c r="U242" s="146">
        <f t="shared" si="220"/>
        <v>0.37741802224329329</v>
      </c>
      <c r="V242" s="146">
        <f t="shared" si="220"/>
        <v>0.37741802224329329</v>
      </c>
      <c r="W242" s="146">
        <f t="shared" si="220"/>
        <v>0.37741802224329329</v>
      </c>
      <c r="X242" s="146">
        <f t="shared" si="220"/>
        <v>0.37741802224329329</v>
      </c>
      <c r="Y242" s="146">
        <f t="shared" si="220"/>
        <v>0.37741802224329329</v>
      </c>
    </row>
    <row r="243" spans="5:25" x14ac:dyDescent="0.25">
      <c r="F243" s="94" t="s">
        <v>195</v>
      </c>
      <c r="G243" s="94" t="s">
        <v>284</v>
      </c>
      <c r="J243" s="146">
        <f t="shared" ref="J243:Y243" si="221">J193 * J225 * hours_in_year</f>
        <v>1.0410016593119056</v>
      </c>
      <c r="K243" s="146">
        <f t="shared" si="221"/>
        <v>1.0410016593119056</v>
      </c>
      <c r="L243" s="146">
        <f t="shared" si="221"/>
        <v>1.0410016593119056</v>
      </c>
      <c r="M243" s="146">
        <f t="shared" si="221"/>
        <v>1.0410016593119056</v>
      </c>
      <c r="N243" s="146">
        <f t="shared" si="221"/>
        <v>1.0410016593119056</v>
      </c>
      <c r="O243" s="146">
        <f t="shared" si="221"/>
        <v>1.0410016593119056</v>
      </c>
      <c r="P243" s="146">
        <f t="shared" si="221"/>
        <v>1.0410016593119056</v>
      </c>
      <c r="Q243" s="146">
        <f t="shared" si="221"/>
        <v>1.0714038141205853</v>
      </c>
      <c r="R243" s="146">
        <f t="shared" si="221"/>
        <v>1.0410016593119056</v>
      </c>
      <c r="S243" s="146">
        <f t="shared" si="221"/>
        <v>1.0410016593119056</v>
      </c>
      <c r="T243" s="146">
        <f t="shared" si="221"/>
        <v>1.0410016593119056</v>
      </c>
      <c r="U243" s="146">
        <f t="shared" si="221"/>
        <v>1.0410016593119056</v>
      </c>
      <c r="V243" s="146">
        <f t="shared" si="221"/>
        <v>1.0410016593119056</v>
      </c>
      <c r="W243" s="146">
        <f t="shared" si="221"/>
        <v>1.0410016593119056</v>
      </c>
      <c r="X243" s="146">
        <f t="shared" si="221"/>
        <v>1.0410016593119056</v>
      </c>
      <c r="Y243" s="146">
        <f t="shared" si="221"/>
        <v>1.0410016593119056</v>
      </c>
    </row>
    <row r="244" spans="5:25" x14ac:dyDescent="0.25">
      <c r="F244" s="94" t="s">
        <v>196</v>
      </c>
      <c r="G244" s="94" t="s">
        <v>284</v>
      </c>
      <c r="J244" s="146">
        <f t="shared" ref="J244:Y244" si="222">J198 * J225 * hours_in_year</f>
        <v>1.0410016593119056</v>
      </c>
      <c r="K244" s="146">
        <f t="shared" si="222"/>
        <v>1.0410016593119056</v>
      </c>
      <c r="L244" s="146">
        <f t="shared" si="222"/>
        <v>1.0410016593119056</v>
      </c>
      <c r="M244" s="146">
        <f t="shared" si="222"/>
        <v>1.0410016593119056</v>
      </c>
      <c r="N244" s="146">
        <f t="shared" si="222"/>
        <v>1.0410016593119056</v>
      </c>
      <c r="O244" s="146">
        <f t="shared" si="222"/>
        <v>1.0410016593119056</v>
      </c>
      <c r="P244" s="146">
        <f t="shared" si="222"/>
        <v>1.0410016593119056</v>
      </c>
      <c r="Q244" s="146">
        <f t="shared" si="222"/>
        <v>1.0714038141205853</v>
      </c>
      <c r="R244" s="146">
        <f t="shared" si="222"/>
        <v>1.0410016593119056</v>
      </c>
      <c r="S244" s="146">
        <f t="shared" si="222"/>
        <v>1.0410016593119056</v>
      </c>
      <c r="T244" s="146">
        <f t="shared" si="222"/>
        <v>1.0410016593119056</v>
      </c>
      <c r="U244" s="146">
        <f t="shared" si="222"/>
        <v>1.0410016593119056</v>
      </c>
      <c r="V244" s="146">
        <f t="shared" si="222"/>
        <v>1.0410016593119056</v>
      </c>
      <c r="W244" s="146">
        <f t="shared" si="222"/>
        <v>1.0410016593119056</v>
      </c>
      <c r="X244" s="146">
        <f t="shared" si="222"/>
        <v>1.0410016593119056</v>
      </c>
      <c r="Y244" s="146">
        <f t="shared" si="222"/>
        <v>1.0410016593119056</v>
      </c>
    </row>
    <row r="245" spans="5:25" x14ac:dyDescent="0.25">
      <c r="F245" s="94" t="s">
        <v>197</v>
      </c>
      <c r="G245" s="94" t="s">
        <v>284</v>
      </c>
      <c r="J245" s="146">
        <f t="shared" ref="J245:Y245" si="223">J203 * J225 * hours_in_year</f>
        <v>0.37741802224329329</v>
      </c>
      <c r="K245" s="146">
        <f t="shared" si="223"/>
        <v>0.37741802224329329</v>
      </c>
      <c r="L245" s="146">
        <f t="shared" si="223"/>
        <v>0.37741802224329329</v>
      </c>
      <c r="M245" s="146">
        <f t="shared" si="223"/>
        <v>0.37741802224329329</v>
      </c>
      <c r="N245" s="146">
        <f t="shared" si="223"/>
        <v>0.37741802224329329</v>
      </c>
      <c r="O245" s="146">
        <f t="shared" si="223"/>
        <v>0.37741802224329329</v>
      </c>
      <c r="P245" s="146">
        <f t="shared" si="223"/>
        <v>0.37741802224329329</v>
      </c>
      <c r="Q245" s="146">
        <f t="shared" si="223"/>
        <v>0.55992714019580814</v>
      </c>
      <c r="R245" s="146">
        <f t="shared" si="223"/>
        <v>0.37741802224329329</v>
      </c>
      <c r="S245" s="146">
        <f t="shared" si="223"/>
        <v>0.37741802224329329</v>
      </c>
      <c r="T245" s="146">
        <f t="shared" si="223"/>
        <v>0.37741802224329329</v>
      </c>
      <c r="U245" s="146">
        <f t="shared" si="223"/>
        <v>0.37741802224329329</v>
      </c>
      <c r="V245" s="146">
        <f t="shared" si="223"/>
        <v>0.37741802224329329</v>
      </c>
      <c r="W245" s="146">
        <f t="shared" si="223"/>
        <v>0.37741802224329329</v>
      </c>
      <c r="X245" s="146">
        <f t="shared" si="223"/>
        <v>0.37741802224329329</v>
      </c>
      <c r="Y245" s="146">
        <f t="shared" si="223"/>
        <v>0.37741802224329329</v>
      </c>
    </row>
    <row r="246" spans="5:25" x14ac:dyDescent="0.25">
      <c r="F246" s="94" t="s">
        <v>198</v>
      </c>
      <c r="G246" s="94" t="s">
        <v>284</v>
      </c>
      <c r="J246" s="146">
        <f t="shared" ref="J246:Y246" si="224">J208 * J225 * hours_in_year</f>
        <v>1.0410016593119056</v>
      </c>
      <c r="K246" s="146">
        <f t="shared" si="224"/>
        <v>1.0410016593119056</v>
      </c>
      <c r="L246" s="146">
        <f t="shared" si="224"/>
        <v>1.0410016593119056</v>
      </c>
      <c r="M246" s="146">
        <f t="shared" si="224"/>
        <v>1.0410016593119056</v>
      </c>
      <c r="N246" s="146">
        <f t="shared" si="224"/>
        <v>1.0410016593119056</v>
      </c>
      <c r="O246" s="146">
        <f t="shared" si="224"/>
        <v>1.0410016593119056</v>
      </c>
      <c r="P246" s="146">
        <f t="shared" si="224"/>
        <v>1.0410016593119056</v>
      </c>
      <c r="Q246" s="146">
        <f t="shared" si="224"/>
        <v>1.0714038141205853</v>
      </c>
      <c r="R246" s="146">
        <f t="shared" si="224"/>
        <v>1.0410016593119056</v>
      </c>
      <c r="S246" s="146">
        <f t="shared" si="224"/>
        <v>1.0410016593119056</v>
      </c>
      <c r="T246" s="146">
        <f t="shared" si="224"/>
        <v>1.0410016593119056</v>
      </c>
      <c r="U246" s="146">
        <f t="shared" si="224"/>
        <v>1.0410016593119056</v>
      </c>
      <c r="V246" s="146">
        <f t="shared" si="224"/>
        <v>1.0410016593119056</v>
      </c>
      <c r="W246" s="146">
        <f t="shared" si="224"/>
        <v>1.0410016593119056</v>
      </c>
      <c r="X246" s="146">
        <f t="shared" si="224"/>
        <v>1.0410016593119056</v>
      </c>
      <c r="Y246" s="146">
        <f t="shared" si="224"/>
        <v>1.0410016593119056</v>
      </c>
    </row>
    <row r="247" spans="5:25" x14ac:dyDescent="0.25">
      <c r="F247" s="94" t="s">
        <v>199</v>
      </c>
      <c r="G247" s="94" t="s">
        <v>284</v>
      </c>
      <c r="J247" s="146">
        <f t="shared" ref="J247:Y247" si="225">J213 * J225 * hours_in_year</f>
        <v>1.0410016593119056</v>
      </c>
      <c r="K247" s="146">
        <f t="shared" si="225"/>
        <v>1.0410016593119056</v>
      </c>
      <c r="L247" s="146">
        <f t="shared" si="225"/>
        <v>1.0410016593119056</v>
      </c>
      <c r="M247" s="146">
        <f t="shared" si="225"/>
        <v>1.0410016593119056</v>
      </c>
      <c r="N247" s="146">
        <f t="shared" si="225"/>
        <v>1.0410016593119056</v>
      </c>
      <c r="O247" s="146">
        <f t="shared" si="225"/>
        <v>1.0410016593119056</v>
      </c>
      <c r="P247" s="146">
        <f t="shared" si="225"/>
        <v>1.0410016593119056</v>
      </c>
      <c r="Q247" s="146">
        <f t="shared" si="225"/>
        <v>1.0714038141205853</v>
      </c>
      <c r="R247" s="146">
        <f t="shared" si="225"/>
        <v>1.0410016593119056</v>
      </c>
      <c r="S247" s="146">
        <f t="shared" si="225"/>
        <v>1.0410016593119056</v>
      </c>
      <c r="T247" s="146">
        <f t="shared" si="225"/>
        <v>1.0410016593119056</v>
      </c>
      <c r="U247" s="146">
        <f t="shared" si="225"/>
        <v>1.0410016593119056</v>
      </c>
      <c r="V247" s="146">
        <f t="shared" si="225"/>
        <v>1.0410016593119056</v>
      </c>
      <c r="W247" s="146">
        <f t="shared" si="225"/>
        <v>1.0410016593119056</v>
      </c>
      <c r="X247" s="146">
        <f t="shared" si="225"/>
        <v>1.0410016593119056</v>
      </c>
      <c r="Y247" s="146">
        <f t="shared" si="225"/>
        <v>1.0410016593119056</v>
      </c>
    </row>
    <row r="248" spans="5:25" x14ac:dyDescent="0.25">
      <c r="F248" s="101" t="s">
        <v>200</v>
      </c>
      <c r="G248" s="101" t="s">
        <v>284</v>
      </c>
      <c r="H248" s="96"/>
      <c r="I248" s="96"/>
      <c r="J248" s="146">
        <f t="shared" ref="J248:Y248" si="226">J218 * J225 * hours_in_year</f>
        <v>1.0410016593119056</v>
      </c>
      <c r="K248" s="146">
        <f t="shared" si="226"/>
        <v>1.0410016593119056</v>
      </c>
      <c r="L248" s="146">
        <f t="shared" si="226"/>
        <v>1.0410016593119056</v>
      </c>
      <c r="M248" s="146">
        <f t="shared" si="226"/>
        <v>1.0410016593119056</v>
      </c>
      <c r="N248" s="146">
        <f t="shared" si="226"/>
        <v>1.0410016593119056</v>
      </c>
      <c r="O248" s="146">
        <f t="shared" si="226"/>
        <v>1.0410016593119056</v>
      </c>
      <c r="P248" s="146">
        <f t="shared" si="226"/>
        <v>1.0410016593119056</v>
      </c>
      <c r="Q248" s="146">
        <f t="shared" si="226"/>
        <v>1.0714038141205853</v>
      </c>
      <c r="R248" s="146">
        <f t="shared" si="226"/>
        <v>1.0410016593119056</v>
      </c>
      <c r="S248" s="146">
        <f t="shared" si="226"/>
        <v>1.0410016593119056</v>
      </c>
      <c r="T248" s="146">
        <f t="shared" si="226"/>
        <v>1.0410016593119056</v>
      </c>
      <c r="U248" s="146">
        <f t="shared" si="226"/>
        <v>1.0410016593119056</v>
      </c>
      <c r="V248" s="146">
        <f t="shared" si="226"/>
        <v>1.0410016593119056</v>
      </c>
      <c r="W248" s="146">
        <f t="shared" si="226"/>
        <v>1.0410016593119056</v>
      </c>
      <c r="X248" s="146">
        <f t="shared" si="226"/>
        <v>1.0410016593119056</v>
      </c>
      <c r="Y248" s="146">
        <f t="shared" si="226"/>
        <v>1.0410016593119056</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159</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192</v>
      </c>
      <c r="G251" s="98" t="s">
        <v>284</v>
      </c>
      <c r="H251" s="95"/>
      <c r="I251" s="95"/>
      <c r="J251" s="146">
        <f t="shared" ref="J251:Y251" si="227">J179 * J226 * hours_in_year</f>
        <v>0</v>
      </c>
      <c r="K251" s="146">
        <f t="shared" si="227"/>
        <v>0</v>
      </c>
      <c r="L251" s="146">
        <f t="shared" si="227"/>
        <v>0</v>
      </c>
      <c r="M251" s="146">
        <f t="shared" si="227"/>
        <v>0</v>
      </c>
      <c r="N251" s="146">
        <f t="shared" si="227"/>
        <v>0</v>
      </c>
      <c r="O251" s="146">
        <f t="shared" si="227"/>
        <v>0</v>
      </c>
      <c r="P251" s="146">
        <f t="shared" si="227"/>
        <v>0</v>
      </c>
      <c r="Q251" s="146">
        <f t="shared" si="227"/>
        <v>0</v>
      </c>
      <c r="R251" s="146">
        <f t="shared" si="227"/>
        <v>0</v>
      </c>
      <c r="S251" s="146">
        <f t="shared" si="227"/>
        <v>0</v>
      </c>
      <c r="T251" s="146">
        <f t="shared" si="227"/>
        <v>0</v>
      </c>
      <c r="U251" s="146">
        <f t="shared" si="227"/>
        <v>0</v>
      </c>
      <c r="V251" s="146">
        <f t="shared" si="227"/>
        <v>0</v>
      </c>
      <c r="W251" s="146">
        <f t="shared" si="227"/>
        <v>0</v>
      </c>
      <c r="X251" s="146">
        <f t="shared" si="227"/>
        <v>0</v>
      </c>
      <c r="Y251" s="146">
        <f t="shared" si="227"/>
        <v>0</v>
      </c>
    </row>
    <row r="252" spans="5:25" x14ac:dyDescent="0.25">
      <c r="F252" s="94" t="s">
        <v>193</v>
      </c>
      <c r="G252" s="94" t="s">
        <v>284</v>
      </c>
      <c r="J252" s="146">
        <f t="shared" ref="J252:Y252" si="228">J184 * J226 * hours_in_year</f>
        <v>5.3561099614642747E-2</v>
      </c>
      <c r="K252" s="146">
        <f t="shared" si="228"/>
        <v>5.3561099614642747E-2</v>
      </c>
      <c r="L252" s="146">
        <f t="shared" si="228"/>
        <v>5.3561099614642747E-2</v>
      </c>
      <c r="M252" s="146">
        <f t="shared" si="228"/>
        <v>5.3561099614642747E-2</v>
      </c>
      <c r="N252" s="146">
        <f t="shared" si="228"/>
        <v>5.3561099614642747E-2</v>
      </c>
      <c r="O252" s="146">
        <f t="shared" si="228"/>
        <v>5.3561099614642747E-2</v>
      </c>
      <c r="P252" s="146">
        <f t="shared" si="228"/>
        <v>5.3561099614642747E-2</v>
      </c>
      <c r="Q252" s="146">
        <f t="shared" si="228"/>
        <v>5.3561099614642747E-2</v>
      </c>
      <c r="R252" s="146">
        <f t="shared" si="228"/>
        <v>5.3561099614642747E-2</v>
      </c>
      <c r="S252" s="146">
        <f t="shared" si="228"/>
        <v>5.3561099614642747E-2</v>
      </c>
      <c r="T252" s="146">
        <f t="shared" si="228"/>
        <v>5.3561099614642747E-2</v>
      </c>
      <c r="U252" s="146">
        <f t="shared" si="228"/>
        <v>5.3561099614642747E-2</v>
      </c>
      <c r="V252" s="146">
        <f t="shared" si="228"/>
        <v>5.3561099614642747E-2</v>
      </c>
      <c r="W252" s="146">
        <f t="shared" si="228"/>
        <v>5.3561099614642747E-2</v>
      </c>
      <c r="X252" s="146">
        <f t="shared" si="228"/>
        <v>5.3561099614642747E-2</v>
      </c>
      <c r="Y252" s="146">
        <f t="shared" si="228"/>
        <v>5.3561099614642747E-2</v>
      </c>
    </row>
    <row r="253" spans="5:25" x14ac:dyDescent="0.25">
      <c r="F253" s="94" t="s">
        <v>194</v>
      </c>
      <c r="G253" s="94" t="s">
        <v>284</v>
      </c>
      <c r="J253" s="146">
        <f t="shared" ref="J253:Y253" si="229">J189 * J226 * hours_in_year</f>
        <v>5.3561099614642747E-2</v>
      </c>
      <c r="K253" s="146">
        <f t="shared" si="229"/>
        <v>5.3561099614642747E-2</v>
      </c>
      <c r="L253" s="146">
        <f t="shared" si="229"/>
        <v>5.3561099614642747E-2</v>
      </c>
      <c r="M253" s="146">
        <f t="shared" si="229"/>
        <v>5.3561099614642747E-2</v>
      </c>
      <c r="N253" s="146">
        <f t="shared" si="229"/>
        <v>5.3561099614642747E-2</v>
      </c>
      <c r="O253" s="146">
        <f t="shared" si="229"/>
        <v>5.3561099614642747E-2</v>
      </c>
      <c r="P253" s="146">
        <f t="shared" si="229"/>
        <v>5.3561099614642747E-2</v>
      </c>
      <c r="Q253" s="146">
        <f t="shared" si="229"/>
        <v>5.3561099614642747E-2</v>
      </c>
      <c r="R253" s="146">
        <f t="shared" si="229"/>
        <v>5.3561099614642747E-2</v>
      </c>
      <c r="S253" s="146">
        <f t="shared" si="229"/>
        <v>5.3561099614642747E-2</v>
      </c>
      <c r="T253" s="146">
        <f t="shared" si="229"/>
        <v>5.3561099614642747E-2</v>
      </c>
      <c r="U253" s="146">
        <f t="shared" si="229"/>
        <v>5.3561099614642747E-2</v>
      </c>
      <c r="V253" s="146">
        <f t="shared" si="229"/>
        <v>5.3561099614642747E-2</v>
      </c>
      <c r="W253" s="146">
        <f t="shared" si="229"/>
        <v>5.3561099614642747E-2</v>
      </c>
      <c r="X253" s="146">
        <f t="shared" si="229"/>
        <v>5.3561099614642747E-2</v>
      </c>
      <c r="Y253" s="146">
        <f t="shared" si="229"/>
        <v>5.3561099614642747E-2</v>
      </c>
    </row>
    <row r="254" spans="5:25" x14ac:dyDescent="0.25">
      <c r="F254" s="94" t="s">
        <v>195</v>
      </c>
      <c r="G254" s="94" t="s">
        <v>284</v>
      </c>
      <c r="J254" s="146">
        <f t="shared" ref="J254:Y254" si="230">J194 * J226 * hours_in_year</f>
        <v>9.7901321340862962E-2</v>
      </c>
      <c r="K254" s="146">
        <f t="shared" si="230"/>
        <v>9.7901321340862962E-2</v>
      </c>
      <c r="L254" s="146">
        <f t="shared" si="230"/>
        <v>9.7901321340862962E-2</v>
      </c>
      <c r="M254" s="146">
        <f t="shared" si="230"/>
        <v>9.7901321340862962E-2</v>
      </c>
      <c r="N254" s="146">
        <f t="shared" si="230"/>
        <v>9.7901321340862962E-2</v>
      </c>
      <c r="O254" s="146">
        <f t="shared" si="230"/>
        <v>9.7901321340862962E-2</v>
      </c>
      <c r="P254" s="146">
        <f t="shared" si="230"/>
        <v>9.7901321340862962E-2</v>
      </c>
      <c r="Q254" s="146">
        <f t="shared" si="230"/>
        <v>9.7901321340862962E-2</v>
      </c>
      <c r="R254" s="146">
        <f t="shared" si="230"/>
        <v>9.7901321340862962E-2</v>
      </c>
      <c r="S254" s="146">
        <f t="shared" si="230"/>
        <v>9.7901321340862962E-2</v>
      </c>
      <c r="T254" s="146">
        <f t="shared" si="230"/>
        <v>9.7901321340862962E-2</v>
      </c>
      <c r="U254" s="146">
        <f t="shared" si="230"/>
        <v>9.7901321340862962E-2</v>
      </c>
      <c r="V254" s="146">
        <f t="shared" si="230"/>
        <v>9.7901321340862962E-2</v>
      </c>
      <c r="W254" s="146">
        <f t="shared" si="230"/>
        <v>9.7901321340862962E-2</v>
      </c>
      <c r="X254" s="146">
        <f t="shared" si="230"/>
        <v>9.7901321340862962E-2</v>
      </c>
      <c r="Y254" s="146">
        <f t="shared" si="230"/>
        <v>9.7901321340862962E-2</v>
      </c>
    </row>
    <row r="255" spans="5:25" x14ac:dyDescent="0.25">
      <c r="F255" s="94" t="s">
        <v>196</v>
      </c>
      <c r="G255" s="94" t="s">
        <v>284</v>
      </c>
      <c r="J255" s="146">
        <f t="shared" ref="J255:Y255" si="231">J199 * J226 * hours_in_year</f>
        <v>9.7901321340862962E-2</v>
      </c>
      <c r="K255" s="146">
        <f t="shared" si="231"/>
        <v>9.7901321340862962E-2</v>
      </c>
      <c r="L255" s="146">
        <f t="shared" si="231"/>
        <v>9.7901321340862962E-2</v>
      </c>
      <c r="M255" s="146">
        <f t="shared" si="231"/>
        <v>9.7901321340862962E-2</v>
      </c>
      <c r="N255" s="146">
        <f t="shared" si="231"/>
        <v>9.7901321340862962E-2</v>
      </c>
      <c r="O255" s="146">
        <f t="shared" si="231"/>
        <v>9.7901321340862962E-2</v>
      </c>
      <c r="P255" s="146">
        <f t="shared" si="231"/>
        <v>9.7901321340862962E-2</v>
      </c>
      <c r="Q255" s="146">
        <f t="shared" si="231"/>
        <v>9.7901321340862962E-2</v>
      </c>
      <c r="R255" s="146">
        <f t="shared" si="231"/>
        <v>9.7901321340862962E-2</v>
      </c>
      <c r="S255" s="146">
        <f t="shared" si="231"/>
        <v>9.7901321340862962E-2</v>
      </c>
      <c r="T255" s="146">
        <f t="shared" si="231"/>
        <v>9.7901321340862962E-2</v>
      </c>
      <c r="U255" s="146">
        <f t="shared" si="231"/>
        <v>9.7901321340862962E-2</v>
      </c>
      <c r="V255" s="146">
        <f t="shared" si="231"/>
        <v>9.7901321340862962E-2</v>
      </c>
      <c r="W255" s="146">
        <f t="shared" si="231"/>
        <v>9.7901321340862962E-2</v>
      </c>
      <c r="X255" s="146">
        <f t="shared" si="231"/>
        <v>9.7901321340862962E-2</v>
      </c>
      <c r="Y255" s="146">
        <f t="shared" si="231"/>
        <v>9.7901321340862962E-2</v>
      </c>
    </row>
    <row r="256" spans="5:25" x14ac:dyDescent="0.25">
      <c r="F256" s="94" t="s">
        <v>197</v>
      </c>
      <c r="G256" s="94" t="s">
        <v>284</v>
      </c>
      <c r="J256" s="146">
        <f t="shared" ref="J256:Y256" si="232">J204 * J226 * hours_in_year</f>
        <v>5.3561099614642747E-2</v>
      </c>
      <c r="K256" s="146">
        <f t="shared" si="232"/>
        <v>5.3561099614642747E-2</v>
      </c>
      <c r="L256" s="146">
        <f t="shared" si="232"/>
        <v>5.3561099614642747E-2</v>
      </c>
      <c r="M256" s="146">
        <f t="shared" si="232"/>
        <v>5.3561099614642747E-2</v>
      </c>
      <c r="N256" s="146">
        <f t="shared" si="232"/>
        <v>5.3561099614642747E-2</v>
      </c>
      <c r="O256" s="146">
        <f t="shared" si="232"/>
        <v>5.3561099614642747E-2</v>
      </c>
      <c r="P256" s="146">
        <f t="shared" si="232"/>
        <v>5.3561099614642747E-2</v>
      </c>
      <c r="Q256" s="146">
        <f t="shared" si="232"/>
        <v>5.3561099614642747E-2</v>
      </c>
      <c r="R256" s="146">
        <f t="shared" si="232"/>
        <v>5.3561099614642747E-2</v>
      </c>
      <c r="S256" s="146">
        <f t="shared" si="232"/>
        <v>5.3561099614642747E-2</v>
      </c>
      <c r="T256" s="146">
        <f t="shared" si="232"/>
        <v>5.3561099614642747E-2</v>
      </c>
      <c r="U256" s="146">
        <f t="shared" si="232"/>
        <v>5.3561099614642747E-2</v>
      </c>
      <c r="V256" s="146">
        <f t="shared" si="232"/>
        <v>5.3561099614642747E-2</v>
      </c>
      <c r="W256" s="146">
        <f t="shared" si="232"/>
        <v>5.3561099614642747E-2</v>
      </c>
      <c r="X256" s="146">
        <f t="shared" si="232"/>
        <v>5.3561099614642747E-2</v>
      </c>
      <c r="Y256" s="146">
        <f t="shared" si="232"/>
        <v>5.3561099614642747E-2</v>
      </c>
    </row>
    <row r="257" spans="2:27" x14ac:dyDescent="0.25">
      <c r="F257" s="94" t="s">
        <v>198</v>
      </c>
      <c r="G257" s="94" t="s">
        <v>284</v>
      </c>
      <c r="J257" s="146">
        <f t="shared" ref="J257:Y257" si="233">J209 * J226 * hours_in_year</f>
        <v>9.7901321340862962E-2</v>
      </c>
      <c r="K257" s="146">
        <f t="shared" si="233"/>
        <v>9.7901321340862962E-2</v>
      </c>
      <c r="L257" s="146">
        <f t="shared" si="233"/>
        <v>9.7901321340862962E-2</v>
      </c>
      <c r="M257" s="146">
        <f t="shared" si="233"/>
        <v>9.7901321340862962E-2</v>
      </c>
      <c r="N257" s="146">
        <f t="shared" si="233"/>
        <v>9.7901321340862962E-2</v>
      </c>
      <c r="O257" s="146">
        <f t="shared" si="233"/>
        <v>9.7901321340862962E-2</v>
      </c>
      <c r="P257" s="146">
        <f t="shared" si="233"/>
        <v>9.7901321340862962E-2</v>
      </c>
      <c r="Q257" s="146">
        <f t="shared" si="233"/>
        <v>9.7901321340862962E-2</v>
      </c>
      <c r="R257" s="146">
        <f t="shared" si="233"/>
        <v>9.7901321340862962E-2</v>
      </c>
      <c r="S257" s="146">
        <f t="shared" si="233"/>
        <v>9.7901321340862962E-2</v>
      </c>
      <c r="T257" s="146">
        <f t="shared" si="233"/>
        <v>9.7901321340862962E-2</v>
      </c>
      <c r="U257" s="146">
        <f t="shared" si="233"/>
        <v>9.7901321340862962E-2</v>
      </c>
      <c r="V257" s="146">
        <f t="shared" si="233"/>
        <v>9.7901321340862962E-2</v>
      </c>
      <c r="W257" s="146">
        <f t="shared" si="233"/>
        <v>9.7901321340862962E-2</v>
      </c>
      <c r="X257" s="146">
        <f t="shared" si="233"/>
        <v>9.7901321340862962E-2</v>
      </c>
      <c r="Y257" s="146">
        <f t="shared" si="233"/>
        <v>9.7901321340862962E-2</v>
      </c>
    </row>
    <row r="258" spans="2:27" x14ac:dyDescent="0.25">
      <c r="F258" s="94" t="s">
        <v>199</v>
      </c>
      <c r="G258" s="94" t="s">
        <v>284</v>
      </c>
      <c r="J258" s="146">
        <f t="shared" ref="J258:Y258" si="234">J214 * J226 * hours_in_year</f>
        <v>9.7901321340862962E-2</v>
      </c>
      <c r="K258" s="146">
        <f t="shared" si="234"/>
        <v>9.7901321340862962E-2</v>
      </c>
      <c r="L258" s="146">
        <f t="shared" si="234"/>
        <v>9.7901321340862962E-2</v>
      </c>
      <c r="M258" s="146">
        <f t="shared" si="234"/>
        <v>9.7901321340862962E-2</v>
      </c>
      <c r="N258" s="146">
        <f t="shared" si="234"/>
        <v>9.7901321340862962E-2</v>
      </c>
      <c r="O258" s="146">
        <f t="shared" si="234"/>
        <v>9.7901321340862962E-2</v>
      </c>
      <c r="P258" s="146">
        <f t="shared" si="234"/>
        <v>9.7901321340862962E-2</v>
      </c>
      <c r="Q258" s="146">
        <f t="shared" si="234"/>
        <v>9.7901321340862962E-2</v>
      </c>
      <c r="R258" s="146">
        <f t="shared" si="234"/>
        <v>9.7901321340862962E-2</v>
      </c>
      <c r="S258" s="146">
        <f t="shared" si="234"/>
        <v>9.7901321340862962E-2</v>
      </c>
      <c r="T258" s="146">
        <f t="shared" si="234"/>
        <v>9.7901321340862962E-2</v>
      </c>
      <c r="U258" s="146">
        <f t="shared" si="234"/>
        <v>9.7901321340862962E-2</v>
      </c>
      <c r="V258" s="146">
        <f t="shared" si="234"/>
        <v>9.7901321340862962E-2</v>
      </c>
      <c r="W258" s="146">
        <f t="shared" si="234"/>
        <v>9.7901321340862962E-2</v>
      </c>
      <c r="X258" s="146">
        <f t="shared" si="234"/>
        <v>9.7901321340862962E-2</v>
      </c>
      <c r="Y258" s="146">
        <f t="shared" si="234"/>
        <v>9.7901321340862962E-2</v>
      </c>
    </row>
    <row r="259" spans="2:27" x14ac:dyDescent="0.25">
      <c r="F259" s="101" t="s">
        <v>200</v>
      </c>
      <c r="G259" s="101" t="s">
        <v>284</v>
      </c>
      <c r="H259" s="96"/>
      <c r="I259" s="96"/>
      <c r="J259" s="146">
        <f t="shared" ref="J259:Y259" si="235">J219 * J226 * hours_in_year</f>
        <v>9.7901321340862962E-2</v>
      </c>
      <c r="K259" s="146">
        <f t="shared" si="235"/>
        <v>9.7901321340862962E-2</v>
      </c>
      <c r="L259" s="146">
        <f t="shared" si="235"/>
        <v>9.7901321340862962E-2</v>
      </c>
      <c r="M259" s="146">
        <f t="shared" si="235"/>
        <v>9.7901321340862962E-2</v>
      </c>
      <c r="N259" s="146">
        <f t="shared" si="235"/>
        <v>9.7901321340862962E-2</v>
      </c>
      <c r="O259" s="146">
        <f t="shared" si="235"/>
        <v>9.7901321340862962E-2</v>
      </c>
      <c r="P259" s="146">
        <f t="shared" si="235"/>
        <v>9.7901321340862962E-2</v>
      </c>
      <c r="Q259" s="146">
        <f t="shared" si="235"/>
        <v>9.7901321340862962E-2</v>
      </c>
      <c r="R259" s="146">
        <f t="shared" si="235"/>
        <v>9.7901321340862962E-2</v>
      </c>
      <c r="S259" s="146">
        <f t="shared" si="235"/>
        <v>9.7901321340862962E-2</v>
      </c>
      <c r="T259" s="146">
        <f t="shared" si="235"/>
        <v>9.7901321340862962E-2</v>
      </c>
      <c r="U259" s="146">
        <f t="shared" si="235"/>
        <v>9.7901321340862962E-2</v>
      </c>
      <c r="V259" s="146">
        <f t="shared" si="235"/>
        <v>9.7901321340862962E-2</v>
      </c>
      <c r="W259" s="146">
        <f t="shared" si="235"/>
        <v>9.7901321340862962E-2</v>
      </c>
      <c r="X259" s="146">
        <f t="shared" si="235"/>
        <v>9.7901321340862962E-2</v>
      </c>
      <c r="Y259" s="146">
        <f t="shared" si="235"/>
        <v>9.7901321340862962E-2</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800</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820</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control'!$H$42:$H$65,MATCH($A$1,'Version control'!$F$42:$F$65,0),1)&amp;"-K: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430</v>
      </c>
      <c r="G267" s="94" t="s">
        <v>284</v>
      </c>
      <c r="J267" s="151">
        <f>J91</f>
        <v>2.2002726686835845</v>
      </c>
      <c r="K267" s="151">
        <f t="shared" ref="K267:Y267" si="236">K91</f>
        <v>2.2002726686835845</v>
      </c>
      <c r="L267" s="151">
        <f t="shared" si="236"/>
        <v>1.6684599292766422</v>
      </c>
      <c r="M267" s="151">
        <f t="shared" si="236"/>
        <v>1.6684599292766422</v>
      </c>
      <c r="N267" s="151">
        <f t="shared" si="236"/>
        <v>1.4389213197475446</v>
      </c>
      <c r="O267" s="151">
        <f t="shared" si="236"/>
        <v>1.2984118985263626</v>
      </c>
      <c r="P267" s="151">
        <f t="shared" si="236"/>
        <v>1.1633898937261677</v>
      </c>
      <c r="Q267" s="151">
        <f t="shared" si="236"/>
        <v>1.9810980858278973</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control'!$H$42:$H$65,MATCH($A$1,'Version control'!$F$42:$F$65,0),1)&amp;"-L: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157</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192</v>
      </c>
      <c r="G272" s="98" t="s">
        <v>284</v>
      </c>
      <c r="H272" s="95"/>
      <c r="I272" s="95"/>
      <c r="J272" s="149">
        <f>J229 * J$93</f>
        <v>26.252532118322382</v>
      </c>
      <c r="K272" s="149">
        <f t="shared" ref="K272:Y272" si="237">K229 * K$93</f>
        <v>26.252532118322382</v>
      </c>
      <c r="L272" s="149">
        <f t="shared" si="237"/>
        <v>25.683280914057626</v>
      </c>
      <c r="M272" s="149">
        <f t="shared" si="237"/>
        <v>25.683280914057626</v>
      </c>
      <c r="N272" s="149">
        <f t="shared" si="237"/>
        <v>19.797283154448994</v>
      </c>
      <c r="O272" s="149">
        <f t="shared" si="237"/>
        <v>18.674788578853466</v>
      </c>
      <c r="P272" s="149">
        <f t="shared" si="237"/>
        <v>17.15181159346</v>
      </c>
      <c r="Q272" s="149">
        <f t="shared" si="237"/>
        <v>61.608236378792107</v>
      </c>
      <c r="R272" s="149">
        <f t="shared" si="237"/>
        <v>15.796325905441332</v>
      </c>
      <c r="S272" s="149">
        <f t="shared" si="237"/>
        <v>15.796325905441332</v>
      </c>
      <c r="T272" s="149">
        <f t="shared" si="237"/>
        <v>15.796325905441332</v>
      </c>
      <c r="U272" s="149">
        <f t="shared" si="237"/>
        <v>15.796325905441332</v>
      </c>
      <c r="V272" s="149">
        <f t="shared" si="237"/>
        <v>15.796325905441332</v>
      </c>
      <c r="W272" s="149">
        <f t="shared" si="237"/>
        <v>15.796325905441332</v>
      </c>
      <c r="X272" s="149">
        <f t="shared" si="237"/>
        <v>15.796325905441332</v>
      </c>
      <c r="Y272" s="149">
        <f t="shared" si="237"/>
        <v>15.796325905441332</v>
      </c>
    </row>
    <row r="273" spans="5:25" x14ac:dyDescent="0.25">
      <c r="F273" s="94" t="s">
        <v>193</v>
      </c>
      <c r="G273" s="94" t="s">
        <v>284</v>
      </c>
      <c r="J273" s="151">
        <f t="shared" ref="J273:Y273" si="238">J230 * J$93</f>
        <v>22.906645910706104</v>
      </c>
      <c r="K273" s="151">
        <f t="shared" si="238"/>
        <v>22.906645910706104</v>
      </c>
      <c r="L273" s="151">
        <f t="shared" si="238"/>
        <v>22.409945793872989</v>
      </c>
      <c r="M273" s="151">
        <f t="shared" si="238"/>
        <v>22.409945793872989</v>
      </c>
      <c r="N273" s="151">
        <f t="shared" si="238"/>
        <v>17.274118670497572</v>
      </c>
      <c r="O273" s="151">
        <f t="shared" si="238"/>
        <v>16.294686070854755</v>
      </c>
      <c r="P273" s="151">
        <f t="shared" si="238"/>
        <v>14.965812559632019</v>
      </c>
      <c r="Q273" s="151">
        <f t="shared" si="238"/>
        <v>49.885377430246677</v>
      </c>
      <c r="R273" s="151">
        <f t="shared" si="238"/>
        <v>13.783083573622967</v>
      </c>
      <c r="S273" s="151">
        <f t="shared" si="238"/>
        <v>13.783083573622967</v>
      </c>
      <c r="T273" s="151">
        <f t="shared" si="238"/>
        <v>13.783083573622967</v>
      </c>
      <c r="U273" s="151">
        <f t="shared" si="238"/>
        <v>13.783083573622967</v>
      </c>
      <c r="V273" s="151">
        <f t="shared" si="238"/>
        <v>13.783083573622967</v>
      </c>
      <c r="W273" s="151">
        <f t="shared" si="238"/>
        <v>13.783083573622967</v>
      </c>
      <c r="X273" s="151">
        <f t="shared" si="238"/>
        <v>13.783083573622967</v>
      </c>
      <c r="Y273" s="151">
        <f t="shared" si="238"/>
        <v>13.783083573622967</v>
      </c>
    </row>
    <row r="274" spans="5:25" x14ac:dyDescent="0.25">
      <c r="F274" s="94" t="s">
        <v>194</v>
      </c>
      <c r="G274" s="94" t="s">
        <v>284</v>
      </c>
      <c r="J274" s="151">
        <f t="shared" ref="J274:Y274" si="239">J231 * J$93</f>
        <v>22.906645910706104</v>
      </c>
      <c r="K274" s="151">
        <f t="shared" si="239"/>
        <v>22.906645910706104</v>
      </c>
      <c r="L274" s="151">
        <f t="shared" si="239"/>
        <v>22.409945793872989</v>
      </c>
      <c r="M274" s="151">
        <f t="shared" si="239"/>
        <v>22.409945793872989</v>
      </c>
      <c r="N274" s="151">
        <f t="shared" si="239"/>
        <v>17.274118670497572</v>
      </c>
      <c r="O274" s="151">
        <f t="shared" si="239"/>
        <v>16.294686070854755</v>
      </c>
      <c r="P274" s="151">
        <f t="shared" si="239"/>
        <v>14.965812559632019</v>
      </c>
      <c r="Q274" s="151">
        <f t="shared" si="239"/>
        <v>49.885377430246677</v>
      </c>
      <c r="R274" s="151">
        <f t="shared" si="239"/>
        <v>13.783083573622967</v>
      </c>
      <c r="S274" s="151">
        <f t="shared" si="239"/>
        <v>13.783083573622967</v>
      </c>
      <c r="T274" s="151">
        <f t="shared" si="239"/>
        <v>13.783083573622967</v>
      </c>
      <c r="U274" s="151">
        <f t="shared" si="239"/>
        <v>13.783083573622967</v>
      </c>
      <c r="V274" s="151">
        <f t="shared" si="239"/>
        <v>13.783083573622967</v>
      </c>
      <c r="W274" s="151">
        <f t="shared" si="239"/>
        <v>13.783083573622967</v>
      </c>
      <c r="X274" s="151">
        <f t="shared" si="239"/>
        <v>13.783083573622967</v>
      </c>
      <c r="Y274" s="151">
        <f t="shared" si="239"/>
        <v>13.783083573622967</v>
      </c>
    </row>
    <row r="275" spans="5:25" x14ac:dyDescent="0.25">
      <c r="F275" s="94" t="s">
        <v>195</v>
      </c>
      <c r="G275" s="94" t="s">
        <v>284</v>
      </c>
      <c r="J275" s="151">
        <f t="shared" ref="J275:Y275" si="240">J232 * J$93</f>
        <v>14.957389736758207</v>
      </c>
      <c r="K275" s="151">
        <f t="shared" si="240"/>
        <v>14.957389736758207</v>
      </c>
      <c r="L275" s="151">
        <f t="shared" si="240"/>
        <v>14.633058655781664</v>
      </c>
      <c r="M275" s="151">
        <f t="shared" si="240"/>
        <v>14.633058655781664</v>
      </c>
      <c r="N275" s="151">
        <f t="shared" si="240"/>
        <v>11.279509288301529</v>
      </c>
      <c r="O275" s="151">
        <f t="shared" si="240"/>
        <v>10.639967594993349</v>
      </c>
      <c r="P275" s="151">
        <f t="shared" si="240"/>
        <v>9.7722509028292226</v>
      </c>
      <c r="Q275" s="151">
        <f t="shared" si="240"/>
        <v>32.930440929445119</v>
      </c>
      <c r="R275" s="151">
        <f t="shared" si="240"/>
        <v>8.9999624383521937</v>
      </c>
      <c r="S275" s="151">
        <f t="shared" si="240"/>
        <v>8.9999624383521937</v>
      </c>
      <c r="T275" s="151">
        <f t="shared" si="240"/>
        <v>8.9999624383521937</v>
      </c>
      <c r="U275" s="151">
        <f t="shared" si="240"/>
        <v>8.9999624383521937</v>
      </c>
      <c r="V275" s="151">
        <f t="shared" si="240"/>
        <v>8.9999624383521937</v>
      </c>
      <c r="W275" s="151">
        <f t="shared" si="240"/>
        <v>8.9999624383521937</v>
      </c>
      <c r="X275" s="151">
        <f t="shared" si="240"/>
        <v>8.9999624383521937</v>
      </c>
      <c r="Y275" s="151">
        <f t="shared" si="240"/>
        <v>8.9999624383521937</v>
      </c>
    </row>
    <row r="276" spans="5:25" x14ac:dyDescent="0.25">
      <c r="F276" s="94" t="s">
        <v>196</v>
      </c>
      <c r="G276" s="94" t="s">
        <v>284</v>
      </c>
      <c r="J276" s="151">
        <f t="shared" ref="J276:Y276" si="241">J233 * J$93</f>
        <v>14.957389736758207</v>
      </c>
      <c r="K276" s="151">
        <f t="shared" si="241"/>
        <v>14.957389736758207</v>
      </c>
      <c r="L276" s="151">
        <f t="shared" si="241"/>
        <v>14.633058655781664</v>
      </c>
      <c r="M276" s="151">
        <f t="shared" si="241"/>
        <v>14.633058655781664</v>
      </c>
      <c r="N276" s="151">
        <f t="shared" si="241"/>
        <v>11.279509288301529</v>
      </c>
      <c r="O276" s="151">
        <f t="shared" si="241"/>
        <v>10.639967594993349</v>
      </c>
      <c r="P276" s="151">
        <f t="shared" si="241"/>
        <v>9.7722509028292226</v>
      </c>
      <c r="Q276" s="151">
        <f t="shared" si="241"/>
        <v>32.930440929445119</v>
      </c>
      <c r="R276" s="151">
        <f t="shared" si="241"/>
        <v>8.9999624383521937</v>
      </c>
      <c r="S276" s="151">
        <f t="shared" si="241"/>
        <v>8.9999624383521937</v>
      </c>
      <c r="T276" s="151">
        <f t="shared" si="241"/>
        <v>8.9999624383521937</v>
      </c>
      <c r="U276" s="151">
        <f t="shared" si="241"/>
        <v>8.9999624383521937</v>
      </c>
      <c r="V276" s="151">
        <f t="shared" si="241"/>
        <v>8.9999624383521937</v>
      </c>
      <c r="W276" s="151">
        <f t="shared" si="241"/>
        <v>8.9999624383521937</v>
      </c>
      <c r="X276" s="151">
        <f t="shared" si="241"/>
        <v>8.9999624383521937</v>
      </c>
      <c r="Y276" s="151">
        <f t="shared" si="241"/>
        <v>8.9999624383521937</v>
      </c>
    </row>
    <row r="277" spans="5:25" x14ac:dyDescent="0.25">
      <c r="F277" s="94" t="s">
        <v>197</v>
      </c>
      <c r="G277" s="94" t="s">
        <v>284</v>
      </c>
      <c r="J277" s="151">
        <f t="shared" ref="J277:Y277" si="242">J234 * J$93</f>
        <v>22.906645910706104</v>
      </c>
      <c r="K277" s="151">
        <f t="shared" si="242"/>
        <v>22.906645910706104</v>
      </c>
      <c r="L277" s="151">
        <f t="shared" si="242"/>
        <v>22.409945793872989</v>
      </c>
      <c r="M277" s="151">
        <f t="shared" si="242"/>
        <v>22.409945793872989</v>
      </c>
      <c r="N277" s="151">
        <f t="shared" si="242"/>
        <v>17.274118670497572</v>
      </c>
      <c r="O277" s="151">
        <f t="shared" si="242"/>
        <v>16.294686070854755</v>
      </c>
      <c r="P277" s="151">
        <f t="shared" si="242"/>
        <v>14.965812559632019</v>
      </c>
      <c r="Q277" s="151">
        <f t="shared" si="242"/>
        <v>49.885377430246677</v>
      </c>
      <c r="R277" s="151">
        <f t="shared" si="242"/>
        <v>13.783083573622967</v>
      </c>
      <c r="S277" s="151">
        <f t="shared" si="242"/>
        <v>13.783083573622967</v>
      </c>
      <c r="T277" s="151">
        <f t="shared" si="242"/>
        <v>13.783083573622967</v>
      </c>
      <c r="U277" s="151">
        <f t="shared" si="242"/>
        <v>13.783083573622967</v>
      </c>
      <c r="V277" s="151">
        <f t="shared" si="242"/>
        <v>13.783083573622967</v>
      </c>
      <c r="W277" s="151">
        <f t="shared" si="242"/>
        <v>13.783083573622967</v>
      </c>
      <c r="X277" s="151">
        <f t="shared" si="242"/>
        <v>13.783083573622967</v>
      </c>
      <c r="Y277" s="151">
        <f t="shared" si="242"/>
        <v>13.783083573622967</v>
      </c>
    </row>
    <row r="278" spans="5:25" x14ac:dyDescent="0.25">
      <c r="F278" s="94" t="s">
        <v>198</v>
      </c>
      <c r="G278" s="94" t="s">
        <v>284</v>
      </c>
      <c r="J278" s="151">
        <f t="shared" ref="J278:Y278" si="243">J235 * J$93</f>
        <v>14.957389736758207</v>
      </c>
      <c r="K278" s="151">
        <f t="shared" si="243"/>
        <v>14.957389736758207</v>
      </c>
      <c r="L278" s="151">
        <f t="shared" si="243"/>
        <v>14.633058655781664</v>
      </c>
      <c r="M278" s="151">
        <f t="shared" si="243"/>
        <v>14.633058655781664</v>
      </c>
      <c r="N278" s="151">
        <f t="shared" si="243"/>
        <v>11.279509288301529</v>
      </c>
      <c r="O278" s="151">
        <f t="shared" si="243"/>
        <v>10.639967594993349</v>
      </c>
      <c r="P278" s="151">
        <f t="shared" si="243"/>
        <v>9.7722509028292226</v>
      </c>
      <c r="Q278" s="151">
        <f t="shared" si="243"/>
        <v>32.930440929445119</v>
      </c>
      <c r="R278" s="151">
        <f t="shared" si="243"/>
        <v>8.9999624383521937</v>
      </c>
      <c r="S278" s="151">
        <f t="shared" si="243"/>
        <v>8.9999624383521937</v>
      </c>
      <c r="T278" s="151">
        <f t="shared" si="243"/>
        <v>8.9999624383521937</v>
      </c>
      <c r="U278" s="151">
        <f t="shared" si="243"/>
        <v>8.9999624383521937</v>
      </c>
      <c r="V278" s="151">
        <f t="shared" si="243"/>
        <v>8.9999624383521937</v>
      </c>
      <c r="W278" s="151">
        <f t="shared" si="243"/>
        <v>8.9999624383521937</v>
      </c>
      <c r="X278" s="151">
        <f t="shared" si="243"/>
        <v>8.9999624383521937</v>
      </c>
      <c r="Y278" s="151">
        <f t="shared" si="243"/>
        <v>8.9999624383521937</v>
      </c>
    </row>
    <row r="279" spans="5:25" x14ac:dyDescent="0.25">
      <c r="F279" s="94" t="s">
        <v>199</v>
      </c>
      <c r="G279" s="94" t="s">
        <v>284</v>
      </c>
      <c r="J279" s="151">
        <f t="shared" ref="J279:Y279" si="244">J236 * J$93</f>
        <v>14.957389736758207</v>
      </c>
      <c r="K279" s="151">
        <f t="shared" si="244"/>
        <v>14.957389736758207</v>
      </c>
      <c r="L279" s="151">
        <f t="shared" si="244"/>
        <v>14.633058655781664</v>
      </c>
      <c r="M279" s="151">
        <f t="shared" si="244"/>
        <v>14.633058655781664</v>
      </c>
      <c r="N279" s="151">
        <f t="shared" si="244"/>
        <v>11.279509288301529</v>
      </c>
      <c r="O279" s="151">
        <f t="shared" si="244"/>
        <v>10.639967594993349</v>
      </c>
      <c r="P279" s="151">
        <f t="shared" si="244"/>
        <v>9.7722509028292226</v>
      </c>
      <c r="Q279" s="151">
        <f t="shared" si="244"/>
        <v>32.930440929445119</v>
      </c>
      <c r="R279" s="151">
        <f t="shared" si="244"/>
        <v>8.9999624383521937</v>
      </c>
      <c r="S279" s="151">
        <f t="shared" si="244"/>
        <v>8.9999624383521937</v>
      </c>
      <c r="T279" s="151">
        <f t="shared" si="244"/>
        <v>8.9999624383521937</v>
      </c>
      <c r="U279" s="151">
        <f t="shared" si="244"/>
        <v>8.9999624383521937</v>
      </c>
      <c r="V279" s="151">
        <f t="shared" si="244"/>
        <v>8.9999624383521937</v>
      </c>
      <c r="W279" s="151">
        <f t="shared" si="244"/>
        <v>8.9999624383521937</v>
      </c>
      <c r="X279" s="151">
        <f t="shared" si="244"/>
        <v>8.9999624383521937</v>
      </c>
      <c r="Y279" s="151">
        <f t="shared" si="244"/>
        <v>8.9999624383521937</v>
      </c>
    </row>
    <row r="280" spans="5:25" x14ac:dyDescent="0.25">
      <c r="F280" s="101" t="s">
        <v>200</v>
      </c>
      <c r="G280" s="101" t="s">
        <v>284</v>
      </c>
      <c r="H280" s="96"/>
      <c r="I280" s="96"/>
      <c r="J280" s="150">
        <f t="shared" ref="J280:Y280" si="245">J237 * J$93</f>
        <v>14.957389736758207</v>
      </c>
      <c r="K280" s="150">
        <f t="shared" si="245"/>
        <v>14.957389736758207</v>
      </c>
      <c r="L280" s="150">
        <f t="shared" si="245"/>
        <v>14.633058655781664</v>
      </c>
      <c r="M280" s="150">
        <f t="shared" si="245"/>
        <v>14.633058655781664</v>
      </c>
      <c r="N280" s="150">
        <f t="shared" si="245"/>
        <v>11.279509288301529</v>
      </c>
      <c r="O280" s="150">
        <f t="shared" si="245"/>
        <v>10.639967594993349</v>
      </c>
      <c r="P280" s="150">
        <f t="shared" si="245"/>
        <v>9.7722509028292226</v>
      </c>
      <c r="Q280" s="150">
        <f t="shared" si="245"/>
        <v>32.930440929445119</v>
      </c>
      <c r="R280" s="150">
        <f t="shared" si="245"/>
        <v>8.9999624383521937</v>
      </c>
      <c r="S280" s="150">
        <f t="shared" si="245"/>
        <v>8.9999624383521937</v>
      </c>
      <c r="T280" s="150">
        <f t="shared" si="245"/>
        <v>8.9999624383521937</v>
      </c>
      <c r="U280" s="150">
        <f t="shared" si="245"/>
        <v>8.9999624383521937</v>
      </c>
      <c r="V280" s="150">
        <f t="shared" si="245"/>
        <v>8.9999624383521937</v>
      </c>
      <c r="W280" s="150">
        <f t="shared" si="245"/>
        <v>8.9999624383521937</v>
      </c>
      <c r="X280" s="150">
        <f t="shared" si="245"/>
        <v>8.9999624383521937</v>
      </c>
      <c r="Y280" s="150">
        <f t="shared" si="245"/>
        <v>8.9999624383521937</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158</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192</v>
      </c>
      <c r="G283" s="98" t="s">
        <v>284</v>
      </c>
      <c r="H283" s="95"/>
      <c r="I283" s="95"/>
      <c r="J283" s="149">
        <f>J240 * J$93</f>
        <v>0.24367664353101637</v>
      </c>
      <c r="K283" s="149">
        <f t="shared" ref="K283:Y283" si="246">K240 * K$93</f>
        <v>0.24367664353101637</v>
      </c>
      <c r="L283" s="149">
        <f t="shared" si="246"/>
        <v>0.23839283996661989</v>
      </c>
      <c r="M283" s="149">
        <f t="shared" si="246"/>
        <v>0.23839283996661989</v>
      </c>
      <c r="N283" s="149">
        <f t="shared" si="246"/>
        <v>0.18375886517789888</v>
      </c>
      <c r="O283" s="149">
        <f t="shared" si="246"/>
        <v>0.173339843144897</v>
      </c>
      <c r="P283" s="149">
        <f t="shared" si="246"/>
        <v>0.1592035336147144</v>
      </c>
      <c r="Q283" s="149">
        <f t="shared" si="246"/>
        <v>0.28282792635188153</v>
      </c>
      <c r="R283" s="149">
        <f t="shared" si="246"/>
        <v>0.14662188239257595</v>
      </c>
      <c r="S283" s="149">
        <f t="shared" si="246"/>
        <v>0.14662188239257595</v>
      </c>
      <c r="T283" s="149">
        <f t="shared" si="246"/>
        <v>0.14662188239257595</v>
      </c>
      <c r="U283" s="149">
        <f t="shared" si="246"/>
        <v>0.14662188239257595</v>
      </c>
      <c r="V283" s="149">
        <f t="shared" si="246"/>
        <v>0.14662188239257595</v>
      </c>
      <c r="W283" s="149">
        <f t="shared" si="246"/>
        <v>0.14662188239257595</v>
      </c>
      <c r="X283" s="149">
        <f t="shared" si="246"/>
        <v>0.14662188239257595</v>
      </c>
      <c r="Y283" s="149">
        <f t="shared" si="246"/>
        <v>0.14662188239257595</v>
      </c>
    </row>
    <row r="284" spans="5:25" x14ac:dyDescent="0.25">
      <c r="F284" s="94" t="s">
        <v>193</v>
      </c>
      <c r="G284" s="94" t="s">
        <v>284</v>
      </c>
      <c r="J284" s="151">
        <f t="shared" ref="J284:Y284" si="247">J241 * J$93</f>
        <v>0.62724577919494018</v>
      </c>
      <c r="K284" s="151">
        <f t="shared" si="247"/>
        <v>0.62724577919494018</v>
      </c>
      <c r="L284" s="151">
        <f t="shared" si="247"/>
        <v>0.61364478963829849</v>
      </c>
      <c r="M284" s="151">
        <f t="shared" si="247"/>
        <v>0.61364478963829849</v>
      </c>
      <c r="N284" s="151">
        <f t="shared" si="247"/>
        <v>0.47301198384168502</v>
      </c>
      <c r="O284" s="151">
        <f t="shared" si="247"/>
        <v>0.44619247623997399</v>
      </c>
      <c r="P284" s="151">
        <f t="shared" si="247"/>
        <v>0.40980433350412077</v>
      </c>
      <c r="Q284" s="151">
        <f t="shared" si="247"/>
        <v>0.67375910700832731</v>
      </c>
      <c r="R284" s="151">
        <f t="shared" si="247"/>
        <v>0.37741802224329329</v>
      </c>
      <c r="S284" s="151">
        <f t="shared" si="247"/>
        <v>0.37741802224329329</v>
      </c>
      <c r="T284" s="151">
        <f t="shared" si="247"/>
        <v>0.37741802224329329</v>
      </c>
      <c r="U284" s="151">
        <f t="shared" si="247"/>
        <v>0.37741802224329329</v>
      </c>
      <c r="V284" s="151">
        <f t="shared" si="247"/>
        <v>0.37741802224329329</v>
      </c>
      <c r="W284" s="151">
        <f t="shared" si="247"/>
        <v>0.37741802224329329</v>
      </c>
      <c r="X284" s="151">
        <f t="shared" si="247"/>
        <v>0.37741802224329329</v>
      </c>
      <c r="Y284" s="151">
        <f t="shared" si="247"/>
        <v>0.37741802224329329</v>
      </c>
    </row>
    <row r="285" spans="5:25" x14ac:dyDescent="0.25">
      <c r="F285" s="94" t="s">
        <v>194</v>
      </c>
      <c r="G285" s="94" t="s">
        <v>284</v>
      </c>
      <c r="J285" s="151">
        <f t="shared" ref="J285:Y285" si="248">J242 * J$93</f>
        <v>0.62724577919494018</v>
      </c>
      <c r="K285" s="151">
        <f t="shared" si="248"/>
        <v>0.62724577919494018</v>
      </c>
      <c r="L285" s="151">
        <f t="shared" si="248"/>
        <v>0.61364478963829849</v>
      </c>
      <c r="M285" s="151">
        <f t="shared" si="248"/>
        <v>0.61364478963829849</v>
      </c>
      <c r="N285" s="151">
        <f t="shared" si="248"/>
        <v>0.47301198384168502</v>
      </c>
      <c r="O285" s="151">
        <f t="shared" si="248"/>
        <v>0.44619247623997399</v>
      </c>
      <c r="P285" s="151">
        <f t="shared" si="248"/>
        <v>0.40980433350412077</v>
      </c>
      <c r="Q285" s="151">
        <f t="shared" si="248"/>
        <v>0.67375910700832731</v>
      </c>
      <c r="R285" s="151">
        <f t="shared" si="248"/>
        <v>0.37741802224329329</v>
      </c>
      <c r="S285" s="151">
        <f t="shared" si="248"/>
        <v>0.37741802224329329</v>
      </c>
      <c r="T285" s="151">
        <f t="shared" si="248"/>
        <v>0.37741802224329329</v>
      </c>
      <c r="U285" s="151">
        <f t="shared" si="248"/>
        <v>0.37741802224329329</v>
      </c>
      <c r="V285" s="151">
        <f t="shared" si="248"/>
        <v>0.37741802224329329</v>
      </c>
      <c r="W285" s="151">
        <f t="shared" si="248"/>
        <v>0.37741802224329329</v>
      </c>
      <c r="X285" s="151">
        <f t="shared" si="248"/>
        <v>0.37741802224329329</v>
      </c>
      <c r="Y285" s="151">
        <f t="shared" si="248"/>
        <v>0.37741802224329329</v>
      </c>
    </row>
    <row r="286" spans="5:25" x14ac:dyDescent="0.25">
      <c r="F286" s="94" t="s">
        <v>195</v>
      </c>
      <c r="G286" s="94" t="s">
        <v>284</v>
      </c>
      <c r="J286" s="151">
        <f t="shared" ref="J286:Y286" si="249">J243 * J$93</f>
        <v>1.7300813910720054</v>
      </c>
      <c r="K286" s="151">
        <f t="shared" si="249"/>
        <v>1.7300813910720054</v>
      </c>
      <c r="L286" s="151">
        <f t="shared" si="249"/>
        <v>1.692566879675353</v>
      </c>
      <c r="M286" s="151">
        <f t="shared" si="249"/>
        <v>1.692566879675353</v>
      </c>
      <c r="N286" s="151">
        <f t="shared" si="249"/>
        <v>1.3046707656588608</v>
      </c>
      <c r="O286" s="151">
        <f t="shared" si="249"/>
        <v>1.2306966831564834</v>
      </c>
      <c r="P286" s="151">
        <f t="shared" si="249"/>
        <v>1.1303302069025138</v>
      </c>
      <c r="Q286" s="151">
        <f t="shared" si="249"/>
        <v>1.2892178735875566</v>
      </c>
      <c r="R286" s="151">
        <f t="shared" si="249"/>
        <v>1.0410016593119056</v>
      </c>
      <c r="S286" s="151">
        <f t="shared" si="249"/>
        <v>1.0410016593119056</v>
      </c>
      <c r="T286" s="151">
        <f t="shared" si="249"/>
        <v>1.0410016593119056</v>
      </c>
      <c r="U286" s="151">
        <f t="shared" si="249"/>
        <v>1.0410016593119056</v>
      </c>
      <c r="V286" s="151">
        <f t="shared" si="249"/>
        <v>1.0410016593119056</v>
      </c>
      <c r="W286" s="151">
        <f t="shared" si="249"/>
        <v>1.0410016593119056</v>
      </c>
      <c r="X286" s="151">
        <f t="shared" si="249"/>
        <v>1.0410016593119056</v>
      </c>
      <c r="Y286" s="151">
        <f t="shared" si="249"/>
        <v>1.0410016593119056</v>
      </c>
    </row>
    <row r="287" spans="5:25" x14ac:dyDescent="0.25">
      <c r="F287" s="94" t="s">
        <v>196</v>
      </c>
      <c r="G287" s="94" t="s">
        <v>284</v>
      </c>
      <c r="J287" s="151">
        <f t="shared" ref="J287:Y287" si="250">J244 * J$93</f>
        <v>1.7300813910720054</v>
      </c>
      <c r="K287" s="151">
        <f t="shared" si="250"/>
        <v>1.7300813910720054</v>
      </c>
      <c r="L287" s="151">
        <f t="shared" si="250"/>
        <v>1.692566879675353</v>
      </c>
      <c r="M287" s="151">
        <f t="shared" si="250"/>
        <v>1.692566879675353</v>
      </c>
      <c r="N287" s="151">
        <f t="shared" si="250"/>
        <v>1.3046707656588608</v>
      </c>
      <c r="O287" s="151">
        <f t="shared" si="250"/>
        <v>1.2306966831564834</v>
      </c>
      <c r="P287" s="151">
        <f t="shared" si="250"/>
        <v>1.1303302069025138</v>
      </c>
      <c r="Q287" s="151">
        <f t="shared" si="250"/>
        <v>1.2892178735875566</v>
      </c>
      <c r="R287" s="151">
        <f t="shared" si="250"/>
        <v>1.0410016593119056</v>
      </c>
      <c r="S287" s="151">
        <f t="shared" si="250"/>
        <v>1.0410016593119056</v>
      </c>
      <c r="T287" s="151">
        <f t="shared" si="250"/>
        <v>1.0410016593119056</v>
      </c>
      <c r="U287" s="151">
        <f t="shared" si="250"/>
        <v>1.0410016593119056</v>
      </c>
      <c r="V287" s="151">
        <f t="shared" si="250"/>
        <v>1.0410016593119056</v>
      </c>
      <c r="W287" s="151">
        <f t="shared" si="250"/>
        <v>1.0410016593119056</v>
      </c>
      <c r="X287" s="151">
        <f t="shared" si="250"/>
        <v>1.0410016593119056</v>
      </c>
      <c r="Y287" s="151">
        <f t="shared" si="250"/>
        <v>1.0410016593119056</v>
      </c>
    </row>
    <row r="288" spans="5:25" x14ac:dyDescent="0.25">
      <c r="F288" s="94" t="s">
        <v>197</v>
      </c>
      <c r="G288" s="94" t="s">
        <v>284</v>
      </c>
      <c r="J288" s="151">
        <f t="shared" ref="J288:Y288" si="251">J245 * J$93</f>
        <v>0.62724577919494018</v>
      </c>
      <c r="K288" s="151">
        <f t="shared" si="251"/>
        <v>0.62724577919494018</v>
      </c>
      <c r="L288" s="151">
        <f t="shared" si="251"/>
        <v>0.61364478963829849</v>
      </c>
      <c r="M288" s="151">
        <f t="shared" si="251"/>
        <v>0.61364478963829849</v>
      </c>
      <c r="N288" s="151">
        <f t="shared" si="251"/>
        <v>0.47301198384168502</v>
      </c>
      <c r="O288" s="151">
        <f t="shared" si="251"/>
        <v>0.44619247623997399</v>
      </c>
      <c r="P288" s="151">
        <f t="shared" si="251"/>
        <v>0.40980433350412077</v>
      </c>
      <c r="Q288" s="151">
        <f t="shared" si="251"/>
        <v>0.67375910700832731</v>
      </c>
      <c r="R288" s="151">
        <f t="shared" si="251"/>
        <v>0.37741802224329329</v>
      </c>
      <c r="S288" s="151">
        <f t="shared" si="251"/>
        <v>0.37741802224329329</v>
      </c>
      <c r="T288" s="151">
        <f t="shared" si="251"/>
        <v>0.37741802224329329</v>
      </c>
      <c r="U288" s="151">
        <f t="shared" si="251"/>
        <v>0.37741802224329329</v>
      </c>
      <c r="V288" s="151">
        <f t="shared" si="251"/>
        <v>0.37741802224329329</v>
      </c>
      <c r="W288" s="151">
        <f t="shared" si="251"/>
        <v>0.37741802224329329</v>
      </c>
      <c r="X288" s="151">
        <f t="shared" si="251"/>
        <v>0.37741802224329329</v>
      </c>
      <c r="Y288" s="151">
        <f t="shared" si="251"/>
        <v>0.37741802224329329</v>
      </c>
    </row>
    <row r="289" spans="2:27" x14ac:dyDescent="0.25">
      <c r="F289" s="94" t="s">
        <v>198</v>
      </c>
      <c r="G289" s="94" t="s">
        <v>284</v>
      </c>
      <c r="J289" s="151">
        <f t="shared" ref="J289:Y289" si="252">J246 * J$93</f>
        <v>1.7300813910720054</v>
      </c>
      <c r="K289" s="151">
        <f t="shared" si="252"/>
        <v>1.7300813910720054</v>
      </c>
      <c r="L289" s="151">
        <f t="shared" si="252"/>
        <v>1.692566879675353</v>
      </c>
      <c r="M289" s="151">
        <f t="shared" si="252"/>
        <v>1.692566879675353</v>
      </c>
      <c r="N289" s="151">
        <f t="shared" si="252"/>
        <v>1.3046707656588608</v>
      </c>
      <c r="O289" s="151">
        <f t="shared" si="252"/>
        <v>1.2306966831564834</v>
      </c>
      <c r="P289" s="151">
        <f t="shared" si="252"/>
        <v>1.1303302069025138</v>
      </c>
      <c r="Q289" s="151">
        <f t="shared" si="252"/>
        <v>1.2892178735875566</v>
      </c>
      <c r="R289" s="151">
        <f t="shared" si="252"/>
        <v>1.0410016593119056</v>
      </c>
      <c r="S289" s="151">
        <f t="shared" si="252"/>
        <v>1.0410016593119056</v>
      </c>
      <c r="T289" s="151">
        <f t="shared" si="252"/>
        <v>1.0410016593119056</v>
      </c>
      <c r="U289" s="151">
        <f t="shared" si="252"/>
        <v>1.0410016593119056</v>
      </c>
      <c r="V289" s="151">
        <f t="shared" si="252"/>
        <v>1.0410016593119056</v>
      </c>
      <c r="W289" s="151">
        <f t="shared" si="252"/>
        <v>1.0410016593119056</v>
      </c>
      <c r="X289" s="151">
        <f t="shared" si="252"/>
        <v>1.0410016593119056</v>
      </c>
      <c r="Y289" s="151">
        <f t="shared" si="252"/>
        <v>1.0410016593119056</v>
      </c>
    </row>
    <row r="290" spans="2:27" x14ac:dyDescent="0.25">
      <c r="F290" s="94" t="s">
        <v>199</v>
      </c>
      <c r="G290" s="94" t="s">
        <v>284</v>
      </c>
      <c r="J290" s="151">
        <f t="shared" ref="J290:Y290" si="253">J247 * J$93</f>
        <v>1.7300813910720054</v>
      </c>
      <c r="K290" s="151">
        <f t="shared" si="253"/>
        <v>1.7300813910720054</v>
      </c>
      <c r="L290" s="151">
        <f t="shared" si="253"/>
        <v>1.692566879675353</v>
      </c>
      <c r="M290" s="151">
        <f t="shared" si="253"/>
        <v>1.692566879675353</v>
      </c>
      <c r="N290" s="151">
        <f t="shared" si="253"/>
        <v>1.3046707656588608</v>
      </c>
      <c r="O290" s="151">
        <f t="shared" si="253"/>
        <v>1.2306966831564834</v>
      </c>
      <c r="P290" s="151">
        <f t="shared" si="253"/>
        <v>1.1303302069025138</v>
      </c>
      <c r="Q290" s="151">
        <f t="shared" si="253"/>
        <v>1.2892178735875566</v>
      </c>
      <c r="R290" s="151">
        <f t="shared" si="253"/>
        <v>1.0410016593119056</v>
      </c>
      <c r="S290" s="151">
        <f t="shared" si="253"/>
        <v>1.0410016593119056</v>
      </c>
      <c r="T290" s="151">
        <f t="shared" si="253"/>
        <v>1.0410016593119056</v>
      </c>
      <c r="U290" s="151">
        <f t="shared" si="253"/>
        <v>1.0410016593119056</v>
      </c>
      <c r="V290" s="151">
        <f t="shared" si="253"/>
        <v>1.0410016593119056</v>
      </c>
      <c r="W290" s="151">
        <f t="shared" si="253"/>
        <v>1.0410016593119056</v>
      </c>
      <c r="X290" s="151">
        <f t="shared" si="253"/>
        <v>1.0410016593119056</v>
      </c>
      <c r="Y290" s="151">
        <f t="shared" si="253"/>
        <v>1.0410016593119056</v>
      </c>
    </row>
    <row r="291" spans="2:27" x14ac:dyDescent="0.25">
      <c r="F291" s="101" t="s">
        <v>200</v>
      </c>
      <c r="G291" s="101" t="s">
        <v>284</v>
      </c>
      <c r="H291" s="96"/>
      <c r="I291" s="96"/>
      <c r="J291" s="150">
        <f t="shared" ref="J291:Y291" si="254">J248 * J$93</f>
        <v>1.7300813910720054</v>
      </c>
      <c r="K291" s="150">
        <f t="shared" si="254"/>
        <v>1.7300813910720054</v>
      </c>
      <c r="L291" s="150">
        <f t="shared" si="254"/>
        <v>1.692566879675353</v>
      </c>
      <c r="M291" s="150">
        <f t="shared" si="254"/>
        <v>1.692566879675353</v>
      </c>
      <c r="N291" s="150">
        <f t="shared" si="254"/>
        <v>1.3046707656588608</v>
      </c>
      <c r="O291" s="150">
        <f t="shared" si="254"/>
        <v>1.2306966831564834</v>
      </c>
      <c r="P291" s="150">
        <f t="shared" si="254"/>
        <v>1.1303302069025138</v>
      </c>
      <c r="Q291" s="150">
        <f t="shared" si="254"/>
        <v>1.2892178735875566</v>
      </c>
      <c r="R291" s="150">
        <f t="shared" si="254"/>
        <v>1.0410016593119056</v>
      </c>
      <c r="S291" s="150">
        <f t="shared" si="254"/>
        <v>1.0410016593119056</v>
      </c>
      <c r="T291" s="150">
        <f t="shared" si="254"/>
        <v>1.0410016593119056</v>
      </c>
      <c r="U291" s="150">
        <f t="shared" si="254"/>
        <v>1.0410016593119056</v>
      </c>
      <c r="V291" s="150">
        <f t="shared" si="254"/>
        <v>1.0410016593119056</v>
      </c>
      <c r="W291" s="150">
        <f t="shared" si="254"/>
        <v>1.0410016593119056</v>
      </c>
      <c r="X291" s="150">
        <f t="shared" si="254"/>
        <v>1.0410016593119056</v>
      </c>
      <c r="Y291" s="150">
        <f t="shared" si="254"/>
        <v>1.0410016593119056</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159</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192</v>
      </c>
      <c r="G294" s="98" t="s">
        <v>284</v>
      </c>
      <c r="H294" s="95"/>
      <c r="I294" s="95"/>
      <c r="J294" s="149">
        <f>J251 * J$93</f>
        <v>0</v>
      </c>
      <c r="K294" s="149">
        <f t="shared" ref="K294:Y294" si="255">K251 * K$93</f>
        <v>0</v>
      </c>
      <c r="L294" s="149">
        <f t="shared" si="255"/>
        <v>0</v>
      </c>
      <c r="M294" s="149">
        <f t="shared" si="255"/>
        <v>0</v>
      </c>
      <c r="N294" s="149">
        <f t="shared" si="255"/>
        <v>0</v>
      </c>
      <c r="O294" s="149">
        <f t="shared" si="255"/>
        <v>0</v>
      </c>
      <c r="P294" s="149">
        <f t="shared" si="255"/>
        <v>0</v>
      </c>
      <c r="Q294" s="149">
        <f t="shared" si="255"/>
        <v>0</v>
      </c>
      <c r="R294" s="149">
        <f t="shared" si="255"/>
        <v>0</v>
      </c>
      <c r="S294" s="149">
        <f t="shared" si="255"/>
        <v>0</v>
      </c>
      <c r="T294" s="149">
        <f t="shared" si="255"/>
        <v>0</v>
      </c>
      <c r="U294" s="149">
        <f t="shared" si="255"/>
        <v>0</v>
      </c>
      <c r="V294" s="149">
        <f t="shared" si="255"/>
        <v>0</v>
      </c>
      <c r="W294" s="149">
        <f t="shared" si="255"/>
        <v>0</v>
      </c>
      <c r="X294" s="149">
        <f t="shared" si="255"/>
        <v>0</v>
      </c>
      <c r="Y294" s="149">
        <f t="shared" si="255"/>
        <v>0</v>
      </c>
    </row>
    <row r="295" spans="2:27" x14ac:dyDescent="0.25">
      <c r="F295" s="94" t="s">
        <v>193</v>
      </c>
      <c r="G295" s="94" t="s">
        <v>284</v>
      </c>
      <c r="J295" s="151">
        <f t="shared" ref="J295:Y295" si="256">J252 * J$93</f>
        <v>8.9015287247378935E-2</v>
      </c>
      <c r="K295" s="151">
        <f t="shared" si="256"/>
        <v>8.9015287247378935E-2</v>
      </c>
      <c r="L295" s="151">
        <f t="shared" si="256"/>
        <v>8.708510926549283E-2</v>
      </c>
      <c r="M295" s="151">
        <f t="shared" si="256"/>
        <v>8.708510926549283E-2</v>
      </c>
      <c r="N295" s="151">
        <f t="shared" si="256"/>
        <v>6.7127271333992267E-2</v>
      </c>
      <c r="O295" s="151">
        <f t="shared" si="256"/>
        <v>6.3321193633375947E-2</v>
      </c>
      <c r="P295" s="151">
        <f t="shared" si="256"/>
        <v>5.8157187616168567E-2</v>
      </c>
      <c r="Q295" s="151">
        <f t="shared" si="256"/>
        <v>6.4449954388933417E-2</v>
      </c>
      <c r="R295" s="151">
        <f t="shared" si="256"/>
        <v>5.3561099614642747E-2</v>
      </c>
      <c r="S295" s="151">
        <f t="shared" si="256"/>
        <v>5.3561099614642747E-2</v>
      </c>
      <c r="T295" s="151">
        <f t="shared" si="256"/>
        <v>5.3561099614642747E-2</v>
      </c>
      <c r="U295" s="151">
        <f t="shared" si="256"/>
        <v>5.3561099614642747E-2</v>
      </c>
      <c r="V295" s="151">
        <f t="shared" si="256"/>
        <v>5.3561099614642747E-2</v>
      </c>
      <c r="W295" s="151">
        <f t="shared" si="256"/>
        <v>5.3561099614642747E-2</v>
      </c>
      <c r="X295" s="151">
        <f t="shared" si="256"/>
        <v>5.3561099614642747E-2</v>
      </c>
      <c r="Y295" s="151">
        <f t="shared" si="256"/>
        <v>5.3561099614642747E-2</v>
      </c>
    </row>
    <row r="296" spans="2:27" x14ac:dyDescent="0.25">
      <c r="F296" s="94" t="s">
        <v>194</v>
      </c>
      <c r="G296" s="94" t="s">
        <v>284</v>
      </c>
      <c r="J296" s="151">
        <f t="shared" ref="J296:Y296" si="257">J253 * J$93</f>
        <v>8.9015287247378935E-2</v>
      </c>
      <c r="K296" s="151">
        <f t="shared" si="257"/>
        <v>8.9015287247378935E-2</v>
      </c>
      <c r="L296" s="151">
        <f t="shared" si="257"/>
        <v>8.708510926549283E-2</v>
      </c>
      <c r="M296" s="151">
        <f t="shared" si="257"/>
        <v>8.708510926549283E-2</v>
      </c>
      <c r="N296" s="151">
        <f t="shared" si="257"/>
        <v>6.7127271333992267E-2</v>
      </c>
      <c r="O296" s="151">
        <f t="shared" si="257"/>
        <v>6.3321193633375947E-2</v>
      </c>
      <c r="P296" s="151">
        <f t="shared" si="257"/>
        <v>5.8157187616168567E-2</v>
      </c>
      <c r="Q296" s="151">
        <f t="shared" si="257"/>
        <v>6.4449954388933417E-2</v>
      </c>
      <c r="R296" s="151">
        <f t="shared" si="257"/>
        <v>5.3561099614642747E-2</v>
      </c>
      <c r="S296" s="151">
        <f t="shared" si="257"/>
        <v>5.3561099614642747E-2</v>
      </c>
      <c r="T296" s="151">
        <f t="shared" si="257"/>
        <v>5.3561099614642747E-2</v>
      </c>
      <c r="U296" s="151">
        <f t="shared" si="257"/>
        <v>5.3561099614642747E-2</v>
      </c>
      <c r="V296" s="151">
        <f t="shared" si="257"/>
        <v>5.3561099614642747E-2</v>
      </c>
      <c r="W296" s="151">
        <f t="shared" si="257"/>
        <v>5.3561099614642747E-2</v>
      </c>
      <c r="X296" s="151">
        <f t="shared" si="257"/>
        <v>5.3561099614642747E-2</v>
      </c>
      <c r="Y296" s="151">
        <f t="shared" si="257"/>
        <v>5.3561099614642747E-2</v>
      </c>
    </row>
    <row r="297" spans="2:27" x14ac:dyDescent="0.25">
      <c r="F297" s="94" t="s">
        <v>195</v>
      </c>
      <c r="G297" s="94" t="s">
        <v>284</v>
      </c>
      <c r="J297" s="151">
        <f t="shared" ref="J297:Y297" si="258">J254 * J$93</f>
        <v>0.16270603672730427</v>
      </c>
      <c r="K297" s="151">
        <f t="shared" si="258"/>
        <v>0.16270603672730427</v>
      </c>
      <c r="L297" s="151">
        <f t="shared" si="258"/>
        <v>0.15917797296070399</v>
      </c>
      <c r="M297" s="151">
        <f t="shared" si="258"/>
        <v>0.15917797296070399</v>
      </c>
      <c r="N297" s="151">
        <f t="shared" si="258"/>
        <v>0.12269816357182924</v>
      </c>
      <c r="O297" s="151">
        <f t="shared" si="258"/>
        <v>0.11574124822286834</v>
      </c>
      <c r="P297" s="151">
        <f t="shared" si="258"/>
        <v>0.10630225208324173</v>
      </c>
      <c r="Q297" s="151">
        <f t="shared" si="258"/>
        <v>0.11780444651868109</v>
      </c>
      <c r="R297" s="151">
        <f t="shared" si="258"/>
        <v>9.7901321340862962E-2</v>
      </c>
      <c r="S297" s="151">
        <f t="shared" si="258"/>
        <v>9.7901321340862962E-2</v>
      </c>
      <c r="T297" s="151">
        <f t="shared" si="258"/>
        <v>9.7901321340862962E-2</v>
      </c>
      <c r="U297" s="151">
        <f t="shared" si="258"/>
        <v>9.7901321340862962E-2</v>
      </c>
      <c r="V297" s="151">
        <f t="shared" si="258"/>
        <v>9.7901321340862962E-2</v>
      </c>
      <c r="W297" s="151">
        <f t="shared" si="258"/>
        <v>9.7901321340862962E-2</v>
      </c>
      <c r="X297" s="151">
        <f t="shared" si="258"/>
        <v>9.7901321340862962E-2</v>
      </c>
      <c r="Y297" s="151">
        <f t="shared" si="258"/>
        <v>9.7901321340862962E-2</v>
      </c>
    </row>
    <row r="298" spans="2:27" x14ac:dyDescent="0.25">
      <c r="F298" s="94" t="s">
        <v>196</v>
      </c>
      <c r="G298" s="94" t="s">
        <v>284</v>
      </c>
      <c r="J298" s="151">
        <f t="shared" ref="J298:Y298" si="259">J255 * J$93</f>
        <v>0.16270603672730427</v>
      </c>
      <c r="K298" s="151">
        <f t="shared" si="259"/>
        <v>0.16270603672730427</v>
      </c>
      <c r="L298" s="151">
        <f t="shared" si="259"/>
        <v>0.15917797296070399</v>
      </c>
      <c r="M298" s="151">
        <f t="shared" si="259"/>
        <v>0.15917797296070399</v>
      </c>
      <c r="N298" s="151">
        <f t="shared" si="259"/>
        <v>0.12269816357182924</v>
      </c>
      <c r="O298" s="151">
        <f t="shared" si="259"/>
        <v>0.11574124822286834</v>
      </c>
      <c r="P298" s="151">
        <f t="shared" si="259"/>
        <v>0.10630225208324173</v>
      </c>
      <c r="Q298" s="151">
        <f t="shared" si="259"/>
        <v>0.11780444651868109</v>
      </c>
      <c r="R298" s="151">
        <f t="shared" si="259"/>
        <v>9.7901321340862962E-2</v>
      </c>
      <c r="S298" s="151">
        <f t="shared" si="259"/>
        <v>9.7901321340862962E-2</v>
      </c>
      <c r="T298" s="151">
        <f t="shared" si="259"/>
        <v>9.7901321340862962E-2</v>
      </c>
      <c r="U298" s="151">
        <f t="shared" si="259"/>
        <v>9.7901321340862962E-2</v>
      </c>
      <c r="V298" s="151">
        <f t="shared" si="259"/>
        <v>9.7901321340862962E-2</v>
      </c>
      <c r="W298" s="151">
        <f t="shared" si="259"/>
        <v>9.7901321340862962E-2</v>
      </c>
      <c r="X298" s="151">
        <f t="shared" si="259"/>
        <v>9.7901321340862962E-2</v>
      </c>
      <c r="Y298" s="151">
        <f t="shared" si="259"/>
        <v>9.7901321340862962E-2</v>
      </c>
    </row>
    <row r="299" spans="2:27" x14ac:dyDescent="0.25">
      <c r="F299" s="94" t="s">
        <v>197</v>
      </c>
      <c r="G299" s="94" t="s">
        <v>284</v>
      </c>
      <c r="J299" s="151">
        <f t="shared" ref="J299:Y299" si="260">J256 * J$93</f>
        <v>8.9015287247378935E-2</v>
      </c>
      <c r="K299" s="151">
        <f t="shared" si="260"/>
        <v>8.9015287247378935E-2</v>
      </c>
      <c r="L299" s="151">
        <f t="shared" si="260"/>
        <v>8.708510926549283E-2</v>
      </c>
      <c r="M299" s="151">
        <f t="shared" si="260"/>
        <v>8.708510926549283E-2</v>
      </c>
      <c r="N299" s="151">
        <f t="shared" si="260"/>
        <v>6.7127271333992267E-2</v>
      </c>
      <c r="O299" s="151">
        <f t="shared" si="260"/>
        <v>6.3321193633375947E-2</v>
      </c>
      <c r="P299" s="151">
        <f t="shared" si="260"/>
        <v>5.8157187616168567E-2</v>
      </c>
      <c r="Q299" s="151">
        <f t="shared" si="260"/>
        <v>6.4449954388933417E-2</v>
      </c>
      <c r="R299" s="151">
        <f t="shared" si="260"/>
        <v>5.3561099614642747E-2</v>
      </c>
      <c r="S299" s="151">
        <f t="shared" si="260"/>
        <v>5.3561099614642747E-2</v>
      </c>
      <c r="T299" s="151">
        <f t="shared" si="260"/>
        <v>5.3561099614642747E-2</v>
      </c>
      <c r="U299" s="151">
        <f t="shared" si="260"/>
        <v>5.3561099614642747E-2</v>
      </c>
      <c r="V299" s="151">
        <f t="shared" si="260"/>
        <v>5.3561099614642747E-2</v>
      </c>
      <c r="W299" s="151">
        <f t="shared" si="260"/>
        <v>5.3561099614642747E-2</v>
      </c>
      <c r="X299" s="151">
        <f t="shared" si="260"/>
        <v>5.3561099614642747E-2</v>
      </c>
      <c r="Y299" s="151">
        <f t="shared" si="260"/>
        <v>5.3561099614642747E-2</v>
      </c>
    </row>
    <row r="300" spans="2:27" x14ac:dyDescent="0.25">
      <c r="F300" s="94" t="s">
        <v>198</v>
      </c>
      <c r="G300" s="94" t="s">
        <v>284</v>
      </c>
      <c r="J300" s="151">
        <f t="shared" ref="J300:Y300" si="261">J257 * J$93</f>
        <v>0.16270603672730427</v>
      </c>
      <c r="K300" s="151">
        <f t="shared" si="261"/>
        <v>0.16270603672730427</v>
      </c>
      <c r="L300" s="151">
        <f t="shared" si="261"/>
        <v>0.15917797296070399</v>
      </c>
      <c r="M300" s="151">
        <f t="shared" si="261"/>
        <v>0.15917797296070399</v>
      </c>
      <c r="N300" s="151">
        <f t="shared" si="261"/>
        <v>0.12269816357182924</v>
      </c>
      <c r="O300" s="151">
        <f t="shared" si="261"/>
        <v>0.11574124822286834</v>
      </c>
      <c r="P300" s="151">
        <f t="shared" si="261"/>
        <v>0.10630225208324173</v>
      </c>
      <c r="Q300" s="151">
        <f t="shared" si="261"/>
        <v>0.11780444651868109</v>
      </c>
      <c r="R300" s="151">
        <f t="shared" si="261"/>
        <v>9.7901321340862962E-2</v>
      </c>
      <c r="S300" s="151">
        <f t="shared" si="261"/>
        <v>9.7901321340862962E-2</v>
      </c>
      <c r="T300" s="151">
        <f t="shared" si="261"/>
        <v>9.7901321340862962E-2</v>
      </c>
      <c r="U300" s="151">
        <f t="shared" si="261"/>
        <v>9.7901321340862962E-2</v>
      </c>
      <c r="V300" s="151">
        <f t="shared" si="261"/>
        <v>9.7901321340862962E-2</v>
      </c>
      <c r="W300" s="151">
        <f t="shared" si="261"/>
        <v>9.7901321340862962E-2</v>
      </c>
      <c r="X300" s="151">
        <f t="shared" si="261"/>
        <v>9.7901321340862962E-2</v>
      </c>
      <c r="Y300" s="151">
        <f t="shared" si="261"/>
        <v>9.7901321340862962E-2</v>
      </c>
    </row>
    <row r="301" spans="2:27" x14ac:dyDescent="0.25">
      <c r="F301" s="94" t="s">
        <v>199</v>
      </c>
      <c r="G301" s="94" t="s">
        <v>284</v>
      </c>
      <c r="J301" s="151">
        <f t="shared" ref="J301:Y301" si="262">J258 * J$93</f>
        <v>0.16270603672730427</v>
      </c>
      <c r="K301" s="151">
        <f t="shared" si="262"/>
        <v>0.16270603672730427</v>
      </c>
      <c r="L301" s="151">
        <f t="shared" si="262"/>
        <v>0.15917797296070399</v>
      </c>
      <c r="M301" s="151">
        <f t="shared" si="262"/>
        <v>0.15917797296070399</v>
      </c>
      <c r="N301" s="151">
        <f t="shared" si="262"/>
        <v>0.12269816357182924</v>
      </c>
      <c r="O301" s="151">
        <f t="shared" si="262"/>
        <v>0.11574124822286834</v>
      </c>
      <c r="P301" s="151">
        <f t="shared" si="262"/>
        <v>0.10630225208324173</v>
      </c>
      <c r="Q301" s="151">
        <f t="shared" si="262"/>
        <v>0.11780444651868109</v>
      </c>
      <c r="R301" s="151">
        <f t="shared" si="262"/>
        <v>9.7901321340862962E-2</v>
      </c>
      <c r="S301" s="151">
        <f t="shared" si="262"/>
        <v>9.7901321340862962E-2</v>
      </c>
      <c r="T301" s="151">
        <f t="shared" si="262"/>
        <v>9.7901321340862962E-2</v>
      </c>
      <c r="U301" s="151">
        <f t="shared" si="262"/>
        <v>9.7901321340862962E-2</v>
      </c>
      <c r="V301" s="151">
        <f t="shared" si="262"/>
        <v>9.7901321340862962E-2</v>
      </c>
      <c r="W301" s="151">
        <f t="shared" si="262"/>
        <v>9.7901321340862962E-2</v>
      </c>
      <c r="X301" s="151">
        <f t="shared" si="262"/>
        <v>9.7901321340862962E-2</v>
      </c>
      <c r="Y301" s="151">
        <f t="shared" si="262"/>
        <v>9.7901321340862962E-2</v>
      </c>
    </row>
    <row r="302" spans="2:27" x14ac:dyDescent="0.25">
      <c r="F302" s="101" t="s">
        <v>200</v>
      </c>
      <c r="G302" s="101" t="s">
        <v>284</v>
      </c>
      <c r="H302" s="96"/>
      <c r="I302" s="96"/>
      <c r="J302" s="150">
        <f t="shared" ref="J302:Y302" si="263">J259 * J$93</f>
        <v>0.16270603672730427</v>
      </c>
      <c r="K302" s="150">
        <f t="shared" si="263"/>
        <v>0.16270603672730427</v>
      </c>
      <c r="L302" s="150">
        <f t="shared" si="263"/>
        <v>0.15917797296070399</v>
      </c>
      <c r="M302" s="150">
        <f t="shared" si="263"/>
        <v>0.15917797296070399</v>
      </c>
      <c r="N302" s="150">
        <f t="shared" si="263"/>
        <v>0.12269816357182924</v>
      </c>
      <c r="O302" s="150">
        <f t="shared" si="263"/>
        <v>0.11574124822286834</v>
      </c>
      <c r="P302" s="150">
        <f t="shared" si="263"/>
        <v>0.10630225208324173</v>
      </c>
      <c r="Q302" s="150">
        <f t="shared" si="263"/>
        <v>0.11780444651868109</v>
      </c>
      <c r="R302" s="150">
        <f t="shared" si="263"/>
        <v>9.7901321340862962E-2</v>
      </c>
      <c r="S302" s="150">
        <f t="shared" si="263"/>
        <v>9.7901321340862962E-2</v>
      </c>
      <c r="T302" s="150">
        <f t="shared" si="263"/>
        <v>9.7901321340862962E-2</v>
      </c>
      <c r="U302" s="150">
        <f t="shared" si="263"/>
        <v>9.7901321340862962E-2</v>
      </c>
      <c r="V302" s="150">
        <f t="shared" si="263"/>
        <v>9.7901321340862962E-2</v>
      </c>
      <c r="W302" s="150">
        <f t="shared" si="263"/>
        <v>9.7901321340862962E-2</v>
      </c>
      <c r="X302" s="150">
        <f t="shared" si="263"/>
        <v>9.7901321340862962E-2</v>
      </c>
      <c r="Y302" s="150">
        <f t="shared" si="263"/>
        <v>9.7901321340862962E-2</v>
      </c>
    </row>
    <row r="304" spans="2:27" x14ac:dyDescent="0.25">
      <c r="B304" s="85" t="s">
        <v>232</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233</v>
      </c>
      <c r="G306" s="6" t="s">
        <v>57</v>
      </c>
      <c r="H306" s="113">
        <f t="array" ref="H306">SUM(IF(ISERROR(H20:Y302), 1))</f>
        <v>0</v>
      </c>
    </row>
    <row r="308" spans="2:27" x14ac:dyDescent="0.25">
      <c r="B308" s="85" t="s">
        <v>108</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448</v>
      </c>
      <c r="D9" s="86"/>
    </row>
    <row r="10" spans="1:43" x14ac:dyDescent="0.25">
      <c r="C10" s="86" t="s">
        <v>449</v>
      </c>
      <c r="D10" s="86"/>
    </row>
    <row r="11" spans="1:43" x14ac:dyDescent="0.25">
      <c r="C11" s="86" t="s">
        <v>450</v>
      </c>
      <c r="D11" s="86"/>
    </row>
    <row r="12" spans="1:43" x14ac:dyDescent="0.25">
      <c r="C12" s="86"/>
      <c r="D12" s="86" t="s">
        <v>451</v>
      </c>
    </row>
    <row r="13" spans="1:43" x14ac:dyDescent="0.25">
      <c r="C13" s="86"/>
      <c r="D13" s="86" t="s">
        <v>452</v>
      </c>
    </row>
    <row r="14" spans="1:43" x14ac:dyDescent="0.25">
      <c r="C14" s="86"/>
      <c r="D14" s="86" t="s">
        <v>453</v>
      </c>
    </row>
    <row r="16" spans="1:43" x14ac:dyDescent="0.25">
      <c r="B16" s="85" t="s">
        <v>454</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control'!$H$42:$H$65,MATCH($A$1,'Version control'!$F$42:$F$65,0),1)&amp;"-A: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455</v>
      </c>
      <c r="AQ20" s="3"/>
    </row>
    <row r="21" spans="3:43" x14ac:dyDescent="0.25">
      <c r="C21" s="75"/>
      <c r="AQ21" s="3"/>
    </row>
    <row r="22" spans="3:43" x14ac:dyDescent="0.25">
      <c r="E22" s="75" t="s">
        <v>337</v>
      </c>
      <c r="H22" s="62"/>
      <c r="J22" s="97"/>
      <c r="L22" s="97"/>
      <c r="AQ22" s="3"/>
    </row>
    <row r="23" spans="3:43" x14ac:dyDescent="0.25">
      <c r="E23" s="75"/>
      <c r="F23" s="95" t="s">
        <v>192</v>
      </c>
      <c r="G23" s="95" t="s">
        <v>168</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193</v>
      </c>
      <c r="G24" t="s">
        <v>168</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194</v>
      </c>
      <c r="G25" t="s">
        <v>168</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195</v>
      </c>
      <c r="G26" t="s">
        <v>168</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196</v>
      </c>
      <c r="G27" t="s">
        <v>168</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197</v>
      </c>
      <c r="G28" t="s">
        <v>168</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198</v>
      </c>
      <c r="G29" t="s">
        <v>168</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199</v>
      </c>
      <c r="G30" t="s">
        <v>168</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200</v>
      </c>
      <c r="G31" s="96" t="s">
        <v>168</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456</v>
      </c>
      <c r="I33" t="s">
        <v>155</v>
      </c>
      <c r="J33" s="97"/>
      <c r="K33" s="97"/>
      <c r="L33" s="97"/>
      <c r="M33" s="97"/>
      <c r="N33" s="97"/>
      <c r="O33" s="97"/>
      <c r="P33" s="97"/>
      <c r="Q33" s="97"/>
      <c r="R33" s="97"/>
      <c r="S33" s="97"/>
      <c r="T33" s="97"/>
      <c r="U33" s="97"/>
      <c r="V33" s="97"/>
      <c r="W33" s="97"/>
      <c r="X33" s="97"/>
      <c r="Y33" s="97"/>
      <c r="AA33" t="s">
        <v>457</v>
      </c>
      <c r="AQ33" s="3"/>
    </row>
    <row r="34" spans="5:43" x14ac:dyDescent="0.25">
      <c r="E34" s="75"/>
      <c r="F34" s="95" t="s">
        <v>192</v>
      </c>
      <c r="G34" s="95" t="s">
        <v>284</v>
      </c>
      <c r="H34" s="223"/>
      <c r="I34" s="223"/>
      <c r="J34" s="171">
        <f t="array" ref="J34:Y42">TRANSPOSE('Load &amp; loss characteristics'!K145:S160)</f>
        <v>1.0620000000000001</v>
      </c>
      <c r="K34" s="171">
        <v>1.0620000000000001</v>
      </c>
      <c r="L34" s="171">
        <v>1.0620000000000001</v>
      </c>
      <c r="M34" s="171">
        <v>1.0620000000000001</v>
      </c>
      <c r="N34" s="171">
        <v>1.0620000000000001</v>
      </c>
      <c r="O34" s="171">
        <v>1.048</v>
      </c>
      <c r="P34" s="171">
        <v>1.034</v>
      </c>
      <c r="Q34" s="171">
        <v>1.0620000000000001</v>
      </c>
      <c r="R34" s="171">
        <v>-1.0620000000000001</v>
      </c>
      <c r="S34" s="171">
        <v>-1.048</v>
      </c>
      <c r="T34" s="171">
        <v>-1.0620000000000001</v>
      </c>
      <c r="U34" s="171">
        <v>-1.0620000000000001</v>
      </c>
      <c r="V34" s="171">
        <v>-1.048</v>
      </c>
      <c r="W34" s="171">
        <v>-1.048</v>
      </c>
      <c r="X34" s="171">
        <v>-1.034</v>
      </c>
      <c r="Y34" s="171">
        <v>-1.034</v>
      </c>
      <c r="AQ34" s="3"/>
    </row>
    <row r="35" spans="5:43" x14ac:dyDescent="0.25">
      <c r="E35" s="75"/>
      <c r="F35" t="s">
        <v>193</v>
      </c>
      <c r="G35" t="s">
        <v>284</v>
      </c>
      <c r="H35" s="106"/>
      <c r="I35" s="106"/>
      <c r="J35" s="167">
        <v>1.0620000000000001</v>
      </c>
      <c r="K35" s="167">
        <v>1.0620000000000001</v>
      </c>
      <c r="L35" s="167">
        <v>1.0620000000000001</v>
      </c>
      <c r="M35" s="167">
        <v>1.0620000000000001</v>
      </c>
      <c r="N35" s="167">
        <v>1.0620000000000001</v>
      </c>
      <c r="O35" s="167">
        <v>1.048</v>
      </c>
      <c r="P35" s="167">
        <v>1.034</v>
      </c>
      <c r="Q35" s="167">
        <v>1.0620000000000001</v>
      </c>
      <c r="R35" s="167">
        <v>-1.0620000000000001</v>
      </c>
      <c r="S35" s="167">
        <v>-1.048</v>
      </c>
      <c r="T35" s="167">
        <v>-1.0620000000000001</v>
      </c>
      <c r="U35" s="167">
        <v>-1.0620000000000001</v>
      </c>
      <c r="V35" s="167">
        <v>-1.048</v>
      </c>
      <c r="W35" s="167">
        <v>-1.048</v>
      </c>
      <c r="X35" s="167">
        <v>-1.034</v>
      </c>
      <c r="Y35" s="167">
        <v>-1.034</v>
      </c>
      <c r="AQ35" s="3"/>
    </row>
    <row r="36" spans="5:43" x14ac:dyDescent="0.25">
      <c r="E36" s="75"/>
      <c r="F36" t="s">
        <v>194</v>
      </c>
      <c r="G36" t="s">
        <v>284</v>
      </c>
      <c r="H36" s="106"/>
      <c r="I36" s="106"/>
      <c r="J36" s="167">
        <v>1.0620000000000001</v>
      </c>
      <c r="K36" s="167">
        <v>1.0620000000000001</v>
      </c>
      <c r="L36" s="167">
        <v>1.0620000000000001</v>
      </c>
      <c r="M36" s="167">
        <v>1.0620000000000001</v>
      </c>
      <c r="N36" s="167">
        <v>1.0620000000000001</v>
      </c>
      <c r="O36" s="167">
        <v>1.048</v>
      </c>
      <c r="P36" s="167">
        <v>1.034</v>
      </c>
      <c r="Q36" s="167">
        <v>1.0620000000000001</v>
      </c>
      <c r="R36" s="167">
        <v>-1.0620000000000001</v>
      </c>
      <c r="S36" s="167">
        <v>-1.048</v>
      </c>
      <c r="T36" s="167">
        <v>-1.0620000000000001</v>
      </c>
      <c r="U36" s="167">
        <v>-1.0620000000000001</v>
      </c>
      <c r="V36" s="167">
        <v>-1.048</v>
      </c>
      <c r="W36" s="167">
        <v>-1.048</v>
      </c>
      <c r="X36" s="167">
        <v>-1.034</v>
      </c>
      <c r="Y36" s="167">
        <v>-1.034</v>
      </c>
      <c r="AQ36" s="3"/>
    </row>
    <row r="37" spans="5:43" x14ac:dyDescent="0.25">
      <c r="E37" s="75"/>
      <c r="F37" t="s">
        <v>195</v>
      </c>
      <c r="G37" t="s">
        <v>284</v>
      </c>
      <c r="H37" s="106"/>
      <c r="I37" s="106"/>
      <c r="J37" s="167">
        <v>1.0620000000000001</v>
      </c>
      <c r="K37" s="167">
        <v>1.0620000000000001</v>
      </c>
      <c r="L37" s="167">
        <v>1.0620000000000001</v>
      </c>
      <c r="M37" s="167">
        <v>1.0620000000000001</v>
      </c>
      <c r="N37" s="167">
        <v>1.0620000000000001</v>
      </c>
      <c r="O37" s="167">
        <v>1.048</v>
      </c>
      <c r="P37" s="167">
        <v>1.034</v>
      </c>
      <c r="Q37" s="167">
        <v>1.0620000000000001</v>
      </c>
      <c r="R37" s="167">
        <v>-1.0620000000000001</v>
      </c>
      <c r="S37" s="167">
        <v>-1.048</v>
      </c>
      <c r="T37" s="167">
        <v>-1.0620000000000001</v>
      </c>
      <c r="U37" s="167">
        <v>-1.0620000000000001</v>
      </c>
      <c r="V37" s="167">
        <v>-1.048</v>
      </c>
      <c r="W37" s="167">
        <v>-1.048</v>
      </c>
      <c r="X37" s="167">
        <v>-1.034</v>
      </c>
      <c r="Y37" s="167">
        <v>-1.034</v>
      </c>
      <c r="AQ37" s="3"/>
    </row>
    <row r="38" spans="5:43" x14ac:dyDescent="0.25">
      <c r="E38" s="75"/>
      <c r="F38" t="s">
        <v>196</v>
      </c>
      <c r="G38" t="s">
        <v>284</v>
      </c>
      <c r="H38" s="106"/>
      <c r="I38" s="106"/>
      <c r="J38" s="167">
        <v>1.0620000000000001</v>
      </c>
      <c r="K38" s="167">
        <v>1.0620000000000001</v>
      </c>
      <c r="L38" s="167">
        <v>1.0620000000000001</v>
      </c>
      <c r="M38" s="167">
        <v>1.0620000000000001</v>
      </c>
      <c r="N38" s="167">
        <v>1.0620000000000001</v>
      </c>
      <c r="O38" s="167">
        <v>1.048</v>
      </c>
      <c r="P38" s="167">
        <v>1.034</v>
      </c>
      <c r="Q38" s="167">
        <v>1.0620000000000001</v>
      </c>
      <c r="R38" s="167">
        <v>-1.0620000000000001</v>
      </c>
      <c r="S38" s="167">
        <v>-1.048</v>
      </c>
      <c r="T38" s="167">
        <v>-1.0620000000000001</v>
      </c>
      <c r="U38" s="167">
        <v>-1.0620000000000001</v>
      </c>
      <c r="V38" s="167">
        <v>-1.048</v>
      </c>
      <c r="W38" s="167">
        <v>-1.048</v>
      </c>
      <c r="X38" s="167">
        <v>-1.034</v>
      </c>
      <c r="Y38" s="167">
        <v>-1.034</v>
      </c>
      <c r="AQ38" s="3"/>
    </row>
    <row r="39" spans="5:43" x14ac:dyDescent="0.25">
      <c r="E39" s="75"/>
      <c r="F39" t="s">
        <v>197</v>
      </c>
      <c r="G39" t="s">
        <v>284</v>
      </c>
      <c r="H39" s="106"/>
      <c r="I39" s="106"/>
      <c r="J39" s="167">
        <v>0</v>
      </c>
      <c r="K39" s="167">
        <v>0</v>
      </c>
      <c r="L39" s="167">
        <v>0</v>
      </c>
      <c r="M39" s="167">
        <v>0</v>
      </c>
      <c r="N39" s="167">
        <v>0</v>
      </c>
      <c r="O39" s="167">
        <v>0</v>
      </c>
      <c r="P39" s="167">
        <v>0</v>
      </c>
      <c r="Q39" s="167">
        <v>0</v>
      </c>
      <c r="R39" s="167">
        <v>0</v>
      </c>
      <c r="S39" s="167">
        <v>0</v>
      </c>
      <c r="T39" s="167">
        <v>0</v>
      </c>
      <c r="U39" s="167">
        <v>0</v>
      </c>
      <c r="V39" s="167">
        <v>0</v>
      </c>
      <c r="W39" s="167">
        <v>0</v>
      </c>
      <c r="X39" s="167">
        <v>0</v>
      </c>
      <c r="Y39" s="167">
        <v>0</v>
      </c>
      <c r="AQ39" s="3"/>
    </row>
    <row r="40" spans="5:43" x14ac:dyDescent="0.25">
      <c r="E40" s="75"/>
      <c r="F40" t="s">
        <v>198</v>
      </c>
      <c r="G40" t="s">
        <v>284</v>
      </c>
      <c r="H40" s="106"/>
      <c r="I40" s="106"/>
      <c r="J40" s="167">
        <v>1.0620000000000001</v>
      </c>
      <c r="K40" s="167">
        <v>1.0620000000000001</v>
      </c>
      <c r="L40" s="167">
        <v>1.0620000000000001</v>
      </c>
      <c r="M40" s="167">
        <v>1.0620000000000001</v>
      </c>
      <c r="N40" s="167">
        <v>1.0620000000000001</v>
      </c>
      <c r="O40" s="167">
        <v>1.048</v>
      </c>
      <c r="P40" s="167">
        <v>1.034</v>
      </c>
      <c r="Q40" s="167">
        <v>1.0620000000000001</v>
      </c>
      <c r="R40" s="167">
        <v>-1.0620000000000001</v>
      </c>
      <c r="S40" s="167">
        <v>-1.048</v>
      </c>
      <c r="T40" s="167">
        <v>-1.0620000000000001</v>
      </c>
      <c r="U40" s="167">
        <v>-1.0620000000000001</v>
      </c>
      <c r="V40" s="167">
        <v>-1.048</v>
      </c>
      <c r="W40" s="167">
        <v>-1.048</v>
      </c>
      <c r="X40" s="167">
        <v>0</v>
      </c>
      <c r="Y40" s="167">
        <v>0</v>
      </c>
      <c r="AQ40" s="3"/>
    </row>
    <row r="41" spans="5:43" x14ac:dyDescent="0.25">
      <c r="E41" s="75"/>
      <c r="F41" t="s">
        <v>199</v>
      </c>
      <c r="G41" t="s">
        <v>284</v>
      </c>
      <c r="H41" s="106"/>
      <c r="I41" s="106"/>
      <c r="J41" s="167">
        <v>1.0620000000000001</v>
      </c>
      <c r="K41" s="167">
        <v>1.0620000000000001</v>
      </c>
      <c r="L41" s="167">
        <v>1.0620000000000001</v>
      </c>
      <c r="M41" s="167">
        <v>1.0620000000000001</v>
      </c>
      <c r="N41" s="167">
        <v>1.0620000000000001</v>
      </c>
      <c r="O41" s="167">
        <v>1.048</v>
      </c>
      <c r="P41" s="167">
        <v>0</v>
      </c>
      <c r="Q41" s="167">
        <v>1.0620000000000001</v>
      </c>
      <c r="R41" s="167">
        <v>-1.0620000000000001</v>
      </c>
      <c r="S41" s="167">
        <v>0</v>
      </c>
      <c r="T41" s="167">
        <v>-1.0620000000000001</v>
      </c>
      <c r="U41" s="167">
        <v>-1.0620000000000001</v>
      </c>
      <c r="V41" s="167">
        <v>0</v>
      </c>
      <c r="W41" s="167">
        <v>0</v>
      </c>
      <c r="X41" s="167">
        <v>0</v>
      </c>
      <c r="Y41" s="167">
        <v>0</v>
      </c>
      <c r="AQ41" s="3"/>
    </row>
    <row r="42" spans="5:43" x14ac:dyDescent="0.25">
      <c r="E42" s="75"/>
      <c r="F42" s="96" t="s">
        <v>200</v>
      </c>
      <c r="G42" s="96" t="s">
        <v>284</v>
      </c>
      <c r="H42" s="196"/>
      <c r="I42" s="196"/>
      <c r="J42" s="172">
        <v>1.0620000000000001</v>
      </c>
      <c r="K42" s="172">
        <v>1.0620000000000001</v>
      </c>
      <c r="L42" s="172">
        <v>1.0620000000000001</v>
      </c>
      <c r="M42" s="172">
        <v>1.0620000000000001</v>
      </c>
      <c r="N42" s="172">
        <v>1.0620000000000001</v>
      </c>
      <c r="O42" s="172">
        <v>0</v>
      </c>
      <c r="P42" s="172">
        <v>0</v>
      </c>
      <c r="Q42" s="172">
        <v>1.0620000000000001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458</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192</v>
      </c>
      <c r="G45" s="95" t="s">
        <v>284</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193</v>
      </c>
      <c r="G46" t="s">
        <v>284</v>
      </c>
      <c r="H46" s="167">
        <f>'Load &amp; loss characteristics'!L29</f>
        <v>1.0009999999999999</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194</v>
      </c>
      <c r="G47" t="s">
        <v>284</v>
      </c>
      <c r="H47" s="167">
        <f>'Load &amp; loss characteristics'!M29</f>
        <v>1.0049999999999999</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195</v>
      </c>
      <c r="G48" t="s">
        <v>284</v>
      </c>
      <c r="H48" s="167">
        <f>'Load &amp; loss characteristics'!N29</f>
        <v>1.012</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196</v>
      </c>
      <c r="G49" t="s">
        <v>284</v>
      </c>
      <c r="H49" s="167">
        <f>'Load &amp; loss characteristics'!O29</f>
        <v>1.018</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197</v>
      </c>
      <c r="G50" t="s">
        <v>284</v>
      </c>
      <c r="H50" s="167">
        <f>'Load &amp; loss characteristics'!P29</f>
        <v>1.018</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198</v>
      </c>
      <c r="G51" t="s">
        <v>284</v>
      </c>
      <c r="H51" s="167">
        <f>'Load &amp; loss characteristics'!Q29</f>
        <v>1.034</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199</v>
      </c>
      <c r="G52" t="s">
        <v>284</v>
      </c>
      <c r="H52" s="167">
        <f>'Load &amp; loss characteristics'!R29</f>
        <v>1.048</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200</v>
      </c>
      <c r="G53" s="96" t="s">
        <v>284</v>
      </c>
      <c r="H53" s="172">
        <f>'Load &amp; loss characteristics'!S29</f>
        <v>1.0620000000000001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459</v>
      </c>
      <c r="H55" s="106"/>
      <c r="I55" s="106" t="s">
        <v>155</v>
      </c>
      <c r="J55" s="106"/>
      <c r="K55" s="106"/>
      <c r="L55" s="106"/>
      <c r="M55" s="106"/>
      <c r="N55" s="106"/>
      <c r="O55" s="106"/>
      <c r="P55" s="106"/>
      <c r="Q55" s="106"/>
      <c r="R55" s="106"/>
      <c r="S55" s="106"/>
      <c r="T55" s="106"/>
      <c r="U55" s="106"/>
      <c r="V55" s="106"/>
      <c r="W55" s="106"/>
      <c r="X55" s="106"/>
      <c r="Y55" s="106"/>
      <c r="AA55" t="s">
        <v>460</v>
      </c>
    </row>
    <row r="56" spans="2:43" x14ac:dyDescent="0.25">
      <c r="E56" s="75"/>
      <c r="F56" s="95" t="s">
        <v>157</v>
      </c>
      <c r="G56" s="95" t="s">
        <v>208</v>
      </c>
      <c r="H56" s="223"/>
      <c r="I56" s="223"/>
      <c r="J56" s="171">
        <f>'Volume adjustments'!J238</f>
        <v>438764.76682252146</v>
      </c>
      <c r="K56" s="171">
        <f>'Volume adjustments'!K238</f>
        <v>36.928307828276772</v>
      </c>
      <c r="L56" s="171">
        <f>'Volume adjustments'!L238</f>
        <v>109434.03612280676</v>
      </c>
      <c r="M56" s="171">
        <f>'Volume adjustments'!M238</f>
        <v>26.004708483632935</v>
      </c>
      <c r="N56" s="171">
        <f>'Volume adjustments'!N238</f>
        <v>90308.691826729424</v>
      </c>
      <c r="O56" s="171">
        <f>'Volume adjustments'!O238</f>
        <v>41249.426391070279</v>
      </c>
      <c r="P56" s="171">
        <f>'Volume adjustments'!P238</f>
        <v>127473.05012901493</v>
      </c>
      <c r="Q56" s="171">
        <f>'Volume adjustments'!Q238</f>
        <v>2860.6386819365989</v>
      </c>
      <c r="R56" s="171">
        <f>'Volume adjustments'!R238</f>
        <v>11199.507843454163</v>
      </c>
      <c r="S56" s="171">
        <f>'Volume adjustments'!S238</f>
        <v>1296.193700379747</v>
      </c>
      <c r="T56" s="171">
        <f>'Volume adjustments'!T238</f>
        <v>4453.5338269398771</v>
      </c>
      <c r="U56" s="171">
        <f>'Volume adjustments'!U238</f>
        <v>0</v>
      </c>
      <c r="V56" s="171">
        <f>'Volume adjustments'!V238</f>
        <v>0</v>
      </c>
      <c r="W56" s="171">
        <f>'Volume adjustments'!W238</f>
        <v>0</v>
      </c>
      <c r="X56" s="171">
        <f>'Volume adjustments'!X238</f>
        <v>57918.120807023566</v>
      </c>
      <c r="Y56" s="171">
        <f>'Volume adjustments'!Y238</f>
        <v>0</v>
      </c>
      <c r="AQ56" s="3"/>
    </row>
    <row r="57" spans="2:43" x14ac:dyDescent="0.25">
      <c r="E57" s="75"/>
      <c r="F57" t="s">
        <v>158</v>
      </c>
      <c r="G57" t="s">
        <v>208</v>
      </c>
      <c r="H57" s="106"/>
      <c r="I57" s="106"/>
      <c r="J57" s="167">
        <f>'Volume adjustments'!J249</f>
        <v>2326173.3938634903</v>
      </c>
      <c r="K57" s="167">
        <f>'Volume adjustments'!K249</f>
        <v>2889.7541426122689</v>
      </c>
      <c r="L57" s="167">
        <f>'Volume adjustments'!L249</f>
        <v>921659.57142625086</v>
      </c>
      <c r="M57" s="167">
        <f>'Volume adjustments'!M249</f>
        <v>1591.5677042444584</v>
      </c>
      <c r="N57" s="167">
        <f>'Volume adjustments'!N249</f>
        <v>642463.99632405897</v>
      </c>
      <c r="O57" s="167">
        <f>'Volume adjustments'!O249</f>
        <v>293844.335807767</v>
      </c>
      <c r="P57" s="167">
        <f>'Volume adjustments'!P249</f>
        <v>877132.41626189707</v>
      </c>
      <c r="Q57" s="167">
        <f>'Volume adjustments'!Q249</f>
        <v>30425.348505603444</v>
      </c>
      <c r="R57" s="167">
        <f>'Volume adjustments'!R249</f>
        <v>122385.50091081993</v>
      </c>
      <c r="S57" s="167">
        <f>'Volume adjustments'!S249</f>
        <v>11378.491454160423</v>
      </c>
      <c r="T57" s="167">
        <f>'Volume adjustments'!T249</f>
        <v>42162.359126339878</v>
      </c>
      <c r="U57" s="167">
        <f>'Volume adjustments'!U249</f>
        <v>0</v>
      </c>
      <c r="V57" s="167">
        <f>'Volume adjustments'!V249</f>
        <v>0</v>
      </c>
      <c r="W57" s="167">
        <f>'Volume adjustments'!W249</f>
        <v>0</v>
      </c>
      <c r="X57" s="167">
        <f>'Volume adjustments'!X249</f>
        <v>316726.54989568843</v>
      </c>
      <c r="Y57" s="167">
        <f>'Volume adjustments'!Y249</f>
        <v>0</v>
      </c>
      <c r="AQ57" s="3"/>
    </row>
    <row r="58" spans="2:43" x14ac:dyDescent="0.25">
      <c r="E58" s="75"/>
      <c r="F58" s="96" t="s">
        <v>159</v>
      </c>
      <c r="G58" s="96" t="s">
        <v>208</v>
      </c>
      <c r="H58" s="196"/>
      <c r="I58" s="196"/>
      <c r="J58" s="172">
        <f>'Volume adjustments'!J260</f>
        <v>2765513.5778142381</v>
      </c>
      <c r="K58" s="172">
        <f>'Volume adjustments'!K260</f>
        <v>22694.611658437898</v>
      </c>
      <c r="L58" s="172">
        <f>'Volume adjustments'!L260</f>
        <v>744136.89576981449</v>
      </c>
      <c r="M58" s="172">
        <f>'Volume adjustments'!M260</f>
        <v>11266.245993465296</v>
      </c>
      <c r="N58" s="172">
        <f>'Volume adjustments'!N260</f>
        <v>585796.89561699633</v>
      </c>
      <c r="O58" s="172">
        <f>'Volume adjustments'!O260</f>
        <v>294508.20384664467</v>
      </c>
      <c r="P58" s="172">
        <f>'Volume adjustments'!P260</f>
        <v>989775.14268737985</v>
      </c>
      <c r="Q58" s="172">
        <f>'Volume adjustments'!Q260</f>
        <v>65820.427370404781</v>
      </c>
      <c r="R58" s="172">
        <f>'Volume adjustments'!R260</f>
        <v>50604.015593424534</v>
      </c>
      <c r="S58" s="172">
        <f>'Volume adjustments'!S260</f>
        <v>11582.900696102439</v>
      </c>
      <c r="T58" s="172">
        <f>'Volume adjustments'!T260</f>
        <v>30711.018749331204</v>
      </c>
      <c r="U58" s="172">
        <f>'Volume adjustments'!U260</f>
        <v>0</v>
      </c>
      <c r="V58" s="172">
        <f>'Volume adjustments'!V260</f>
        <v>0</v>
      </c>
      <c r="W58" s="172">
        <f>'Volume adjustments'!W260</f>
        <v>0</v>
      </c>
      <c r="X58" s="172">
        <f>'Volume adjustments'!X260</f>
        <v>252665.02390971759</v>
      </c>
      <c r="Y58" s="172">
        <f>'Volume adjustments'!Y260</f>
        <v>0</v>
      </c>
      <c r="AQ58" s="3"/>
    </row>
    <row r="59" spans="2:43" x14ac:dyDescent="0.25">
      <c r="E59" s="75"/>
      <c r="F59" s="145" t="s">
        <v>461</v>
      </c>
      <c r="G59" s="145" t="s">
        <v>208</v>
      </c>
      <c r="H59" s="228"/>
      <c r="I59" s="228"/>
      <c r="J59" s="228">
        <f t="shared" ref="J59:Y59" si="0">SUM(J56:J58)</f>
        <v>5530451.7385002505</v>
      </c>
      <c r="K59" s="228">
        <f t="shared" si="0"/>
        <v>25621.294108878443</v>
      </c>
      <c r="L59" s="228">
        <f t="shared" si="0"/>
        <v>1775230.5033188721</v>
      </c>
      <c r="M59" s="228">
        <f t="shared" si="0"/>
        <v>12883.818406193388</v>
      </c>
      <c r="N59" s="228">
        <f t="shared" si="0"/>
        <v>1318569.5837677848</v>
      </c>
      <c r="O59" s="228">
        <f t="shared" si="0"/>
        <v>629601.96604548197</v>
      </c>
      <c r="P59" s="228">
        <f t="shared" si="0"/>
        <v>1994380.6090782918</v>
      </c>
      <c r="Q59" s="228">
        <f t="shared" si="0"/>
        <v>99106.414557944823</v>
      </c>
      <c r="R59" s="228">
        <f t="shared" si="0"/>
        <v>184189.02434769861</v>
      </c>
      <c r="S59" s="228">
        <f t="shared" si="0"/>
        <v>24257.585850642608</v>
      </c>
      <c r="T59" s="228">
        <f t="shared" si="0"/>
        <v>77326.91170261096</v>
      </c>
      <c r="U59" s="228">
        <f t="shared" si="0"/>
        <v>0</v>
      </c>
      <c r="V59" s="228">
        <f t="shared" si="0"/>
        <v>0</v>
      </c>
      <c r="W59" s="228">
        <f t="shared" si="0"/>
        <v>0</v>
      </c>
      <c r="X59" s="228">
        <f t="shared" si="0"/>
        <v>627309.69461242959</v>
      </c>
      <c r="Y59" s="228">
        <f t="shared" si="0"/>
        <v>0</v>
      </c>
      <c r="AQ59" s="3"/>
    </row>
    <row r="60" spans="2:43" x14ac:dyDescent="0.25">
      <c r="D60" s="75"/>
      <c r="J60" s="97"/>
      <c r="L60" s="97"/>
      <c r="AQ60" s="3"/>
    </row>
    <row r="61" spans="2:43" x14ac:dyDescent="0.25">
      <c r="C61" s="75"/>
      <c r="E61" s="94" t="s">
        <v>242</v>
      </c>
      <c r="F61" s="94"/>
      <c r="G61" s="94" t="s">
        <v>168</v>
      </c>
      <c r="I61" t="s">
        <v>155</v>
      </c>
      <c r="J61" s="155">
        <f>'Inputs by customer type'!J15</f>
        <v>0.42655107893391708</v>
      </c>
      <c r="K61" s="155">
        <f>'Inputs by customer type'!K15</f>
        <v>0.13014636404142343</v>
      </c>
      <c r="L61" s="155">
        <f>'Inputs by customer type'!L15</f>
        <v>0.43452597532609877</v>
      </c>
      <c r="M61" s="155">
        <f>'Inputs by customer type'!M15</f>
        <v>0.16348776224447439</v>
      </c>
      <c r="N61" s="155">
        <f>'Inputs by customer type'!N15</f>
        <v>0.54784543850635292</v>
      </c>
      <c r="O61" s="155">
        <f>'Inputs by customer type'!O15</f>
        <v>0.60177942640278592</v>
      </c>
      <c r="P61" s="155">
        <f>'Inputs by customer type'!P15</f>
        <v>0.73307505945788753</v>
      </c>
      <c r="Q61" s="155">
        <f>'Inputs by customer type'!Q15</f>
        <v>0.49990620990783308</v>
      </c>
      <c r="R61" s="103"/>
      <c r="S61" s="103"/>
      <c r="T61" s="103"/>
      <c r="U61" s="103"/>
      <c r="V61" s="103"/>
      <c r="W61" s="103"/>
      <c r="X61" s="103"/>
      <c r="Y61" s="103"/>
      <c r="AA61" t="s">
        <v>462</v>
      </c>
      <c r="AQ61" s="3"/>
    </row>
    <row r="63" spans="2:43" x14ac:dyDescent="0.25">
      <c r="B63" s="85" t="s">
        <v>463</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464</v>
      </c>
      <c r="J65" s="97"/>
      <c r="L65" s="97"/>
      <c r="AQ65" s="3"/>
    </row>
    <row r="66" spans="3:43" x14ac:dyDescent="0.25">
      <c r="C66" s="75"/>
      <c r="J66" s="97"/>
      <c r="L66" s="97"/>
      <c r="AQ66" s="3"/>
    </row>
    <row r="67" spans="3:43" x14ac:dyDescent="0.25">
      <c r="C67" s="93" t="str">
        <f ca="1">INDEX('Version control'!$H$42:$H$65,MATCH($A$1,'Version control'!$F$42:$F$65,0),1)&amp;"-B: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465</v>
      </c>
      <c r="J69" s="97"/>
      <c r="L69" s="97"/>
      <c r="AQ69" s="3"/>
    </row>
    <row r="70" spans="3:43" x14ac:dyDescent="0.25">
      <c r="E70" s="75"/>
      <c r="F70" s="95" t="s">
        <v>192</v>
      </c>
      <c r="G70" s="95" t="s">
        <v>284</v>
      </c>
      <c r="H70" s="95"/>
      <c r="I70" s="95"/>
      <c r="J70" s="171">
        <f>'Pseudo-load coefficients'!J272</f>
        <v>26.252532118322382</v>
      </c>
      <c r="K70" s="171">
        <f>'Pseudo-load coefficients'!K272</f>
        <v>26.252532118322382</v>
      </c>
      <c r="L70" s="171">
        <f>'Pseudo-load coefficients'!L272</f>
        <v>25.683280914057626</v>
      </c>
      <c r="M70" s="171">
        <f>'Pseudo-load coefficients'!M272</f>
        <v>25.683280914057626</v>
      </c>
      <c r="N70" s="171">
        <f>'Pseudo-load coefficients'!N272</f>
        <v>19.797283154448994</v>
      </c>
      <c r="O70" s="171">
        <f>'Pseudo-load coefficients'!O272</f>
        <v>18.674788578853466</v>
      </c>
      <c r="P70" s="171">
        <f>'Pseudo-load coefficients'!P272</f>
        <v>17.15181159346</v>
      </c>
      <c r="Q70" s="171">
        <f>'Pseudo-load coefficients'!Q272</f>
        <v>61.608236378792107</v>
      </c>
      <c r="R70" s="171">
        <f>'Pseudo-load coefficients'!R272</f>
        <v>15.796325905441332</v>
      </c>
      <c r="S70" s="171">
        <f>'Pseudo-load coefficients'!S272</f>
        <v>15.796325905441332</v>
      </c>
      <c r="T70" s="171">
        <f>'Pseudo-load coefficients'!T272</f>
        <v>15.796325905441332</v>
      </c>
      <c r="U70" s="171">
        <f>'Pseudo-load coefficients'!U272</f>
        <v>15.796325905441332</v>
      </c>
      <c r="V70" s="171">
        <f>'Pseudo-load coefficients'!V272</f>
        <v>15.796325905441332</v>
      </c>
      <c r="W70" s="171">
        <f>'Pseudo-load coefficients'!W272</f>
        <v>15.796325905441332</v>
      </c>
      <c r="X70" s="171">
        <f>'Pseudo-load coefficients'!X272</f>
        <v>15.796325905441332</v>
      </c>
      <c r="Y70" s="171">
        <f>'Pseudo-load coefficients'!Y272</f>
        <v>15.796325905441332</v>
      </c>
      <c r="AQ70" s="3"/>
    </row>
    <row r="71" spans="3:43" x14ac:dyDescent="0.25">
      <c r="E71" s="75"/>
      <c r="F71" t="s">
        <v>193</v>
      </c>
      <c r="G71" t="s">
        <v>284</v>
      </c>
      <c r="J71" s="167">
        <f>'Pseudo-load coefficients'!J273</f>
        <v>22.906645910706104</v>
      </c>
      <c r="K71" s="167">
        <f>'Pseudo-load coefficients'!K273</f>
        <v>22.906645910706104</v>
      </c>
      <c r="L71" s="167">
        <f>'Pseudo-load coefficients'!L273</f>
        <v>22.409945793872989</v>
      </c>
      <c r="M71" s="167">
        <f>'Pseudo-load coefficients'!M273</f>
        <v>22.409945793872989</v>
      </c>
      <c r="N71" s="167">
        <f>'Pseudo-load coefficients'!N273</f>
        <v>17.274118670497572</v>
      </c>
      <c r="O71" s="167">
        <f>'Pseudo-load coefficients'!O273</f>
        <v>16.294686070854755</v>
      </c>
      <c r="P71" s="167">
        <f>'Pseudo-load coefficients'!P273</f>
        <v>14.965812559632019</v>
      </c>
      <c r="Q71" s="167">
        <f>'Pseudo-load coefficients'!Q273</f>
        <v>49.885377430246677</v>
      </c>
      <c r="R71" s="167">
        <f>'Pseudo-load coefficients'!R273</f>
        <v>13.783083573622967</v>
      </c>
      <c r="S71" s="167">
        <f>'Pseudo-load coefficients'!S273</f>
        <v>13.783083573622967</v>
      </c>
      <c r="T71" s="167">
        <f>'Pseudo-load coefficients'!T273</f>
        <v>13.783083573622967</v>
      </c>
      <c r="U71" s="167">
        <f>'Pseudo-load coefficients'!U273</f>
        <v>13.783083573622967</v>
      </c>
      <c r="V71" s="167">
        <f>'Pseudo-load coefficients'!V273</f>
        <v>13.783083573622967</v>
      </c>
      <c r="W71" s="167">
        <f>'Pseudo-load coefficients'!W273</f>
        <v>13.783083573622967</v>
      </c>
      <c r="X71" s="167">
        <f>'Pseudo-load coefficients'!X273</f>
        <v>13.783083573622967</v>
      </c>
      <c r="Y71" s="167">
        <f>'Pseudo-load coefficients'!Y273</f>
        <v>13.783083573622967</v>
      </c>
      <c r="AQ71" s="3"/>
    </row>
    <row r="72" spans="3:43" x14ac:dyDescent="0.25">
      <c r="E72" s="75"/>
      <c r="F72" t="s">
        <v>194</v>
      </c>
      <c r="G72" t="s">
        <v>284</v>
      </c>
      <c r="J72" s="167">
        <f>'Pseudo-load coefficients'!J274</f>
        <v>22.906645910706104</v>
      </c>
      <c r="K72" s="167">
        <f>'Pseudo-load coefficients'!K274</f>
        <v>22.906645910706104</v>
      </c>
      <c r="L72" s="167">
        <f>'Pseudo-load coefficients'!L274</f>
        <v>22.409945793872989</v>
      </c>
      <c r="M72" s="167">
        <f>'Pseudo-load coefficients'!M274</f>
        <v>22.409945793872989</v>
      </c>
      <c r="N72" s="167">
        <f>'Pseudo-load coefficients'!N274</f>
        <v>17.274118670497572</v>
      </c>
      <c r="O72" s="167">
        <f>'Pseudo-load coefficients'!O274</f>
        <v>16.294686070854755</v>
      </c>
      <c r="P72" s="167">
        <f>'Pseudo-load coefficients'!P274</f>
        <v>14.965812559632019</v>
      </c>
      <c r="Q72" s="167">
        <f>'Pseudo-load coefficients'!Q274</f>
        <v>49.885377430246677</v>
      </c>
      <c r="R72" s="167">
        <f>'Pseudo-load coefficients'!R274</f>
        <v>13.783083573622967</v>
      </c>
      <c r="S72" s="167">
        <f>'Pseudo-load coefficients'!S274</f>
        <v>13.783083573622967</v>
      </c>
      <c r="T72" s="167">
        <f>'Pseudo-load coefficients'!T274</f>
        <v>13.783083573622967</v>
      </c>
      <c r="U72" s="167">
        <f>'Pseudo-load coefficients'!U274</f>
        <v>13.783083573622967</v>
      </c>
      <c r="V72" s="167">
        <f>'Pseudo-load coefficients'!V274</f>
        <v>13.783083573622967</v>
      </c>
      <c r="W72" s="167">
        <f>'Pseudo-load coefficients'!W274</f>
        <v>13.783083573622967</v>
      </c>
      <c r="X72" s="167">
        <f>'Pseudo-load coefficients'!X274</f>
        <v>13.783083573622967</v>
      </c>
      <c r="Y72" s="167">
        <f>'Pseudo-load coefficients'!Y274</f>
        <v>13.783083573622967</v>
      </c>
      <c r="AQ72" s="3"/>
    </row>
    <row r="73" spans="3:43" x14ac:dyDescent="0.25">
      <c r="E73" s="75"/>
      <c r="F73" t="s">
        <v>195</v>
      </c>
      <c r="G73" t="s">
        <v>284</v>
      </c>
      <c r="J73" s="167">
        <f>'Pseudo-load coefficients'!J275</f>
        <v>14.957389736758207</v>
      </c>
      <c r="K73" s="167">
        <f>'Pseudo-load coefficients'!K275</f>
        <v>14.957389736758207</v>
      </c>
      <c r="L73" s="167">
        <f>'Pseudo-load coefficients'!L275</f>
        <v>14.633058655781664</v>
      </c>
      <c r="M73" s="167">
        <f>'Pseudo-load coefficients'!M275</f>
        <v>14.633058655781664</v>
      </c>
      <c r="N73" s="167">
        <f>'Pseudo-load coefficients'!N275</f>
        <v>11.279509288301529</v>
      </c>
      <c r="O73" s="167">
        <f>'Pseudo-load coefficients'!O275</f>
        <v>10.639967594993349</v>
      </c>
      <c r="P73" s="167">
        <f>'Pseudo-load coefficients'!P275</f>
        <v>9.7722509028292226</v>
      </c>
      <c r="Q73" s="167">
        <f>'Pseudo-load coefficients'!Q275</f>
        <v>32.930440929445119</v>
      </c>
      <c r="R73" s="167">
        <f>'Pseudo-load coefficients'!R275</f>
        <v>8.9999624383521937</v>
      </c>
      <c r="S73" s="167">
        <f>'Pseudo-load coefficients'!S275</f>
        <v>8.9999624383521937</v>
      </c>
      <c r="T73" s="167">
        <f>'Pseudo-load coefficients'!T275</f>
        <v>8.9999624383521937</v>
      </c>
      <c r="U73" s="167">
        <f>'Pseudo-load coefficients'!U275</f>
        <v>8.9999624383521937</v>
      </c>
      <c r="V73" s="167">
        <f>'Pseudo-load coefficients'!V275</f>
        <v>8.9999624383521937</v>
      </c>
      <c r="W73" s="167">
        <f>'Pseudo-load coefficients'!W275</f>
        <v>8.9999624383521937</v>
      </c>
      <c r="X73" s="167">
        <f>'Pseudo-load coefficients'!X275</f>
        <v>8.9999624383521937</v>
      </c>
      <c r="Y73" s="167">
        <f>'Pseudo-load coefficients'!Y275</f>
        <v>8.9999624383521937</v>
      </c>
      <c r="AQ73" s="3"/>
    </row>
    <row r="74" spans="3:43" x14ac:dyDescent="0.25">
      <c r="E74" s="75"/>
      <c r="F74" t="s">
        <v>196</v>
      </c>
      <c r="G74" t="s">
        <v>284</v>
      </c>
      <c r="J74" s="167">
        <f>'Pseudo-load coefficients'!J276</f>
        <v>14.957389736758207</v>
      </c>
      <c r="K74" s="167">
        <f>'Pseudo-load coefficients'!K276</f>
        <v>14.957389736758207</v>
      </c>
      <c r="L74" s="167">
        <f>'Pseudo-load coefficients'!L276</f>
        <v>14.633058655781664</v>
      </c>
      <c r="M74" s="167">
        <f>'Pseudo-load coefficients'!M276</f>
        <v>14.633058655781664</v>
      </c>
      <c r="N74" s="167">
        <f>'Pseudo-load coefficients'!N276</f>
        <v>11.279509288301529</v>
      </c>
      <c r="O74" s="167">
        <f>'Pseudo-load coefficients'!O276</f>
        <v>10.639967594993349</v>
      </c>
      <c r="P74" s="167">
        <f>'Pseudo-load coefficients'!P276</f>
        <v>9.7722509028292226</v>
      </c>
      <c r="Q74" s="167">
        <f>'Pseudo-load coefficients'!Q276</f>
        <v>32.930440929445119</v>
      </c>
      <c r="R74" s="167">
        <f>'Pseudo-load coefficients'!R276</f>
        <v>8.9999624383521937</v>
      </c>
      <c r="S74" s="167">
        <f>'Pseudo-load coefficients'!S276</f>
        <v>8.9999624383521937</v>
      </c>
      <c r="T74" s="167">
        <f>'Pseudo-load coefficients'!T276</f>
        <v>8.9999624383521937</v>
      </c>
      <c r="U74" s="167">
        <f>'Pseudo-load coefficients'!U276</f>
        <v>8.9999624383521937</v>
      </c>
      <c r="V74" s="167">
        <f>'Pseudo-load coefficients'!V276</f>
        <v>8.9999624383521937</v>
      </c>
      <c r="W74" s="167">
        <f>'Pseudo-load coefficients'!W276</f>
        <v>8.9999624383521937</v>
      </c>
      <c r="X74" s="167">
        <f>'Pseudo-load coefficients'!X276</f>
        <v>8.9999624383521937</v>
      </c>
      <c r="Y74" s="167">
        <f>'Pseudo-load coefficients'!Y276</f>
        <v>8.9999624383521937</v>
      </c>
      <c r="AQ74" s="3"/>
    </row>
    <row r="75" spans="3:43" x14ac:dyDescent="0.25">
      <c r="E75" s="75"/>
      <c r="F75" t="s">
        <v>197</v>
      </c>
      <c r="G75" t="s">
        <v>284</v>
      </c>
      <c r="J75" s="167">
        <f>'Pseudo-load coefficients'!J277</f>
        <v>22.906645910706104</v>
      </c>
      <c r="K75" s="167">
        <f>'Pseudo-load coefficients'!K277</f>
        <v>22.906645910706104</v>
      </c>
      <c r="L75" s="167">
        <f>'Pseudo-load coefficients'!L277</f>
        <v>22.409945793872989</v>
      </c>
      <c r="M75" s="167">
        <f>'Pseudo-load coefficients'!M277</f>
        <v>22.409945793872989</v>
      </c>
      <c r="N75" s="167">
        <f>'Pseudo-load coefficients'!N277</f>
        <v>17.274118670497572</v>
      </c>
      <c r="O75" s="167">
        <f>'Pseudo-load coefficients'!O277</f>
        <v>16.294686070854755</v>
      </c>
      <c r="P75" s="167">
        <f>'Pseudo-load coefficients'!P277</f>
        <v>14.965812559632019</v>
      </c>
      <c r="Q75" s="167">
        <f>'Pseudo-load coefficients'!Q277</f>
        <v>49.885377430246677</v>
      </c>
      <c r="R75" s="167">
        <f>'Pseudo-load coefficients'!R277</f>
        <v>13.783083573622967</v>
      </c>
      <c r="S75" s="167">
        <f>'Pseudo-load coefficients'!S277</f>
        <v>13.783083573622967</v>
      </c>
      <c r="T75" s="167">
        <f>'Pseudo-load coefficients'!T277</f>
        <v>13.783083573622967</v>
      </c>
      <c r="U75" s="167">
        <f>'Pseudo-load coefficients'!U277</f>
        <v>13.783083573622967</v>
      </c>
      <c r="V75" s="167">
        <f>'Pseudo-load coefficients'!V277</f>
        <v>13.783083573622967</v>
      </c>
      <c r="W75" s="167">
        <f>'Pseudo-load coefficients'!W277</f>
        <v>13.783083573622967</v>
      </c>
      <c r="X75" s="167">
        <f>'Pseudo-load coefficients'!X277</f>
        <v>13.783083573622967</v>
      </c>
      <c r="Y75" s="167">
        <f>'Pseudo-load coefficients'!Y277</f>
        <v>13.783083573622967</v>
      </c>
      <c r="AQ75" s="3"/>
    </row>
    <row r="76" spans="3:43" x14ac:dyDescent="0.25">
      <c r="E76" s="75"/>
      <c r="F76" t="s">
        <v>198</v>
      </c>
      <c r="G76" t="s">
        <v>284</v>
      </c>
      <c r="J76" s="167">
        <f>'Pseudo-load coefficients'!J278</f>
        <v>14.957389736758207</v>
      </c>
      <c r="K76" s="167">
        <f>'Pseudo-load coefficients'!K278</f>
        <v>14.957389736758207</v>
      </c>
      <c r="L76" s="167">
        <f>'Pseudo-load coefficients'!L278</f>
        <v>14.633058655781664</v>
      </c>
      <c r="M76" s="167">
        <f>'Pseudo-load coefficients'!M278</f>
        <v>14.633058655781664</v>
      </c>
      <c r="N76" s="167">
        <f>'Pseudo-load coefficients'!N278</f>
        <v>11.279509288301529</v>
      </c>
      <c r="O76" s="167">
        <f>'Pseudo-load coefficients'!O278</f>
        <v>10.639967594993349</v>
      </c>
      <c r="P76" s="167">
        <f>'Pseudo-load coefficients'!P278</f>
        <v>9.7722509028292226</v>
      </c>
      <c r="Q76" s="167">
        <f>'Pseudo-load coefficients'!Q278</f>
        <v>32.930440929445119</v>
      </c>
      <c r="R76" s="167">
        <f>'Pseudo-load coefficients'!R278</f>
        <v>8.9999624383521937</v>
      </c>
      <c r="S76" s="167">
        <f>'Pseudo-load coefficients'!S278</f>
        <v>8.9999624383521937</v>
      </c>
      <c r="T76" s="167">
        <f>'Pseudo-load coefficients'!T278</f>
        <v>8.9999624383521937</v>
      </c>
      <c r="U76" s="167">
        <f>'Pseudo-load coefficients'!U278</f>
        <v>8.9999624383521937</v>
      </c>
      <c r="V76" s="167">
        <f>'Pseudo-load coefficients'!V278</f>
        <v>8.9999624383521937</v>
      </c>
      <c r="W76" s="167">
        <f>'Pseudo-load coefficients'!W278</f>
        <v>8.9999624383521937</v>
      </c>
      <c r="X76" s="167">
        <f>'Pseudo-load coefficients'!X278</f>
        <v>8.9999624383521937</v>
      </c>
      <c r="Y76" s="167">
        <f>'Pseudo-load coefficients'!Y278</f>
        <v>8.9999624383521937</v>
      </c>
      <c r="AQ76" s="3"/>
    </row>
    <row r="77" spans="3:43" x14ac:dyDescent="0.25">
      <c r="E77" s="75"/>
      <c r="F77" t="s">
        <v>199</v>
      </c>
      <c r="G77" t="s">
        <v>284</v>
      </c>
      <c r="J77" s="167">
        <f>'Pseudo-load coefficients'!J279</f>
        <v>14.957389736758207</v>
      </c>
      <c r="K77" s="167">
        <f>'Pseudo-load coefficients'!K279</f>
        <v>14.957389736758207</v>
      </c>
      <c r="L77" s="167">
        <f>'Pseudo-load coefficients'!L279</f>
        <v>14.633058655781664</v>
      </c>
      <c r="M77" s="167">
        <f>'Pseudo-load coefficients'!M279</f>
        <v>14.633058655781664</v>
      </c>
      <c r="N77" s="167">
        <f>'Pseudo-load coefficients'!N279</f>
        <v>11.279509288301529</v>
      </c>
      <c r="O77" s="167">
        <f>'Pseudo-load coefficients'!O279</f>
        <v>10.639967594993349</v>
      </c>
      <c r="P77" s="167">
        <f>'Pseudo-load coefficients'!P279</f>
        <v>9.7722509028292226</v>
      </c>
      <c r="Q77" s="167">
        <f>'Pseudo-load coefficients'!Q279</f>
        <v>32.930440929445119</v>
      </c>
      <c r="R77" s="167">
        <f>'Pseudo-load coefficients'!R279</f>
        <v>8.9999624383521937</v>
      </c>
      <c r="S77" s="167">
        <f>'Pseudo-load coefficients'!S279</f>
        <v>8.9999624383521937</v>
      </c>
      <c r="T77" s="167">
        <f>'Pseudo-load coefficients'!T279</f>
        <v>8.9999624383521937</v>
      </c>
      <c r="U77" s="167">
        <f>'Pseudo-load coefficients'!U279</f>
        <v>8.9999624383521937</v>
      </c>
      <c r="V77" s="167">
        <f>'Pseudo-load coefficients'!V279</f>
        <v>8.9999624383521937</v>
      </c>
      <c r="W77" s="167">
        <f>'Pseudo-load coefficients'!W279</f>
        <v>8.9999624383521937</v>
      </c>
      <c r="X77" s="167">
        <f>'Pseudo-load coefficients'!X279</f>
        <v>8.9999624383521937</v>
      </c>
      <c r="Y77" s="167">
        <f>'Pseudo-load coefficients'!Y279</f>
        <v>8.9999624383521937</v>
      </c>
      <c r="AQ77" s="3"/>
    </row>
    <row r="78" spans="3:43" x14ac:dyDescent="0.25">
      <c r="E78" s="75"/>
      <c r="F78" s="96" t="s">
        <v>200</v>
      </c>
      <c r="G78" s="96" t="s">
        <v>284</v>
      </c>
      <c r="H78" s="96"/>
      <c r="I78" s="96"/>
      <c r="J78" s="172">
        <f>'Pseudo-load coefficients'!J280</f>
        <v>14.957389736758207</v>
      </c>
      <c r="K78" s="172">
        <f>'Pseudo-load coefficients'!K280</f>
        <v>14.957389736758207</v>
      </c>
      <c r="L78" s="172">
        <f>'Pseudo-load coefficients'!L280</f>
        <v>14.633058655781664</v>
      </c>
      <c r="M78" s="172">
        <f>'Pseudo-load coefficients'!M280</f>
        <v>14.633058655781664</v>
      </c>
      <c r="N78" s="172">
        <f>'Pseudo-load coefficients'!N280</f>
        <v>11.279509288301529</v>
      </c>
      <c r="O78" s="172">
        <f>'Pseudo-load coefficients'!O280</f>
        <v>10.639967594993349</v>
      </c>
      <c r="P78" s="172">
        <f>'Pseudo-load coefficients'!P280</f>
        <v>9.7722509028292226</v>
      </c>
      <c r="Q78" s="172">
        <f>'Pseudo-load coefficients'!Q280</f>
        <v>32.930440929445119</v>
      </c>
      <c r="R78" s="172">
        <f>'Pseudo-load coefficients'!R280</f>
        <v>8.9999624383521937</v>
      </c>
      <c r="S78" s="172">
        <f>'Pseudo-load coefficients'!S280</f>
        <v>8.9999624383521937</v>
      </c>
      <c r="T78" s="172">
        <f>'Pseudo-load coefficients'!T280</f>
        <v>8.9999624383521937</v>
      </c>
      <c r="U78" s="172">
        <f>'Pseudo-load coefficients'!U280</f>
        <v>8.9999624383521937</v>
      </c>
      <c r="V78" s="172">
        <f>'Pseudo-load coefficients'!V280</f>
        <v>8.9999624383521937</v>
      </c>
      <c r="W78" s="172">
        <f>'Pseudo-load coefficients'!W280</f>
        <v>8.9999624383521937</v>
      </c>
      <c r="X78" s="172">
        <f>'Pseudo-load coefficients'!X280</f>
        <v>8.9999624383521937</v>
      </c>
      <c r="Y78" s="172">
        <f>'Pseudo-load coefficients'!Y280</f>
        <v>8.9999624383521937</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466</v>
      </c>
      <c r="J80" s="106"/>
      <c r="K80" s="106"/>
      <c r="L80" s="106"/>
      <c r="M80" s="106"/>
      <c r="N80" s="106"/>
      <c r="O80" s="106"/>
      <c r="P80" s="106"/>
      <c r="Q80" s="106"/>
      <c r="R80" s="106"/>
      <c r="S80" s="106"/>
      <c r="T80" s="106"/>
      <c r="U80" s="106"/>
      <c r="V80" s="106"/>
      <c r="W80" s="106"/>
      <c r="X80" s="106"/>
      <c r="Y80" s="106"/>
      <c r="AQ80" s="3"/>
    </row>
    <row r="81" spans="5:43" x14ac:dyDescent="0.25">
      <c r="E81" s="86" t="s">
        <v>467</v>
      </c>
      <c r="J81" s="106"/>
      <c r="K81" s="106"/>
      <c r="L81" s="106"/>
      <c r="M81" s="106"/>
      <c r="N81" s="106"/>
      <c r="O81" s="106"/>
      <c r="P81" s="106"/>
      <c r="Q81" s="106"/>
      <c r="R81" s="106"/>
      <c r="S81" s="106"/>
      <c r="T81" s="106"/>
      <c r="U81" s="106"/>
      <c r="V81" s="106"/>
      <c r="W81" s="106"/>
      <c r="X81" s="106"/>
      <c r="Y81" s="106"/>
      <c r="AQ81" s="3"/>
    </row>
    <row r="82" spans="5:43" x14ac:dyDescent="0.25">
      <c r="E82" s="75"/>
      <c r="F82" s="95" t="s">
        <v>192</v>
      </c>
      <c r="G82" s="95" t="s">
        <v>173</v>
      </c>
      <c r="H82" s="95"/>
      <c r="I82" s="95"/>
      <c r="J82" s="223">
        <f t="shared" ref="J82:Y82" si="1">J$56 * J34 * J70 / hours_in_year / $H45</f>
        <v>1392.6280366196561</v>
      </c>
      <c r="K82" s="223">
        <f t="shared" si="1"/>
        <v>0.11720949519034997</v>
      </c>
      <c r="L82" s="223">
        <f t="shared" si="1"/>
        <v>339.80918112042906</v>
      </c>
      <c r="M82" s="223">
        <f t="shared" si="1"/>
        <v>8.0748540474028713E-2</v>
      </c>
      <c r="N82" s="223">
        <f t="shared" si="1"/>
        <v>216.15602020634535</v>
      </c>
      <c r="O82" s="223">
        <f t="shared" si="1"/>
        <v>91.905724506047633</v>
      </c>
      <c r="P82" s="223">
        <f t="shared" si="1"/>
        <v>257.36920835433386</v>
      </c>
      <c r="Q82" s="223">
        <f t="shared" si="1"/>
        <v>21.307572423264162</v>
      </c>
      <c r="R82" s="223">
        <f t="shared" si="1"/>
        <v>-21.388839091535154</v>
      </c>
      <c r="S82" s="223">
        <f t="shared" si="1"/>
        <v>-2.4428395762650075</v>
      </c>
      <c r="T82" s="223">
        <f t="shared" si="1"/>
        <v>-8.5053664629379711</v>
      </c>
      <c r="U82" s="223">
        <f t="shared" si="1"/>
        <v>0</v>
      </c>
      <c r="V82" s="223">
        <f t="shared" si="1"/>
        <v>0</v>
      </c>
      <c r="W82" s="223">
        <f t="shared" si="1"/>
        <v>0</v>
      </c>
      <c r="X82" s="223">
        <f t="shared" si="1"/>
        <v>-107.69579821377674</v>
      </c>
      <c r="Y82" s="223">
        <f t="shared" si="1"/>
        <v>0</v>
      </c>
      <c r="AQ82" s="3"/>
    </row>
    <row r="83" spans="5:43" x14ac:dyDescent="0.25">
      <c r="E83" s="75"/>
      <c r="F83" t="s">
        <v>193</v>
      </c>
      <c r="G83" t="s">
        <v>173</v>
      </c>
      <c r="J83" s="106">
        <f t="shared" ref="J83:Y83" si="2">J$56 * J35 * J71 / hours_in_year / $H46</f>
        <v>1213.923617264139</v>
      </c>
      <c r="K83" s="106">
        <f t="shared" si="2"/>
        <v>0.10216897164051042</v>
      </c>
      <c r="L83" s="106">
        <f t="shared" si="2"/>
        <v>296.20428389948881</v>
      </c>
      <c r="M83" s="106">
        <f t="shared" si="2"/>
        <v>7.038674919899221E-2</v>
      </c>
      <c r="N83" s="106">
        <f t="shared" si="2"/>
        <v>188.41850877799823</v>
      </c>
      <c r="O83" s="106">
        <f t="shared" si="2"/>
        <v>80.112224230721111</v>
      </c>
      <c r="P83" s="106">
        <f t="shared" si="2"/>
        <v>224.34314990258122</v>
      </c>
      <c r="Q83" s="106">
        <f t="shared" si="2"/>
        <v>17.235916501650539</v>
      </c>
      <c r="R83" s="106">
        <f t="shared" si="2"/>
        <v>-18.644186556878996</v>
      </c>
      <c r="S83" s="106">
        <f t="shared" si="2"/>
        <v>-2.1293702100193377</v>
      </c>
      <c r="T83" s="106">
        <f t="shared" si="2"/>
        <v>-7.4139432435300074</v>
      </c>
      <c r="U83" s="106">
        <f t="shared" si="2"/>
        <v>0</v>
      </c>
      <c r="V83" s="106">
        <f t="shared" si="2"/>
        <v>0</v>
      </c>
      <c r="W83" s="106">
        <f t="shared" si="2"/>
        <v>0</v>
      </c>
      <c r="X83" s="106">
        <f t="shared" si="2"/>
        <v>-93.876088585111461</v>
      </c>
      <c r="Y83" s="106">
        <f t="shared" si="2"/>
        <v>0</v>
      </c>
      <c r="AQ83" s="3"/>
    </row>
    <row r="84" spans="5:43" x14ac:dyDescent="0.25">
      <c r="E84" s="75"/>
      <c r="F84" t="s">
        <v>194</v>
      </c>
      <c r="G84" t="s">
        <v>173</v>
      </c>
      <c r="J84" s="106">
        <f t="shared" ref="J84:Y84" si="3">J$56 * J36 * J72 / hours_in_year / $H47</f>
        <v>1209.0920804790082</v>
      </c>
      <c r="K84" s="106">
        <f t="shared" si="3"/>
        <v>0.10176232896731437</v>
      </c>
      <c r="L84" s="106">
        <f t="shared" si="3"/>
        <v>295.02536137650577</v>
      </c>
      <c r="M84" s="106">
        <f t="shared" si="3"/>
        <v>7.0106602933523582E-2</v>
      </c>
      <c r="N84" s="106">
        <f t="shared" si="3"/>
        <v>187.66858436495147</v>
      </c>
      <c r="O84" s="106">
        <f t="shared" si="3"/>
        <v>79.793369606917253</v>
      </c>
      <c r="P84" s="106">
        <f t="shared" si="3"/>
        <v>223.45024184326746</v>
      </c>
      <c r="Q84" s="106">
        <f t="shared" si="3"/>
        <v>17.1673158389574</v>
      </c>
      <c r="R84" s="106">
        <f t="shared" si="3"/>
        <v>-18.569980839239676</v>
      </c>
      <c r="S84" s="106">
        <f t="shared" si="3"/>
        <v>-2.120895104705828</v>
      </c>
      <c r="T84" s="106">
        <f t="shared" si="3"/>
        <v>-7.3844350117149622</v>
      </c>
      <c r="U84" s="106">
        <f t="shared" si="3"/>
        <v>0</v>
      </c>
      <c r="V84" s="106">
        <f t="shared" si="3"/>
        <v>0</v>
      </c>
      <c r="W84" s="106">
        <f t="shared" si="3"/>
        <v>0</v>
      </c>
      <c r="X84" s="106">
        <f t="shared" si="3"/>
        <v>-93.502452411638387</v>
      </c>
      <c r="Y84" s="106">
        <f t="shared" si="3"/>
        <v>0</v>
      </c>
      <c r="AQ84" s="3"/>
    </row>
    <row r="85" spans="5:43" x14ac:dyDescent="0.25">
      <c r="E85" s="75"/>
      <c r="F85" t="s">
        <v>195</v>
      </c>
      <c r="G85" t="s">
        <v>173</v>
      </c>
      <c r="J85" s="106">
        <f t="shared" ref="J85:Y85" si="4">J$56 * J37 * J73 / hours_in_year / $H48</f>
        <v>784.04182917128708</v>
      </c>
      <c r="K85" s="106">
        <f t="shared" si="4"/>
        <v>6.5988293060901107E-2</v>
      </c>
      <c r="L85" s="106">
        <f t="shared" si="4"/>
        <v>191.31067659786189</v>
      </c>
      <c r="M85" s="106">
        <f t="shared" si="4"/>
        <v>4.5460978604052044E-2</v>
      </c>
      <c r="N85" s="106">
        <f t="shared" si="4"/>
        <v>121.69463561881062</v>
      </c>
      <c r="O85" s="106">
        <f t="shared" si="4"/>
        <v>51.742411080521634</v>
      </c>
      <c r="P85" s="106">
        <f t="shared" si="4"/>
        <v>144.89743103284147</v>
      </c>
      <c r="Q85" s="106">
        <f t="shared" si="4"/>
        <v>11.254137835773863</v>
      </c>
      <c r="R85" s="106">
        <f t="shared" si="4"/>
        <v>-12.041797295624589</v>
      </c>
      <c r="S85" s="106">
        <f t="shared" si="4"/>
        <v>-1.375305077438935</v>
      </c>
      <c r="T85" s="106">
        <f t="shared" si="4"/>
        <v>-4.7884739528587232</v>
      </c>
      <c r="U85" s="106">
        <f t="shared" si="4"/>
        <v>0</v>
      </c>
      <c r="V85" s="106">
        <f t="shared" si="4"/>
        <v>0</v>
      </c>
      <c r="W85" s="106">
        <f t="shared" si="4"/>
        <v>0</v>
      </c>
      <c r="X85" s="106">
        <f t="shared" si="4"/>
        <v>-60.632134644185982</v>
      </c>
      <c r="Y85" s="106">
        <f t="shared" si="4"/>
        <v>0</v>
      </c>
      <c r="AQ85" s="3"/>
    </row>
    <row r="86" spans="5:43" x14ac:dyDescent="0.25">
      <c r="E86" s="75"/>
      <c r="F86" t="s">
        <v>196</v>
      </c>
      <c r="G86" t="s">
        <v>173</v>
      </c>
      <c r="J86" s="106">
        <f t="shared" ref="J86:Y86" si="5">J$56 * J38 * J74 / hours_in_year / $H49</f>
        <v>779.42075748658397</v>
      </c>
      <c r="K86" s="106">
        <f t="shared" si="5"/>
        <v>6.55993640251787E-2</v>
      </c>
      <c r="L86" s="106">
        <f t="shared" si="5"/>
        <v>190.18310875936763</v>
      </c>
      <c r="M86" s="106">
        <f t="shared" si="5"/>
        <v>4.5193035704617551E-2</v>
      </c>
      <c r="N86" s="106">
        <f t="shared" si="5"/>
        <v>120.97737843441685</v>
      </c>
      <c r="O86" s="106">
        <f t="shared" si="5"/>
        <v>51.437445985744489</v>
      </c>
      <c r="P86" s="106">
        <f t="shared" si="5"/>
        <v>144.04341866919012</v>
      </c>
      <c r="Q86" s="106">
        <f t="shared" si="5"/>
        <v>11.187806964443171</v>
      </c>
      <c r="R86" s="106">
        <f t="shared" si="5"/>
        <v>-11.970824030620907</v>
      </c>
      <c r="S86" s="106">
        <f t="shared" si="5"/>
        <v>-1.3671991536033421</v>
      </c>
      <c r="T86" s="106">
        <f t="shared" si="5"/>
        <v>-4.7602511201306763</v>
      </c>
      <c r="U86" s="106">
        <f t="shared" si="5"/>
        <v>0</v>
      </c>
      <c r="V86" s="106">
        <f t="shared" si="5"/>
        <v>0</v>
      </c>
      <c r="W86" s="106">
        <f t="shared" si="5"/>
        <v>0</v>
      </c>
      <c r="X86" s="106">
        <f t="shared" si="5"/>
        <v>-60.274774322118091</v>
      </c>
      <c r="Y86" s="106">
        <f t="shared" si="5"/>
        <v>0</v>
      </c>
      <c r="AQ86" s="3"/>
    </row>
    <row r="87" spans="5:43" x14ac:dyDescent="0.25">
      <c r="E87" s="75"/>
      <c r="F87" t="s">
        <v>197</v>
      </c>
      <c r="G87" t="s">
        <v>173</v>
      </c>
      <c r="J87" s="106">
        <f t="shared" ref="J87:Y87" si="6">J$56 * J39 * J75 / hours_in_year / $H50</f>
        <v>0</v>
      </c>
      <c r="K87" s="106">
        <f t="shared" si="6"/>
        <v>0</v>
      </c>
      <c r="L87" s="106">
        <f t="shared" si="6"/>
        <v>0</v>
      </c>
      <c r="M87" s="106">
        <f t="shared" si="6"/>
        <v>0</v>
      </c>
      <c r="N87" s="106">
        <f t="shared" si="6"/>
        <v>0</v>
      </c>
      <c r="O87" s="106">
        <f t="shared" si="6"/>
        <v>0</v>
      </c>
      <c r="P87" s="106">
        <f t="shared" si="6"/>
        <v>0</v>
      </c>
      <c r="Q87" s="106">
        <f t="shared" si="6"/>
        <v>0</v>
      </c>
      <c r="R87" s="106">
        <f t="shared" si="6"/>
        <v>0</v>
      </c>
      <c r="S87" s="106">
        <f t="shared" si="6"/>
        <v>0</v>
      </c>
      <c r="T87" s="106">
        <f t="shared" si="6"/>
        <v>0</v>
      </c>
      <c r="U87" s="106">
        <f t="shared" si="6"/>
        <v>0</v>
      </c>
      <c r="V87" s="106">
        <f t="shared" si="6"/>
        <v>0</v>
      </c>
      <c r="W87" s="106">
        <f t="shared" si="6"/>
        <v>0</v>
      </c>
      <c r="X87" s="106">
        <f t="shared" si="6"/>
        <v>0</v>
      </c>
      <c r="Y87" s="106">
        <f t="shared" si="6"/>
        <v>0</v>
      </c>
      <c r="AQ87" s="3"/>
    </row>
    <row r="88" spans="5:43" x14ac:dyDescent="0.25">
      <c r="E88" s="75"/>
      <c r="F88" t="s">
        <v>198</v>
      </c>
      <c r="G88" t="s">
        <v>173</v>
      </c>
      <c r="J88" s="106">
        <f t="shared" ref="J88:Y88" si="7">J$56 * J40 * J76 / hours_in_year / $H51</f>
        <v>767.36008812508942</v>
      </c>
      <c r="K88" s="106">
        <f t="shared" si="7"/>
        <v>6.4584286825562789E-2</v>
      </c>
      <c r="L88" s="106">
        <f t="shared" si="7"/>
        <v>187.24023667024781</v>
      </c>
      <c r="M88" s="106">
        <f t="shared" si="7"/>
        <v>4.4493723740136042E-2</v>
      </c>
      <c r="N88" s="106">
        <f>N$56 * N40 * N76 / hours_in_year / $H51</f>
        <v>119.10538805245295</v>
      </c>
      <c r="O88" s="106">
        <f t="shared" si="7"/>
        <v>50.641508717106277</v>
      </c>
      <c r="P88" s="106">
        <f t="shared" si="7"/>
        <v>141.81450696831291</v>
      </c>
      <c r="Q88" s="106">
        <f t="shared" si="7"/>
        <v>11.014688094587184</v>
      </c>
      <c r="R88" s="106">
        <f t="shared" si="7"/>
        <v>-11.785588842526193</v>
      </c>
      <c r="S88" s="106">
        <f t="shared" si="7"/>
        <v>-1.3460432672806599</v>
      </c>
      <c r="T88" s="106">
        <f t="shared" si="7"/>
        <v>-4.6865915283298145</v>
      </c>
      <c r="U88" s="106">
        <f t="shared" si="7"/>
        <v>0</v>
      </c>
      <c r="V88" s="106">
        <f t="shared" si="7"/>
        <v>0</v>
      </c>
      <c r="W88" s="106">
        <f t="shared" si="7"/>
        <v>0</v>
      </c>
      <c r="X88" s="106">
        <f t="shared" si="7"/>
        <v>0</v>
      </c>
      <c r="Y88" s="106">
        <f t="shared" si="7"/>
        <v>0</v>
      </c>
      <c r="AQ88" s="3"/>
    </row>
    <row r="89" spans="5:43" x14ac:dyDescent="0.25">
      <c r="E89" s="75"/>
      <c r="F89" t="s">
        <v>199</v>
      </c>
      <c r="G89" t="s">
        <v>173</v>
      </c>
      <c r="J89" s="106">
        <f t="shared" ref="J89:Y89" si="8">J$56 * J41 * J77 / hours_in_year / $H52</f>
        <v>757.10909458143362</v>
      </c>
      <c r="K89" s="106">
        <f t="shared" si="8"/>
        <v>6.3721519635144969E-2</v>
      </c>
      <c r="L89" s="106">
        <f t="shared" si="8"/>
        <v>184.73893579869869</v>
      </c>
      <c r="M89" s="106">
        <f t="shared" si="8"/>
        <v>4.3899341934447202E-2</v>
      </c>
      <c r="N89" s="106">
        <f t="shared" si="8"/>
        <v>117.51428554030186</v>
      </c>
      <c r="O89" s="106">
        <f t="shared" si="8"/>
        <v>49.965000012870128</v>
      </c>
      <c r="P89" s="106">
        <f t="shared" si="8"/>
        <v>0</v>
      </c>
      <c r="Q89" s="106">
        <f t="shared" si="8"/>
        <v>10.867545314697661</v>
      </c>
      <c r="R89" s="106">
        <f t="shared" si="8"/>
        <v>-11.62814777020237</v>
      </c>
      <c r="S89" s="106">
        <f t="shared" si="8"/>
        <v>0</v>
      </c>
      <c r="T89" s="106">
        <f t="shared" si="8"/>
        <v>-4.6239843895925841</v>
      </c>
      <c r="U89" s="106">
        <f t="shared" si="8"/>
        <v>0</v>
      </c>
      <c r="V89" s="106">
        <f t="shared" si="8"/>
        <v>0</v>
      </c>
      <c r="W89" s="106">
        <f t="shared" si="8"/>
        <v>0</v>
      </c>
      <c r="X89" s="106">
        <f t="shared" si="8"/>
        <v>0</v>
      </c>
      <c r="Y89" s="106">
        <f t="shared" si="8"/>
        <v>0</v>
      </c>
      <c r="AQ89" s="3"/>
    </row>
    <row r="90" spans="5:43" x14ac:dyDescent="0.25">
      <c r="E90" s="75"/>
      <c r="F90" s="96" t="s">
        <v>200</v>
      </c>
      <c r="G90" s="96" t="s">
        <v>173</v>
      </c>
      <c r="H90" s="96"/>
      <c r="I90" s="96"/>
      <c r="J90" s="196">
        <f t="shared" ref="J90:Y90" si="9">J$56 * J42 * J78 / hours_in_year / $H53</f>
        <v>747.12837205399478</v>
      </c>
      <c r="K90" s="196">
        <f t="shared" si="9"/>
        <v>6.2881499602289948E-2</v>
      </c>
      <c r="L90" s="196">
        <f t="shared" si="9"/>
        <v>182.30358259607931</v>
      </c>
      <c r="M90" s="196">
        <f t="shared" si="9"/>
        <v>4.332063121214752E-2</v>
      </c>
      <c r="N90" s="196">
        <f t="shared" si="9"/>
        <v>115.96513300022255</v>
      </c>
      <c r="O90" s="196">
        <f t="shared" si="9"/>
        <v>0</v>
      </c>
      <c r="P90" s="196">
        <f t="shared" si="9"/>
        <v>0</v>
      </c>
      <c r="Q90" s="196">
        <f t="shared" si="9"/>
        <v>10.724282005464358</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468</v>
      </c>
      <c r="J92" s="106"/>
      <c r="K92" s="106"/>
      <c r="L92" s="106"/>
      <c r="M92" s="106"/>
      <c r="N92" s="106"/>
      <c r="O92" s="106"/>
      <c r="P92" s="106"/>
      <c r="Q92" s="106"/>
      <c r="R92" s="106"/>
      <c r="S92" s="106"/>
      <c r="T92" s="106"/>
      <c r="U92" s="106"/>
      <c r="V92" s="106"/>
      <c r="W92" s="106"/>
      <c r="X92" s="106"/>
      <c r="Y92" s="106"/>
      <c r="AQ92" s="3"/>
    </row>
    <row r="93" spans="5:43" x14ac:dyDescent="0.25">
      <c r="E93" s="75"/>
      <c r="F93" s="95" t="s">
        <v>192</v>
      </c>
      <c r="G93" s="95" t="s">
        <v>284</v>
      </c>
      <c r="H93" s="95"/>
      <c r="I93" s="95"/>
      <c r="J93" s="171">
        <f>'Pseudo-load coefficients'!J283</f>
        <v>0.24367664353101637</v>
      </c>
      <c r="K93" s="171">
        <f>'Pseudo-load coefficients'!K283</f>
        <v>0.24367664353101637</v>
      </c>
      <c r="L93" s="171">
        <f>'Pseudo-load coefficients'!L283</f>
        <v>0.23839283996661989</v>
      </c>
      <c r="M93" s="171">
        <f>'Pseudo-load coefficients'!M283</f>
        <v>0.23839283996661989</v>
      </c>
      <c r="N93" s="171">
        <f>'Pseudo-load coefficients'!N283</f>
        <v>0.18375886517789888</v>
      </c>
      <c r="O93" s="171">
        <f>'Pseudo-load coefficients'!O283</f>
        <v>0.173339843144897</v>
      </c>
      <c r="P93" s="171">
        <f>'Pseudo-load coefficients'!P283</f>
        <v>0.1592035336147144</v>
      </c>
      <c r="Q93" s="171">
        <f>'Pseudo-load coefficients'!Q283</f>
        <v>0.28282792635188153</v>
      </c>
      <c r="R93" s="171">
        <f>'Pseudo-load coefficients'!R283</f>
        <v>0.14662188239257595</v>
      </c>
      <c r="S93" s="171">
        <f>'Pseudo-load coefficients'!S283</f>
        <v>0.14662188239257595</v>
      </c>
      <c r="T93" s="171">
        <f>'Pseudo-load coefficients'!T283</f>
        <v>0.14662188239257595</v>
      </c>
      <c r="U93" s="171">
        <f>'Pseudo-load coefficients'!U283</f>
        <v>0.14662188239257595</v>
      </c>
      <c r="V93" s="171">
        <f>'Pseudo-load coefficients'!V283</f>
        <v>0.14662188239257595</v>
      </c>
      <c r="W93" s="171">
        <f>'Pseudo-load coefficients'!W283</f>
        <v>0.14662188239257595</v>
      </c>
      <c r="X93" s="171">
        <f>'Pseudo-load coefficients'!X283</f>
        <v>0.14662188239257595</v>
      </c>
      <c r="Y93" s="171">
        <f>'Pseudo-load coefficients'!Y283</f>
        <v>0.14662188239257595</v>
      </c>
      <c r="AQ93" s="3"/>
    </row>
    <row r="94" spans="5:43" x14ac:dyDescent="0.25">
      <c r="E94" s="75"/>
      <c r="F94" t="s">
        <v>193</v>
      </c>
      <c r="G94" t="s">
        <v>284</v>
      </c>
      <c r="J94" s="167">
        <f>'Pseudo-load coefficients'!J284</f>
        <v>0.62724577919494018</v>
      </c>
      <c r="K94" s="167">
        <f>'Pseudo-load coefficients'!K284</f>
        <v>0.62724577919494018</v>
      </c>
      <c r="L94" s="167">
        <f>'Pseudo-load coefficients'!L284</f>
        <v>0.61364478963829849</v>
      </c>
      <c r="M94" s="167">
        <f>'Pseudo-load coefficients'!M284</f>
        <v>0.61364478963829849</v>
      </c>
      <c r="N94" s="167">
        <f>'Pseudo-load coefficients'!N284</f>
        <v>0.47301198384168502</v>
      </c>
      <c r="O94" s="167">
        <f>'Pseudo-load coefficients'!O284</f>
        <v>0.44619247623997399</v>
      </c>
      <c r="P94" s="167">
        <f>'Pseudo-load coefficients'!P284</f>
        <v>0.40980433350412077</v>
      </c>
      <c r="Q94" s="167">
        <f>'Pseudo-load coefficients'!Q284</f>
        <v>0.67375910700832731</v>
      </c>
      <c r="R94" s="167">
        <f>'Pseudo-load coefficients'!R284</f>
        <v>0.37741802224329329</v>
      </c>
      <c r="S94" s="167">
        <f>'Pseudo-load coefficients'!S284</f>
        <v>0.37741802224329329</v>
      </c>
      <c r="T94" s="167">
        <f>'Pseudo-load coefficients'!T284</f>
        <v>0.37741802224329329</v>
      </c>
      <c r="U94" s="167">
        <f>'Pseudo-load coefficients'!U284</f>
        <v>0.37741802224329329</v>
      </c>
      <c r="V94" s="167">
        <f>'Pseudo-load coefficients'!V284</f>
        <v>0.37741802224329329</v>
      </c>
      <c r="W94" s="167">
        <f>'Pseudo-load coefficients'!W284</f>
        <v>0.37741802224329329</v>
      </c>
      <c r="X94" s="167">
        <f>'Pseudo-load coefficients'!X284</f>
        <v>0.37741802224329329</v>
      </c>
      <c r="Y94" s="167">
        <f>'Pseudo-load coefficients'!Y284</f>
        <v>0.37741802224329329</v>
      </c>
      <c r="AQ94" s="3"/>
    </row>
    <row r="95" spans="5:43" x14ac:dyDescent="0.25">
      <c r="E95" s="75"/>
      <c r="F95" t="s">
        <v>194</v>
      </c>
      <c r="G95" t="s">
        <v>284</v>
      </c>
      <c r="J95" s="167">
        <f>'Pseudo-load coefficients'!J285</f>
        <v>0.62724577919494018</v>
      </c>
      <c r="K95" s="167">
        <f>'Pseudo-load coefficients'!K285</f>
        <v>0.62724577919494018</v>
      </c>
      <c r="L95" s="167">
        <f>'Pseudo-load coefficients'!L285</f>
        <v>0.61364478963829849</v>
      </c>
      <c r="M95" s="167">
        <f>'Pseudo-load coefficients'!M285</f>
        <v>0.61364478963829849</v>
      </c>
      <c r="N95" s="167">
        <f>'Pseudo-load coefficients'!N285</f>
        <v>0.47301198384168502</v>
      </c>
      <c r="O95" s="167">
        <f>'Pseudo-load coefficients'!O285</f>
        <v>0.44619247623997399</v>
      </c>
      <c r="P95" s="167">
        <f>'Pseudo-load coefficients'!P285</f>
        <v>0.40980433350412077</v>
      </c>
      <c r="Q95" s="167">
        <f>'Pseudo-load coefficients'!Q285</f>
        <v>0.67375910700832731</v>
      </c>
      <c r="R95" s="167">
        <f>'Pseudo-load coefficients'!R285</f>
        <v>0.37741802224329329</v>
      </c>
      <c r="S95" s="167">
        <f>'Pseudo-load coefficients'!S285</f>
        <v>0.37741802224329329</v>
      </c>
      <c r="T95" s="167">
        <f>'Pseudo-load coefficients'!T285</f>
        <v>0.37741802224329329</v>
      </c>
      <c r="U95" s="167">
        <f>'Pseudo-load coefficients'!U285</f>
        <v>0.37741802224329329</v>
      </c>
      <c r="V95" s="167">
        <f>'Pseudo-load coefficients'!V285</f>
        <v>0.37741802224329329</v>
      </c>
      <c r="W95" s="167">
        <f>'Pseudo-load coefficients'!W285</f>
        <v>0.37741802224329329</v>
      </c>
      <c r="X95" s="167">
        <f>'Pseudo-load coefficients'!X285</f>
        <v>0.37741802224329329</v>
      </c>
      <c r="Y95" s="167">
        <f>'Pseudo-load coefficients'!Y285</f>
        <v>0.37741802224329329</v>
      </c>
      <c r="AQ95" s="3"/>
    </row>
    <row r="96" spans="5:43" x14ac:dyDescent="0.25">
      <c r="E96" s="75"/>
      <c r="F96" t="s">
        <v>195</v>
      </c>
      <c r="G96" t="s">
        <v>284</v>
      </c>
      <c r="J96" s="167">
        <f>'Pseudo-load coefficients'!J286</f>
        <v>1.7300813910720054</v>
      </c>
      <c r="K96" s="167">
        <f>'Pseudo-load coefficients'!K286</f>
        <v>1.7300813910720054</v>
      </c>
      <c r="L96" s="167">
        <f>'Pseudo-load coefficients'!L286</f>
        <v>1.692566879675353</v>
      </c>
      <c r="M96" s="167">
        <f>'Pseudo-load coefficients'!M286</f>
        <v>1.692566879675353</v>
      </c>
      <c r="N96" s="167">
        <f>'Pseudo-load coefficients'!N286</f>
        <v>1.3046707656588608</v>
      </c>
      <c r="O96" s="167">
        <f>'Pseudo-load coefficients'!O286</f>
        <v>1.2306966831564834</v>
      </c>
      <c r="P96" s="167">
        <f>'Pseudo-load coefficients'!P286</f>
        <v>1.1303302069025138</v>
      </c>
      <c r="Q96" s="167">
        <f>'Pseudo-load coefficients'!Q286</f>
        <v>1.2892178735875566</v>
      </c>
      <c r="R96" s="167">
        <f>'Pseudo-load coefficients'!R286</f>
        <v>1.0410016593119056</v>
      </c>
      <c r="S96" s="167">
        <f>'Pseudo-load coefficients'!S286</f>
        <v>1.0410016593119056</v>
      </c>
      <c r="T96" s="167">
        <f>'Pseudo-load coefficients'!T286</f>
        <v>1.0410016593119056</v>
      </c>
      <c r="U96" s="167">
        <f>'Pseudo-load coefficients'!U286</f>
        <v>1.0410016593119056</v>
      </c>
      <c r="V96" s="167">
        <f>'Pseudo-load coefficients'!V286</f>
        <v>1.0410016593119056</v>
      </c>
      <c r="W96" s="167">
        <f>'Pseudo-load coefficients'!W286</f>
        <v>1.0410016593119056</v>
      </c>
      <c r="X96" s="167">
        <f>'Pseudo-load coefficients'!X286</f>
        <v>1.0410016593119056</v>
      </c>
      <c r="Y96" s="167">
        <f>'Pseudo-load coefficients'!Y286</f>
        <v>1.0410016593119056</v>
      </c>
      <c r="AQ96" s="3"/>
    </row>
    <row r="97" spans="5:43" x14ac:dyDescent="0.25">
      <c r="E97" s="75"/>
      <c r="F97" t="s">
        <v>196</v>
      </c>
      <c r="G97" t="s">
        <v>284</v>
      </c>
      <c r="J97" s="167">
        <f>'Pseudo-load coefficients'!J287</f>
        <v>1.7300813910720054</v>
      </c>
      <c r="K97" s="167">
        <f>'Pseudo-load coefficients'!K287</f>
        <v>1.7300813910720054</v>
      </c>
      <c r="L97" s="167">
        <f>'Pseudo-load coefficients'!L287</f>
        <v>1.692566879675353</v>
      </c>
      <c r="M97" s="167">
        <f>'Pseudo-load coefficients'!M287</f>
        <v>1.692566879675353</v>
      </c>
      <c r="N97" s="167">
        <f>'Pseudo-load coefficients'!N287</f>
        <v>1.3046707656588608</v>
      </c>
      <c r="O97" s="167">
        <f>'Pseudo-load coefficients'!O287</f>
        <v>1.2306966831564834</v>
      </c>
      <c r="P97" s="167">
        <f>'Pseudo-load coefficients'!P287</f>
        <v>1.1303302069025138</v>
      </c>
      <c r="Q97" s="167">
        <f>'Pseudo-load coefficients'!Q287</f>
        <v>1.2892178735875566</v>
      </c>
      <c r="R97" s="167">
        <f>'Pseudo-load coefficients'!R287</f>
        <v>1.0410016593119056</v>
      </c>
      <c r="S97" s="167">
        <f>'Pseudo-load coefficients'!S287</f>
        <v>1.0410016593119056</v>
      </c>
      <c r="T97" s="167">
        <f>'Pseudo-load coefficients'!T287</f>
        <v>1.0410016593119056</v>
      </c>
      <c r="U97" s="167">
        <f>'Pseudo-load coefficients'!U287</f>
        <v>1.0410016593119056</v>
      </c>
      <c r="V97" s="167">
        <f>'Pseudo-load coefficients'!V287</f>
        <v>1.0410016593119056</v>
      </c>
      <c r="W97" s="167">
        <f>'Pseudo-load coefficients'!W287</f>
        <v>1.0410016593119056</v>
      </c>
      <c r="X97" s="167">
        <f>'Pseudo-load coefficients'!X287</f>
        <v>1.0410016593119056</v>
      </c>
      <c r="Y97" s="167">
        <f>'Pseudo-load coefficients'!Y287</f>
        <v>1.0410016593119056</v>
      </c>
      <c r="AQ97" s="3"/>
    </row>
    <row r="98" spans="5:43" x14ac:dyDescent="0.25">
      <c r="E98" s="75"/>
      <c r="F98" t="s">
        <v>197</v>
      </c>
      <c r="G98" t="s">
        <v>284</v>
      </c>
      <c r="J98" s="167">
        <f>'Pseudo-load coefficients'!J288</f>
        <v>0.62724577919494018</v>
      </c>
      <c r="K98" s="167">
        <f>'Pseudo-load coefficients'!K288</f>
        <v>0.62724577919494018</v>
      </c>
      <c r="L98" s="167">
        <f>'Pseudo-load coefficients'!L288</f>
        <v>0.61364478963829849</v>
      </c>
      <c r="M98" s="167">
        <f>'Pseudo-load coefficients'!M288</f>
        <v>0.61364478963829849</v>
      </c>
      <c r="N98" s="167">
        <f>'Pseudo-load coefficients'!N288</f>
        <v>0.47301198384168502</v>
      </c>
      <c r="O98" s="167">
        <f>'Pseudo-load coefficients'!O288</f>
        <v>0.44619247623997399</v>
      </c>
      <c r="P98" s="167">
        <f>'Pseudo-load coefficients'!P288</f>
        <v>0.40980433350412077</v>
      </c>
      <c r="Q98" s="167">
        <f>'Pseudo-load coefficients'!Q288</f>
        <v>0.67375910700832731</v>
      </c>
      <c r="R98" s="167">
        <f>'Pseudo-load coefficients'!R288</f>
        <v>0.37741802224329329</v>
      </c>
      <c r="S98" s="167">
        <f>'Pseudo-load coefficients'!S288</f>
        <v>0.37741802224329329</v>
      </c>
      <c r="T98" s="167">
        <f>'Pseudo-load coefficients'!T288</f>
        <v>0.37741802224329329</v>
      </c>
      <c r="U98" s="167">
        <f>'Pseudo-load coefficients'!U288</f>
        <v>0.37741802224329329</v>
      </c>
      <c r="V98" s="167">
        <f>'Pseudo-load coefficients'!V288</f>
        <v>0.37741802224329329</v>
      </c>
      <c r="W98" s="167">
        <f>'Pseudo-load coefficients'!W288</f>
        <v>0.37741802224329329</v>
      </c>
      <c r="X98" s="167">
        <f>'Pseudo-load coefficients'!X288</f>
        <v>0.37741802224329329</v>
      </c>
      <c r="Y98" s="167">
        <f>'Pseudo-load coefficients'!Y288</f>
        <v>0.37741802224329329</v>
      </c>
      <c r="AQ98" s="3"/>
    </row>
    <row r="99" spans="5:43" x14ac:dyDescent="0.25">
      <c r="E99" s="75"/>
      <c r="F99" t="s">
        <v>198</v>
      </c>
      <c r="G99" t="s">
        <v>284</v>
      </c>
      <c r="J99" s="167">
        <f>'Pseudo-load coefficients'!J289</f>
        <v>1.7300813910720054</v>
      </c>
      <c r="K99" s="167">
        <f>'Pseudo-load coefficients'!K289</f>
        <v>1.7300813910720054</v>
      </c>
      <c r="L99" s="167">
        <f>'Pseudo-load coefficients'!L289</f>
        <v>1.692566879675353</v>
      </c>
      <c r="M99" s="167">
        <f>'Pseudo-load coefficients'!M289</f>
        <v>1.692566879675353</v>
      </c>
      <c r="N99" s="167">
        <f>'Pseudo-load coefficients'!N289</f>
        <v>1.3046707656588608</v>
      </c>
      <c r="O99" s="167">
        <f>'Pseudo-load coefficients'!O289</f>
        <v>1.2306966831564834</v>
      </c>
      <c r="P99" s="167">
        <f>'Pseudo-load coefficients'!P289</f>
        <v>1.1303302069025138</v>
      </c>
      <c r="Q99" s="167">
        <f>'Pseudo-load coefficients'!Q289</f>
        <v>1.2892178735875566</v>
      </c>
      <c r="R99" s="167">
        <f>'Pseudo-load coefficients'!R289</f>
        <v>1.0410016593119056</v>
      </c>
      <c r="S99" s="167">
        <f>'Pseudo-load coefficients'!S289</f>
        <v>1.0410016593119056</v>
      </c>
      <c r="T99" s="167">
        <f>'Pseudo-load coefficients'!T289</f>
        <v>1.0410016593119056</v>
      </c>
      <c r="U99" s="167">
        <f>'Pseudo-load coefficients'!U289</f>
        <v>1.0410016593119056</v>
      </c>
      <c r="V99" s="167">
        <f>'Pseudo-load coefficients'!V289</f>
        <v>1.0410016593119056</v>
      </c>
      <c r="W99" s="167">
        <f>'Pseudo-load coefficients'!W289</f>
        <v>1.0410016593119056</v>
      </c>
      <c r="X99" s="167">
        <f>'Pseudo-load coefficients'!X289</f>
        <v>1.0410016593119056</v>
      </c>
      <c r="Y99" s="167">
        <f>'Pseudo-load coefficients'!Y289</f>
        <v>1.0410016593119056</v>
      </c>
      <c r="AQ99" s="3"/>
    </row>
    <row r="100" spans="5:43" x14ac:dyDescent="0.25">
      <c r="E100" s="75"/>
      <c r="F100" t="s">
        <v>199</v>
      </c>
      <c r="G100" t="s">
        <v>284</v>
      </c>
      <c r="J100" s="167">
        <f>'Pseudo-load coefficients'!J290</f>
        <v>1.7300813910720054</v>
      </c>
      <c r="K100" s="167">
        <f>'Pseudo-load coefficients'!K290</f>
        <v>1.7300813910720054</v>
      </c>
      <c r="L100" s="167">
        <f>'Pseudo-load coefficients'!L290</f>
        <v>1.692566879675353</v>
      </c>
      <c r="M100" s="167">
        <f>'Pseudo-load coefficients'!M290</f>
        <v>1.692566879675353</v>
      </c>
      <c r="N100" s="167">
        <f>'Pseudo-load coefficients'!N290</f>
        <v>1.3046707656588608</v>
      </c>
      <c r="O100" s="167">
        <f>'Pseudo-load coefficients'!O290</f>
        <v>1.2306966831564834</v>
      </c>
      <c r="P100" s="167">
        <f>'Pseudo-load coefficients'!P290</f>
        <v>1.1303302069025138</v>
      </c>
      <c r="Q100" s="167">
        <f>'Pseudo-load coefficients'!Q290</f>
        <v>1.2892178735875566</v>
      </c>
      <c r="R100" s="167">
        <f>'Pseudo-load coefficients'!R290</f>
        <v>1.0410016593119056</v>
      </c>
      <c r="S100" s="167">
        <f>'Pseudo-load coefficients'!S290</f>
        <v>1.0410016593119056</v>
      </c>
      <c r="T100" s="167">
        <f>'Pseudo-load coefficients'!T290</f>
        <v>1.0410016593119056</v>
      </c>
      <c r="U100" s="167">
        <f>'Pseudo-load coefficients'!U290</f>
        <v>1.0410016593119056</v>
      </c>
      <c r="V100" s="167">
        <f>'Pseudo-load coefficients'!V290</f>
        <v>1.0410016593119056</v>
      </c>
      <c r="W100" s="167">
        <f>'Pseudo-load coefficients'!W290</f>
        <v>1.0410016593119056</v>
      </c>
      <c r="X100" s="167">
        <f>'Pseudo-load coefficients'!X290</f>
        <v>1.0410016593119056</v>
      </c>
      <c r="Y100" s="167">
        <f>'Pseudo-load coefficients'!Y290</f>
        <v>1.0410016593119056</v>
      </c>
      <c r="AQ100" s="3"/>
    </row>
    <row r="101" spans="5:43" x14ac:dyDescent="0.25">
      <c r="E101" s="75"/>
      <c r="F101" s="96" t="s">
        <v>200</v>
      </c>
      <c r="G101" s="96" t="s">
        <v>284</v>
      </c>
      <c r="H101" s="96"/>
      <c r="I101" s="96"/>
      <c r="J101" s="172">
        <f>'Pseudo-load coefficients'!J291</f>
        <v>1.7300813910720054</v>
      </c>
      <c r="K101" s="172">
        <f>'Pseudo-load coefficients'!K291</f>
        <v>1.7300813910720054</v>
      </c>
      <c r="L101" s="172">
        <f>'Pseudo-load coefficients'!L291</f>
        <v>1.692566879675353</v>
      </c>
      <c r="M101" s="172">
        <f>'Pseudo-load coefficients'!M291</f>
        <v>1.692566879675353</v>
      </c>
      <c r="N101" s="172">
        <f>'Pseudo-load coefficients'!N291</f>
        <v>1.3046707656588608</v>
      </c>
      <c r="O101" s="172">
        <f>'Pseudo-load coefficients'!O291</f>
        <v>1.2306966831564834</v>
      </c>
      <c r="P101" s="172">
        <f>'Pseudo-load coefficients'!P291</f>
        <v>1.1303302069025138</v>
      </c>
      <c r="Q101" s="172">
        <f>'Pseudo-load coefficients'!Q291</f>
        <v>1.2892178735875566</v>
      </c>
      <c r="R101" s="172">
        <f>'Pseudo-load coefficients'!R291</f>
        <v>1.0410016593119056</v>
      </c>
      <c r="S101" s="172">
        <f>'Pseudo-load coefficients'!S291</f>
        <v>1.0410016593119056</v>
      </c>
      <c r="T101" s="172">
        <f>'Pseudo-load coefficients'!T291</f>
        <v>1.0410016593119056</v>
      </c>
      <c r="U101" s="172">
        <f>'Pseudo-load coefficients'!U291</f>
        <v>1.0410016593119056</v>
      </c>
      <c r="V101" s="172">
        <f>'Pseudo-load coefficients'!V291</f>
        <v>1.0410016593119056</v>
      </c>
      <c r="W101" s="172">
        <f>'Pseudo-load coefficients'!W291</f>
        <v>1.0410016593119056</v>
      </c>
      <c r="X101" s="172">
        <f>'Pseudo-load coefficients'!X291</f>
        <v>1.0410016593119056</v>
      </c>
      <c r="Y101" s="172">
        <f>'Pseudo-load coefficients'!Y291</f>
        <v>1.0410016593119056</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469</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470</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192</v>
      </c>
      <c r="G105" s="95" t="s">
        <v>173</v>
      </c>
      <c r="H105" s="95"/>
      <c r="I105" s="95"/>
      <c r="J105" s="223">
        <f t="shared" ref="J105:Y105" si="10">J$57 * J34 * J93 / hours_in_year / $H45</f>
        <v>68.531174935206323</v>
      </c>
      <c r="K105" s="223">
        <f t="shared" si="10"/>
        <v>8.5134774213104197E-2</v>
      </c>
      <c r="L105" s="223">
        <f t="shared" si="10"/>
        <v>26.564150656083157</v>
      </c>
      <c r="M105" s="223">
        <f t="shared" si="10"/>
        <v>4.5872299909478276E-2</v>
      </c>
      <c r="N105" s="223">
        <f t="shared" si="10"/>
        <v>14.273460733704601</v>
      </c>
      <c r="O105" s="223">
        <f t="shared" si="10"/>
        <v>6.076936221502236</v>
      </c>
      <c r="P105" s="223">
        <f t="shared" si="10"/>
        <v>16.437890236894518</v>
      </c>
      <c r="Q105" s="223">
        <f t="shared" si="10"/>
        <v>1.0403753183524904</v>
      </c>
      <c r="R105" s="223">
        <f t="shared" si="10"/>
        <v>-2.1695064728382407</v>
      </c>
      <c r="S105" s="223">
        <f t="shared" si="10"/>
        <v>-0.19904553232184524</v>
      </c>
      <c r="T105" s="223">
        <f t="shared" si="10"/>
        <v>-0.74740480166338052</v>
      </c>
      <c r="U105" s="223">
        <f t="shared" si="10"/>
        <v>0</v>
      </c>
      <c r="V105" s="223">
        <f t="shared" si="10"/>
        <v>0</v>
      </c>
      <c r="W105" s="223">
        <f t="shared" si="10"/>
        <v>0</v>
      </c>
      <c r="X105" s="223">
        <f t="shared" si="10"/>
        <v>-5.4665266859849702</v>
      </c>
      <c r="Y105" s="223">
        <f t="shared" si="10"/>
        <v>0</v>
      </c>
      <c r="AQ105" s="3"/>
    </row>
    <row r="106" spans="5:43" x14ac:dyDescent="0.25">
      <c r="E106" s="75"/>
      <c r="F106" t="s">
        <v>193</v>
      </c>
      <c r="G106" t="s">
        <v>173</v>
      </c>
      <c r="J106" s="106">
        <f t="shared" ref="J106:Y106" si="11">J$57 * J35 * J94 / hours_in_year / $H46</f>
        <v>176.22923006421894</v>
      </c>
      <c r="K106" s="106">
        <f t="shared" si="11"/>
        <v>0.21892570389244712</v>
      </c>
      <c r="L106" s="106">
        <f t="shared" si="11"/>
        <v>68.310222637471512</v>
      </c>
      <c r="M106" s="106">
        <f t="shared" si="11"/>
        <v>0.11796149857295538</v>
      </c>
      <c r="N106" s="106">
        <f t="shared" si="11"/>
        <v>36.7044778939051</v>
      </c>
      <c r="O106" s="106">
        <f t="shared" si="11"/>
        <v>15.626957986306683</v>
      </c>
      <c r="P106" s="106">
        <f t="shared" si="11"/>
        <v>42.270349852704449</v>
      </c>
      <c r="Q106" s="106">
        <f t="shared" si="11"/>
        <v>2.4759297725503986</v>
      </c>
      <c r="R106" s="106">
        <f t="shared" si="11"/>
        <v>-5.5789274835737412</v>
      </c>
      <c r="S106" s="106">
        <f t="shared" si="11"/>
        <v>-0.51184940199793727</v>
      </c>
      <c r="T106" s="106">
        <f t="shared" si="11"/>
        <v>-1.9219657749625485</v>
      </c>
      <c r="U106" s="106">
        <f t="shared" si="11"/>
        <v>0</v>
      </c>
      <c r="V106" s="106">
        <f t="shared" si="11"/>
        <v>0</v>
      </c>
      <c r="W106" s="106">
        <f t="shared" si="11"/>
        <v>0</v>
      </c>
      <c r="X106" s="106">
        <f t="shared" si="11"/>
        <v>-14.057278164389567</v>
      </c>
      <c r="Y106" s="106">
        <f t="shared" si="11"/>
        <v>0</v>
      </c>
      <c r="AQ106" s="3"/>
    </row>
    <row r="107" spans="5:43" x14ac:dyDescent="0.25">
      <c r="E107" s="75"/>
      <c r="F107" t="s">
        <v>194</v>
      </c>
      <c r="G107" t="s">
        <v>173</v>
      </c>
      <c r="J107" s="106">
        <f t="shared" ref="J107:Y107" si="12">J$57 * J36 * J95 / hours_in_year / $H47</f>
        <v>175.52782019331656</v>
      </c>
      <c r="K107" s="106">
        <f t="shared" si="12"/>
        <v>0.21805435780730306</v>
      </c>
      <c r="L107" s="106">
        <f t="shared" si="12"/>
        <v>68.038341154337303</v>
      </c>
      <c r="M107" s="106">
        <f t="shared" si="12"/>
        <v>0.11749200007117247</v>
      </c>
      <c r="N107" s="106">
        <f t="shared" si="12"/>
        <v>36.558390419700501</v>
      </c>
      <c r="O107" s="106">
        <f t="shared" si="12"/>
        <v>15.564761138599989</v>
      </c>
      <c r="P107" s="106">
        <f t="shared" si="12"/>
        <v>42.102109654285726</v>
      </c>
      <c r="Q107" s="106">
        <f t="shared" si="12"/>
        <v>2.4660753256944767</v>
      </c>
      <c r="R107" s="106">
        <f t="shared" si="12"/>
        <v>-5.5567227970719557</v>
      </c>
      <c r="S107" s="106">
        <f t="shared" si="12"/>
        <v>-0.50981219044769677</v>
      </c>
      <c r="T107" s="106">
        <f t="shared" si="12"/>
        <v>-1.9143161599378218</v>
      </c>
      <c r="U107" s="106">
        <f t="shared" si="12"/>
        <v>0</v>
      </c>
      <c r="V107" s="106">
        <f t="shared" si="12"/>
        <v>0</v>
      </c>
      <c r="W107" s="106">
        <f t="shared" si="12"/>
        <v>0</v>
      </c>
      <c r="X107" s="106">
        <f t="shared" si="12"/>
        <v>-14.001328798561151</v>
      </c>
      <c r="Y107" s="106">
        <f t="shared" si="12"/>
        <v>0</v>
      </c>
      <c r="AQ107" s="3"/>
    </row>
    <row r="108" spans="5:43" x14ac:dyDescent="0.25">
      <c r="E108" s="75"/>
      <c r="F108" t="s">
        <v>195</v>
      </c>
      <c r="G108" t="s">
        <v>173</v>
      </c>
      <c r="J108" s="106">
        <f t="shared" ref="J108:Y108" si="13">J$57 * J37 * J96 / hours_in_year / $H48</f>
        <v>480.79539130165904</v>
      </c>
      <c r="K108" s="106">
        <f t="shared" si="13"/>
        <v>0.59728156010557087</v>
      </c>
      <c r="L108" s="106">
        <f t="shared" si="13"/>
        <v>186.36658748902374</v>
      </c>
      <c r="M108" s="106">
        <f t="shared" si="13"/>
        <v>0.32182711599118241</v>
      </c>
      <c r="N108" s="106">
        <f t="shared" si="13"/>
        <v>100.13857408951056</v>
      </c>
      <c r="O108" s="106">
        <f t="shared" si="13"/>
        <v>42.63407027961815</v>
      </c>
      <c r="P108" s="106">
        <f t="shared" si="13"/>
        <v>115.32360091730014</v>
      </c>
      <c r="Q108" s="106">
        <f t="shared" si="13"/>
        <v>4.6861216287940426</v>
      </c>
      <c r="R108" s="106">
        <f t="shared" si="13"/>
        <v>-15.220645414673617</v>
      </c>
      <c r="S108" s="106">
        <f t="shared" si="13"/>
        <v>-1.3964473057701043</v>
      </c>
      <c r="T108" s="106">
        <f t="shared" si="13"/>
        <v>-5.2435812521270018</v>
      </c>
      <c r="U108" s="106">
        <f t="shared" si="13"/>
        <v>0</v>
      </c>
      <c r="V108" s="106">
        <f t="shared" si="13"/>
        <v>0</v>
      </c>
      <c r="W108" s="106">
        <f t="shared" si="13"/>
        <v>0</v>
      </c>
      <c r="X108" s="106">
        <f t="shared" si="13"/>
        <v>-38.351609169608523</v>
      </c>
      <c r="Y108" s="106">
        <f t="shared" si="13"/>
        <v>0</v>
      </c>
      <c r="AQ108" s="3"/>
    </row>
    <row r="109" spans="5:43" x14ac:dyDescent="0.25">
      <c r="E109" s="75"/>
      <c r="F109" t="s">
        <v>196</v>
      </c>
      <c r="G109" t="s">
        <v>173</v>
      </c>
      <c r="J109" s="106">
        <f t="shared" ref="J109:Y109" si="14">J$57 * J38 * J97 / hours_in_year / $H49</f>
        <v>477.96162671638405</v>
      </c>
      <c r="K109" s="106">
        <f t="shared" si="14"/>
        <v>0.5937612365686028</v>
      </c>
      <c r="L109" s="106">
        <f t="shared" si="14"/>
        <v>185.26815966492339</v>
      </c>
      <c r="M109" s="106">
        <f t="shared" si="14"/>
        <v>0.31993029605410273</v>
      </c>
      <c r="N109" s="106">
        <f t="shared" si="14"/>
        <v>99.54836638367847</v>
      </c>
      <c r="O109" s="106">
        <f t="shared" si="14"/>
        <v>42.382788922370892</v>
      </c>
      <c r="P109" s="106">
        <f t="shared" si="14"/>
        <v>114.64389403566575</v>
      </c>
      <c r="Q109" s="106">
        <f t="shared" si="14"/>
        <v>4.6585020514141169</v>
      </c>
      <c r="R109" s="106">
        <f t="shared" si="14"/>
        <v>-15.130936306139196</v>
      </c>
      <c r="S109" s="106">
        <f t="shared" si="14"/>
        <v>-1.38821677155142</v>
      </c>
      <c r="T109" s="106">
        <f t="shared" si="14"/>
        <v>-5.2126760581066067</v>
      </c>
      <c r="U109" s="106">
        <f t="shared" si="14"/>
        <v>0</v>
      </c>
      <c r="V109" s="106">
        <f t="shared" si="14"/>
        <v>0</v>
      </c>
      <c r="W109" s="106">
        <f t="shared" si="14"/>
        <v>0</v>
      </c>
      <c r="X109" s="106">
        <f t="shared" si="14"/>
        <v>-38.125568251123596</v>
      </c>
      <c r="Y109" s="106">
        <f t="shared" si="14"/>
        <v>0</v>
      </c>
      <c r="AQ109" s="3"/>
    </row>
    <row r="110" spans="5:43" x14ac:dyDescent="0.25">
      <c r="E110" s="75"/>
      <c r="F110" t="s">
        <v>197</v>
      </c>
      <c r="G110" t="s">
        <v>173</v>
      </c>
      <c r="J110" s="106">
        <f t="shared" ref="J110:Y110" si="15">J$57 * J39 * J98 / hours_in_year / $H50</f>
        <v>0</v>
      </c>
      <c r="K110" s="106">
        <f t="shared" si="15"/>
        <v>0</v>
      </c>
      <c r="L110" s="106">
        <f t="shared" si="15"/>
        <v>0</v>
      </c>
      <c r="M110" s="106">
        <f t="shared" si="15"/>
        <v>0</v>
      </c>
      <c r="N110" s="106">
        <f t="shared" si="15"/>
        <v>0</v>
      </c>
      <c r="O110" s="106">
        <f t="shared" si="15"/>
        <v>0</v>
      </c>
      <c r="P110" s="106">
        <f t="shared" si="15"/>
        <v>0</v>
      </c>
      <c r="Q110" s="106">
        <f t="shared" si="15"/>
        <v>0</v>
      </c>
      <c r="R110" s="106">
        <f t="shared" si="15"/>
        <v>0</v>
      </c>
      <c r="S110" s="106">
        <f t="shared" si="15"/>
        <v>0</v>
      </c>
      <c r="T110" s="106">
        <f t="shared" si="15"/>
        <v>0</v>
      </c>
      <c r="U110" s="106">
        <f t="shared" si="15"/>
        <v>0</v>
      </c>
      <c r="V110" s="106">
        <f t="shared" si="15"/>
        <v>0</v>
      </c>
      <c r="W110" s="106">
        <f t="shared" si="15"/>
        <v>0</v>
      </c>
      <c r="X110" s="106">
        <f t="shared" si="15"/>
        <v>0</v>
      </c>
      <c r="Y110" s="106">
        <f t="shared" si="15"/>
        <v>0</v>
      </c>
      <c r="AQ110" s="3"/>
    </row>
    <row r="111" spans="5:43" x14ac:dyDescent="0.25">
      <c r="E111" s="75"/>
      <c r="F111" t="s">
        <v>198</v>
      </c>
      <c r="G111" t="s">
        <v>173</v>
      </c>
      <c r="J111" s="106">
        <f t="shared" ref="J111:Y111" si="16">J$57 * J40 * J99 / hours_in_year / $H51</f>
        <v>470.565702125028</v>
      </c>
      <c r="K111" s="106">
        <f t="shared" si="16"/>
        <v>0.58457344180545234</v>
      </c>
      <c r="L111" s="106">
        <f t="shared" si="16"/>
        <v>182.40134094670407</v>
      </c>
      <c r="M111" s="106">
        <f t="shared" si="16"/>
        <v>0.31497973054456146</v>
      </c>
      <c r="N111" s="106">
        <f t="shared" si="16"/>
        <v>98.007966130159261</v>
      </c>
      <c r="O111" s="106">
        <f t="shared" si="16"/>
        <v>41.7269624013284</v>
      </c>
      <c r="P111" s="106">
        <f t="shared" si="16"/>
        <v>112.86990728076184</v>
      </c>
      <c r="Q111" s="106">
        <f t="shared" si="16"/>
        <v>4.5864169132877866</v>
      </c>
      <c r="R111" s="106">
        <f t="shared" si="16"/>
        <v>-14.896801895212477</v>
      </c>
      <c r="S111" s="106">
        <f t="shared" si="16"/>
        <v>-1.3667356609664849</v>
      </c>
      <c r="T111" s="106">
        <f t="shared" si="16"/>
        <v>-5.1320156935711081</v>
      </c>
      <c r="U111" s="106">
        <f t="shared" si="16"/>
        <v>0</v>
      </c>
      <c r="V111" s="106">
        <f t="shared" si="16"/>
        <v>0</v>
      </c>
      <c r="W111" s="106">
        <f t="shared" si="16"/>
        <v>0</v>
      </c>
      <c r="X111" s="106">
        <f t="shared" si="16"/>
        <v>0</v>
      </c>
      <c r="Y111" s="106">
        <f t="shared" si="16"/>
        <v>0</v>
      </c>
      <c r="AQ111" s="3"/>
    </row>
    <row r="112" spans="5:43" x14ac:dyDescent="0.25">
      <c r="E112" s="75"/>
      <c r="F112" t="s">
        <v>199</v>
      </c>
      <c r="G112" t="s">
        <v>173</v>
      </c>
      <c r="J112" s="106">
        <f t="shared" ref="J112:Y112" si="17">J$57 * J41 * J100 / hours_in_year / $H52</f>
        <v>464.27951908137305</v>
      </c>
      <c r="K112" s="106">
        <f t="shared" si="17"/>
        <v>0.5767642546057612</v>
      </c>
      <c r="L112" s="106">
        <f t="shared" si="17"/>
        <v>179.96468181191986</v>
      </c>
      <c r="M112" s="106">
        <f t="shared" si="17"/>
        <v>0.31077198605255396</v>
      </c>
      <c r="N112" s="106">
        <f t="shared" si="17"/>
        <v>96.698699407046448</v>
      </c>
      <c r="O112" s="106">
        <f t="shared" si="17"/>
        <v>41.169541147875542</v>
      </c>
      <c r="P112" s="106">
        <f t="shared" si="17"/>
        <v>0</v>
      </c>
      <c r="Q112" s="106">
        <f t="shared" si="17"/>
        <v>4.5251479850568428</v>
      </c>
      <c r="R112" s="106">
        <f t="shared" si="17"/>
        <v>-14.697798816459638</v>
      </c>
      <c r="S112" s="106">
        <f t="shared" si="17"/>
        <v>0</v>
      </c>
      <c r="T112" s="106">
        <f t="shared" si="17"/>
        <v>-5.0634582320157682</v>
      </c>
      <c r="U112" s="106">
        <f t="shared" si="17"/>
        <v>0</v>
      </c>
      <c r="V112" s="106">
        <f t="shared" si="17"/>
        <v>0</v>
      </c>
      <c r="W112" s="106">
        <f t="shared" si="17"/>
        <v>0</v>
      </c>
      <c r="X112" s="106">
        <f t="shared" si="17"/>
        <v>0</v>
      </c>
      <c r="Y112" s="106">
        <f t="shared" si="17"/>
        <v>0</v>
      </c>
      <c r="AQ112" s="3"/>
    </row>
    <row r="113" spans="5:43" x14ac:dyDescent="0.25">
      <c r="E113" s="75"/>
      <c r="F113" s="96" t="s">
        <v>200</v>
      </c>
      <c r="G113" s="96" t="s">
        <v>173</v>
      </c>
      <c r="H113" s="96"/>
      <c r="I113" s="96"/>
      <c r="J113" s="196">
        <f t="shared" ref="J113:Y113" si="18">J$57 * J42 * J101 / hours_in_year / $H53</f>
        <v>458.15907344376546</v>
      </c>
      <c r="K113" s="196">
        <f t="shared" si="18"/>
        <v>0.56916095934730482</v>
      </c>
      <c r="L113" s="196">
        <f t="shared" si="18"/>
        <v>177.59226604415443</v>
      </c>
      <c r="M113" s="196">
        <f t="shared" si="18"/>
        <v>0.30667518021005324</v>
      </c>
      <c r="N113" s="196">
        <f t="shared" si="18"/>
        <v>95.423951957236042</v>
      </c>
      <c r="O113" s="196">
        <f t="shared" si="18"/>
        <v>0</v>
      </c>
      <c r="P113" s="196">
        <f t="shared" si="18"/>
        <v>0</v>
      </c>
      <c r="Q113" s="196">
        <f t="shared" si="18"/>
        <v>4.4654944334647562</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471</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192</v>
      </c>
      <c r="G116" s="95" t="s">
        <v>284</v>
      </c>
      <c r="H116" s="95"/>
      <c r="I116" s="95"/>
      <c r="J116" s="171">
        <f>'Pseudo-load coefficients'!J294</f>
        <v>0</v>
      </c>
      <c r="K116" s="171">
        <f>'Pseudo-load coefficients'!K294</f>
        <v>0</v>
      </c>
      <c r="L116" s="171">
        <f>'Pseudo-load coefficients'!L294</f>
        <v>0</v>
      </c>
      <c r="M116" s="171">
        <f>'Pseudo-load coefficients'!M294</f>
        <v>0</v>
      </c>
      <c r="N116" s="171">
        <f>'Pseudo-load coefficients'!N294</f>
        <v>0</v>
      </c>
      <c r="O116" s="171">
        <f>'Pseudo-load coefficients'!O294</f>
        <v>0</v>
      </c>
      <c r="P116" s="171">
        <f>'Pseudo-load coefficients'!P294</f>
        <v>0</v>
      </c>
      <c r="Q116" s="171">
        <f>'Pseudo-load coefficients'!Q294</f>
        <v>0</v>
      </c>
      <c r="R116" s="171">
        <f>'Pseudo-load coefficients'!R294</f>
        <v>0</v>
      </c>
      <c r="S116" s="171">
        <f>'Pseudo-load coefficients'!S294</f>
        <v>0</v>
      </c>
      <c r="T116" s="171">
        <f>'Pseudo-load coefficients'!T294</f>
        <v>0</v>
      </c>
      <c r="U116" s="171">
        <f>'Pseudo-load coefficients'!U294</f>
        <v>0</v>
      </c>
      <c r="V116" s="171">
        <f>'Pseudo-load coefficients'!V294</f>
        <v>0</v>
      </c>
      <c r="W116" s="171">
        <f>'Pseudo-load coefficients'!W294</f>
        <v>0</v>
      </c>
      <c r="X116" s="171">
        <f>'Pseudo-load coefficients'!X294</f>
        <v>0</v>
      </c>
      <c r="Y116" s="171">
        <f>'Pseudo-load coefficients'!Y294</f>
        <v>0</v>
      </c>
      <c r="AQ116" s="3"/>
    </row>
    <row r="117" spans="5:43" x14ac:dyDescent="0.25">
      <c r="E117" s="75"/>
      <c r="F117" t="s">
        <v>193</v>
      </c>
      <c r="G117" t="s">
        <v>284</v>
      </c>
      <c r="J117" s="167">
        <f>'Pseudo-load coefficients'!J295</f>
        <v>8.9015287247378935E-2</v>
      </c>
      <c r="K117" s="167">
        <f>'Pseudo-load coefficients'!K295</f>
        <v>8.9015287247378935E-2</v>
      </c>
      <c r="L117" s="167">
        <f>'Pseudo-load coefficients'!L295</f>
        <v>8.708510926549283E-2</v>
      </c>
      <c r="M117" s="167">
        <f>'Pseudo-load coefficients'!M295</f>
        <v>8.708510926549283E-2</v>
      </c>
      <c r="N117" s="167">
        <f>'Pseudo-load coefficients'!N295</f>
        <v>6.7127271333992267E-2</v>
      </c>
      <c r="O117" s="167">
        <f>'Pseudo-load coefficients'!O295</f>
        <v>6.3321193633375947E-2</v>
      </c>
      <c r="P117" s="167">
        <f>'Pseudo-load coefficients'!P295</f>
        <v>5.8157187616168567E-2</v>
      </c>
      <c r="Q117" s="167">
        <f>'Pseudo-load coefficients'!Q295</f>
        <v>6.4449954388933417E-2</v>
      </c>
      <c r="R117" s="167">
        <f>'Pseudo-load coefficients'!R295</f>
        <v>5.3561099614642747E-2</v>
      </c>
      <c r="S117" s="167">
        <f>'Pseudo-load coefficients'!S295</f>
        <v>5.3561099614642747E-2</v>
      </c>
      <c r="T117" s="167">
        <f>'Pseudo-load coefficients'!T295</f>
        <v>5.3561099614642747E-2</v>
      </c>
      <c r="U117" s="167">
        <f>'Pseudo-load coefficients'!U295</f>
        <v>5.3561099614642747E-2</v>
      </c>
      <c r="V117" s="167">
        <f>'Pseudo-load coefficients'!V295</f>
        <v>5.3561099614642747E-2</v>
      </c>
      <c r="W117" s="167">
        <f>'Pseudo-load coefficients'!W295</f>
        <v>5.3561099614642747E-2</v>
      </c>
      <c r="X117" s="167">
        <f>'Pseudo-load coefficients'!X295</f>
        <v>5.3561099614642747E-2</v>
      </c>
      <c r="Y117" s="167">
        <f>'Pseudo-load coefficients'!Y295</f>
        <v>5.3561099614642747E-2</v>
      </c>
      <c r="AQ117" s="3"/>
    </row>
    <row r="118" spans="5:43" x14ac:dyDescent="0.25">
      <c r="E118" s="75"/>
      <c r="F118" t="s">
        <v>194</v>
      </c>
      <c r="G118" t="s">
        <v>284</v>
      </c>
      <c r="J118" s="167">
        <f>'Pseudo-load coefficients'!J296</f>
        <v>8.9015287247378935E-2</v>
      </c>
      <c r="K118" s="167">
        <f>'Pseudo-load coefficients'!K296</f>
        <v>8.9015287247378935E-2</v>
      </c>
      <c r="L118" s="167">
        <f>'Pseudo-load coefficients'!L296</f>
        <v>8.708510926549283E-2</v>
      </c>
      <c r="M118" s="167">
        <f>'Pseudo-load coefficients'!M296</f>
        <v>8.708510926549283E-2</v>
      </c>
      <c r="N118" s="167">
        <f>'Pseudo-load coefficients'!N296</f>
        <v>6.7127271333992267E-2</v>
      </c>
      <c r="O118" s="167">
        <f>'Pseudo-load coefficients'!O296</f>
        <v>6.3321193633375947E-2</v>
      </c>
      <c r="P118" s="167">
        <f>'Pseudo-load coefficients'!P296</f>
        <v>5.8157187616168567E-2</v>
      </c>
      <c r="Q118" s="167">
        <f>'Pseudo-load coefficients'!Q296</f>
        <v>6.4449954388933417E-2</v>
      </c>
      <c r="R118" s="167">
        <f>'Pseudo-load coefficients'!R296</f>
        <v>5.3561099614642747E-2</v>
      </c>
      <c r="S118" s="167">
        <f>'Pseudo-load coefficients'!S296</f>
        <v>5.3561099614642747E-2</v>
      </c>
      <c r="T118" s="167">
        <f>'Pseudo-load coefficients'!T296</f>
        <v>5.3561099614642747E-2</v>
      </c>
      <c r="U118" s="167">
        <f>'Pseudo-load coefficients'!U296</f>
        <v>5.3561099614642747E-2</v>
      </c>
      <c r="V118" s="167">
        <f>'Pseudo-load coefficients'!V296</f>
        <v>5.3561099614642747E-2</v>
      </c>
      <c r="W118" s="167">
        <f>'Pseudo-load coefficients'!W296</f>
        <v>5.3561099614642747E-2</v>
      </c>
      <c r="X118" s="167">
        <f>'Pseudo-load coefficients'!X296</f>
        <v>5.3561099614642747E-2</v>
      </c>
      <c r="Y118" s="167">
        <f>'Pseudo-load coefficients'!Y296</f>
        <v>5.3561099614642747E-2</v>
      </c>
      <c r="AQ118" s="3"/>
    </row>
    <row r="119" spans="5:43" x14ac:dyDescent="0.25">
      <c r="E119" s="75"/>
      <c r="F119" t="s">
        <v>195</v>
      </c>
      <c r="G119" t="s">
        <v>284</v>
      </c>
      <c r="J119" s="167">
        <f>'Pseudo-load coefficients'!J297</f>
        <v>0.16270603672730427</v>
      </c>
      <c r="K119" s="167">
        <f>'Pseudo-load coefficients'!K297</f>
        <v>0.16270603672730427</v>
      </c>
      <c r="L119" s="167">
        <f>'Pseudo-load coefficients'!L297</f>
        <v>0.15917797296070399</v>
      </c>
      <c r="M119" s="167">
        <f>'Pseudo-load coefficients'!M297</f>
        <v>0.15917797296070399</v>
      </c>
      <c r="N119" s="167">
        <f>'Pseudo-load coefficients'!N297</f>
        <v>0.12269816357182924</v>
      </c>
      <c r="O119" s="167">
        <f>'Pseudo-load coefficients'!O297</f>
        <v>0.11574124822286834</v>
      </c>
      <c r="P119" s="167">
        <f>'Pseudo-load coefficients'!P297</f>
        <v>0.10630225208324173</v>
      </c>
      <c r="Q119" s="167">
        <f>'Pseudo-load coefficients'!Q297</f>
        <v>0.11780444651868109</v>
      </c>
      <c r="R119" s="167">
        <f>'Pseudo-load coefficients'!R297</f>
        <v>9.7901321340862962E-2</v>
      </c>
      <c r="S119" s="167">
        <f>'Pseudo-load coefficients'!S297</f>
        <v>9.7901321340862962E-2</v>
      </c>
      <c r="T119" s="167">
        <f>'Pseudo-load coefficients'!T297</f>
        <v>9.7901321340862962E-2</v>
      </c>
      <c r="U119" s="167">
        <f>'Pseudo-load coefficients'!U297</f>
        <v>9.7901321340862962E-2</v>
      </c>
      <c r="V119" s="167">
        <f>'Pseudo-load coefficients'!V297</f>
        <v>9.7901321340862962E-2</v>
      </c>
      <c r="W119" s="167">
        <f>'Pseudo-load coefficients'!W297</f>
        <v>9.7901321340862962E-2</v>
      </c>
      <c r="X119" s="167">
        <f>'Pseudo-load coefficients'!X297</f>
        <v>9.7901321340862962E-2</v>
      </c>
      <c r="Y119" s="167">
        <f>'Pseudo-load coefficients'!Y297</f>
        <v>9.7901321340862962E-2</v>
      </c>
      <c r="AQ119" s="3"/>
    </row>
    <row r="120" spans="5:43" x14ac:dyDescent="0.25">
      <c r="E120" s="75"/>
      <c r="F120" t="s">
        <v>196</v>
      </c>
      <c r="G120" t="s">
        <v>284</v>
      </c>
      <c r="J120" s="167">
        <f>'Pseudo-load coefficients'!J298</f>
        <v>0.16270603672730427</v>
      </c>
      <c r="K120" s="167">
        <f>'Pseudo-load coefficients'!K298</f>
        <v>0.16270603672730427</v>
      </c>
      <c r="L120" s="167">
        <f>'Pseudo-load coefficients'!L298</f>
        <v>0.15917797296070399</v>
      </c>
      <c r="M120" s="167">
        <f>'Pseudo-load coefficients'!M298</f>
        <v>0.15917797296070399</v>
      </c>
      <c r="N120" s="167">
        <f>'Pseudo-load coefficients'!N298</f>
        <v>0.12269816357182924</v>
      </c>
      <c r="O120" s="167">
        <f>'Pseudo-load coefficients'!O298</f>
        <v>0.11574124822286834</v>
      </c>
      <c r="P120" s="167">
        <f>'Pseudo-load coefficients'!P298</f>
        <v>0.10630225208324173</v>
      </c>
      <c r="Q120" s="167">
        <f>'Pseudo-load coefficients'!Q298</f>
        <v>0.11780444651868109</v>
      </c>
      <c r="R120" s="167">
        <f>'Pseudo-load coefficients'!R298</f>
        <v>9.7901321340862962E-2</v>
      </c>
      <c r="S120" s="167">
        <f>'Pseudo-load coefficients'!S298</f>
        <v>9.7901321340862962E-2</v>
      </c>
      <c r="T120" s="167">
        <f>'Pseudo-load coefficients'!T298</f>
        <v>9.7901321340862962E-2</v>
      </c>
      <c r="U120" s="167">
        <f>'Pseudo-load coefficients'!U298</f>
        <v>9.7901321340862962E-2</v>
      </c>
      <c r="V120" s="167">
        <f>'Pseudo-load coefficients'!V298</f>
        <v>9.7901321340862962E-2</v>
      </c>
      <c r="W120" s="167">
        <f>'Pseudo-load coefficients'!W298</f>
        <v>9.7901321340862962E-2</v>
      </c>
      <c r="X120" s="167">
        <f>'Pseudo-load coefficients'!X298</f>
        <v>9.7901321340862962E-2</v>
      </c>
      <c r="Y120" s="167">
        <f>'Pseudo-load coefficients'!Y298</f>
        <v>9.7901321340862962E-2</v>
      </c>
      <c r="AQ120" s="3"/>
    </row>
    <row r="121" spans="5:43" x14ac:dyDescent="0.25">
      <c r="E121" s="75"/>
      <c r="F121" t="s">
        <v>197</v>
      </c>
      <c r="G121" t="s">
        <v>284</v>
      </c>
      <c r="J121" s="167">
        <f>'Pseudo-load coefficients'!J299</f>
        <v>8.9015287247378935E-2</v>
      </c>
      <c r="K121" s="167">
        <f>'Pseudo-load coefficients'!K299</f>
        <v>8.9015287247378935E-2</v>
      </c>
      <c r="L121" s="167">
        <f>'Pseudo-load coefficients'!L299</f>
        <v>8.708510926549283E-2</v>
      </c>
      <c r="M121" s="167">
        <f>'Pseudo-load coefficients'!M299</f>
        <v>8.708510926549283E-2</v>
      </c>
      <c r="N121" s="167">
        <f>'Pseudo-load coefficients'!N299</f>
        <v>6.7127271333992267E-2</v>
      </c>
      <c r="O121" s="167">
        <f>'Pseudo-load coefficients'!O299</f>
        <v>6.3321193633375947E-2</v>
      </c>
      <c r="P121" s="167">
        <f>'Pseudo-load coefficients'!P299</f>
        <v>5.8157187616168567E-2</v>
      </c>
      <c r="Q121" s="167">
        <f>'Pseudo-load coefficients'!Q299</f>
        <v>6.4449954388933417E-2</v>
      </c>
      <c r="R121" s="167">
        <f>'Pseudo-load coefficients'!R299</f>
        <v>5.3561099614642747E-2</v>
      </c>
      <c r="S121" s="167">
        <f>'Pseudo-load coefficients'!S299</f>
        <v>5.3561099614642747E-2</v>
      </c>
      <c r="T121" s="167">
        <f>'Pseudo-load coefficients'!T299</f>
        <v>5.3561099614642747E-2</v>
      </c>
      <c r="U121" s="167">
        <f>'Pseudo-load coefficients'!U299</f>
        <v>5.3561099614642747E-2</v>
      </c>
      <c r="V121" s="167">
        <f>'Pseudo-load coefficients'!V299</f>
        <v>5.3561099614642747E-2</v>
      </c>
      <c r="W121" s="167">
        <f>'Pseudo-load coefficients'!W299</f>
        <v>5.3561099614642747E-2</v>
      </c>
      <c r="X121" s="167">
        <f>'Pseudo-load coefficients'!X299</f>
        <v>5.3561099614642747E-2</v>
      </c>
      <c r="Y121" s="167">
        <f>'Pseudo-load coefficients'!Y299</f>
        <v>5.3561099614642747E-2</v>
      </c>
      <c r="AQ121" s="3"/>
    </row>
    <row r="122" spans="5:43" x14ac:dyDescent="0.25">
      <c r="E122" s="75"/>
      <c r="F122" t="s">
        <v>198</v>
      </c>
      <c r="G122" t="s">
        <v>284</v>
      </c>
      <c r="J122" s="167">
        <f>'Pseudo-load coefficients'!J300</f>
        <v>0.16270603672730427</v>
      </c>
      <c r="K122" s="167">
        <f>'Pseudo-load coefficients'!K300</f>
        <v>0.16270603672730427</v>
      </c>
      <c r="L122" s="167">
        <f>'Pseudo-load coefficients'!L300</f>
        <v>0.15917797296070399</v>
      </c>
      <c r="M122" s="167">
        <f>'Pseudo-load coefficients'!M300</f>
        <v>0.15917797296070399</v>
      </c>
      <c r="N122" s="167">
        <f>'Pseudo-load coefficients'!N300</f>
        <v>0.12269816357182924</v>
      </c>
      <c r="O122" s="167">
        <f>'Pseudo-load coefficients'!O300</f>
        <v>0.11574124822286834</v>
      </c>
      <c r="P122" s="167">
        <f>'Pseudo-load coefficients'!P300</f>
        <v>0.10630225208324173</v>
      </c>
      <c r="Q122" s="167">
        <f>'Pseudo-load coefficients'!Q300</f>
        <v>0.11780444651868109</v>
      </c>
      <c r="R122" s="167">
        <f>'Pseudo-load coefficients'!R300</f>
        <v>9.7901321340862962E-2</v>
      </c>
      <c r="S122" s="167">
        <f>'Pseudo-load coefficients'!S300</f>
        <v>9.7901321340862962E-2</v>
      </c>
      <c r="T122" s="167">
        <f>'Pseudo-load coefficients'!T300</f>
        <v>9.7901321340862962E-2</v>
      </c>
      <c r="U122" s="167">
        <f>'Pseudo-load coefficients'!U300</f>
        <v>9.7901321340862962E-2</v>
      </c>
      <c r="V122" s="167">
        <f>'Pseudo-load coefficients'!V300</f>
        <v>9.7901321340862962E-2</v>
      </c>
      <c r="W122" s="167">
        <f>'Pseudo-load coefficients'!W300</f>
        <v>9.7901321340862962E-2</v>
      </c>
      <c r="X122" s="167">
        <f>'Pseudo-load coefficients'!X300</f>
        <v>9.7901321340862962E-2</v>
      </c>
      <c r="Y122" s="167">
        <f>'Pseudo-load coefficients'!Y300</f>
        <v>9.7901321340862962E-2</v>
      </c>
      <c r="AQ122" s="3"/>
    </row>
    <row r="123" spans="5:43" x14ac:dyDescent="0.25">
      <c r="E123" s="75"/>
      <c r="F123" t="s">
        <v>199</v>
      </c>
      <c r="G123" t="s">
        <v>284</v>
      </c>
      <c r="J123" s="167">
        <f>'Pseudo-load coefficients'!J301</f>
        <v>0.16270603672730427</v>
      </c>
      <c r="K123" s="167">
        <f>'Pseudo-load coefficients'!K301</f>
        <v>0.16270603672730427</v>
      </c>
      <c r="L123" s="167">
        <f>'Pseudo-load coefficients'!L301</f>
        <v>0.15917797296070399</v>
      </c>
      <c r="M123" s="167">
        <f>'Pseudo-load coefficients'!M301</f>
        <v>0.15917797296070399</v>
      </c>
      <c r="N123" s="167">
        <f>'Pseudo-load coefficients'!N301</f>
        <v>0.12269816357182924</v>
      </c>
      <c r="O123" s="167">
        <f>'Pseudo-load coefficients'!O301</f>
        <v>0.11574124822286834</v>
      </c>
      <c r="P123" s="167">
        <f>'Pseudo-load coefficients'!P301</f>
        <v>0.10630225208324173</v>
      </c>
      <c r="Q123" s="167">
        <f>'Pseudo-load coefficients'!Q301</f>
        <v>0.11780444651868109</v>
      </c>
      <c r="R123" s="167">
        <f>'Pseudo-load coefficients'!R301</f>
        <v>9.7901321340862962E-2</v>
      </c>
      <c r="S123" s="167">
        <f>'Pseudo-load coefficients'!S301</f>
        <v>9.7901321340862962E-2</v>
      </c>
      <c r="T123" s="167">
        <f>'Pseudo-load coefficients'!T301</f>
        <v>9.7901321340862962E-2</v>
      </c>
      <c r="U123" s="167">
        <f>'Pseudo-load coefficients'!U301</f>
        <v>9.7901321340862962E-2</v>
      </c>
      <c r="V123" s="167">
        <f>'Pseudo-load coefficients'!V301</f>
        <v>9.7901321340862962E-2</v>
      </c>
      <c r="W123" s="167">
        <f>'Pseudo-load coefficients'!W301</f>
        <v>9.7901321340862962E-2</v>
      </c>
      <c r="X123" s="167">
        <f>'Pseudo-load coefficients'!X301</f>
        <v>9.7901321340862962E-2</v>
      </c>
      <c r="Y123" s="167">
        <f>'Pseudo-load coefficients'!Y301</f>
        <v>9.7901321340862962E-2</v>
      </c>
      <c r="AQ123" s="3"/>
    </row>
    <row r="124" spans="5:43" x14ac:dyDescent="0.25">
      <c r="E124" s="75"/>
      <c r="F124" s="96" t="s">
        <v>200</v>
      </c>
      <c r="G124" s="96" t="s">
        <v>284</v>
      </c>
      <c r="H124" s="96"/>
      <c r="I124" s="96"/>
      <c r="J124" s="172">
        <f>'Pseudo-load coefficients'!J302</f>
        <v>0.16270603672730427</v>
      </c>
      <c r="K124" s="172">
        <f>'Pseudo-load coefficients'!K302</f>
        <v>0.16270603672730427</v>
      </c>
      <c r="L124" s="172">
        <f>'Pseudo-load coefficients'!L302</f>
        <v>0.15917797296070399</v>
      </c>
      <c r="M124" s="172">
        <f>'Pseudo-load coefficients'!M302</f>
        <v>0.15917797296070399</v>
      </c>
      <c r="N124" s="172">
        <f>'Pseudo-load coefficients'!N302</f>
        <v>0.12269816357182924</v>
      </c>
      <c r="O124" s="172">
        <f>'Pseudo-load coefficients'!O302</f>
        <v>0.11574124822286834</v>
      </c>
      <c r="P124" s="172">
        <f>'Pseudo-load coefficients'!P302</f>
        <v>0.10630225208324173</v>
      </c>
      <c r="Q124" s="172">
        <f>'Pseudo-load coefficients'!Q302</f>
        <v>0.11780444651868109</v>
      </c>
      <c r="R124" s="172">
        <f>'Pseudo-load coefficients'!R302</f>
        <v>9.7901321340862962E-2</v>
      </c>
      <c r="S124" s="172">
        <f>'Pseudo-load coefficients'!S302</f>
        <v>9.7901321340862962E-2</v>
      </c>
      <c r="T124" s="172">
        <f>'Pseudo-load coefficients'!T302</f>
        <v>9.7901321340862962E-2</v>
      </c>
      <c r="U124" s="172">
        <f>'Pseudo-load coefficients'!U302</f>
        <v>9.7901321340862962E-2</v>
      </c>
      <c r="V124" s="172">
        <f>'Pseudo-load coefficients'!V302</f>
        <v>9.7901321340862962E-2</v>
      </c>
      <c r="W124" s="172">
        <f>'Pseudo-load coefficients'!W302</f>
        <v>9.7901321340862962E-2</v>
      </c>
      <c r="X124" s="172">
        <f>'Pseudo-load coefficients'!X302</f>
        <v>9.7901321340862962E-2</v>
      </c>
      <c r="Y124" s="172">
        <f>'Pseudo-load coefficients'!Y302</f>
        <v>9.7901321340862962E-2</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472</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473</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192</v>
      </c>
      <c r="G128" s="95" t="s">
        <v>173</v>
      </c>
      <c r="H128" s="95"/>
      <c r="I128" s="95"/>
      <c r="J128" s="223">
        <f t="shared" ref="J128:Y128" si="19">J$58 * J34 * J116 / hours_in_year / $H45</f>
        <v>0</v>
      </c>
      <c r="K128" s="223">
        <f t="shared" si="19"/>
        <v>0</v>
      </c>
      <c r="L128" s="223">
        <f t="shared" si="19"/>
        <v>0</v>
      </c>
      <c r="M128" s="223">
        <f t="shared" si="19"/>
        <v>0</v>
      </c>
      <c r="N128" s="223">
        <f t="shared" si="19"/>
        <v>0</v>
      </c>
      <c r="O128" s="223">
        <f t="shared" si="19"/>
        <v>0</v>
      </c>
      <c r="P128" s="223">
        <f t="shared" si="19"/>
        <v>0</v>
      </c>
      <c r="Q128" s="223">
        <f t="shared" si="19"/>
        <v>0</v>
      </c>
      <c r="R128" s="223">
        <f t="shared" si="19"/>
        <v>0</v>
      </c>
      <c r="S128" s="223">
        <f t="shared" si="19"/>
        <v>0</v>
      </c>
      <c r="T128" s="223">
        <f t="shared" si="19"/>
        <v>0</v>
      </c>
      <c r="U128" s="223">
        <f t="shared" si="19"/>
        <v>0</v>
      </c>
      <c r="V128" s="223">
        <f t="shared" si="19"/>
        <v>0</v>
      </c>
      <c r="W128" s="223">
        <f t="shared" si="19"/>
        <v>0</v>
      </c>
      <c r="X128" s="223">
        <f t="shared" si="19"/>
        <v>0</v>
      </c>
      <c r="Y128" s="223">
        <f t="shared" si="19"/>
        <v>0</v>
      </c>
      <c r="AQ128" s="3"/>
    </row>
    <row r="129" spans="3:43" x14ac:dyDescent="0.25">
      <c r="E129" s="75"/>
      <c r="F129" t="s">
        <v>193</v>
      </c>
      <c r="G129" t="s">
        <v>173</v>
      </c>
      <c r="J129" s="106">
        <f t="shared" ref="J129:Y129" si="20">J$58 * J35 * J117 / hours_in_year / $H46</f>
        <v>29.732984526588176</v>
      </c>
      <c r="K129" s="106">
        <f t="shared" si="20"/>
        <v>0.24399754992726602</v>
      </c>
      <c r="L129" s="106">
        <f t="shared" si="20"/>
        <v>7.8269913072979023</v>
      </c>
      <c r="M129" s="106">
        <f t="shared" si="20"/>
        <v>0.11850078924726487</v>
      </c>
      <c r="N129" s="106">
        <f t="shared" si="20"/>
        <v>4.7494593160177025</v>
      </c>
      <c r="O129" s="106">
        <f t="shared" si="20"/>
        <v>2.2227026537335526</v>
      </c>
      <c r="P129" s="106">
        <f t="shared" si="20"/>
        <v>6.7691489960298163</v>
      </c>
      <c r="Q129" s="106">
        <f t="shared" si="20"/>
        <v>0.51236732319131473</v>
      </c>
      <c r="R129" s="106">
        <f t="shared" si="20"/>
        <v>-0.32736525049933768</v>
      </c>
      <c r="S129" s="106">
        <f t="shared" si="20"/>
        <v>-7.3943788123870619E-2</v>
      </c>
      <c r="T129" s="106">
        <f t="shared" si="20"/>
        <v>-0.19867435870585423</v>
      </c>
      <c r="U129" s="106">
        <f t="shared" si="20"/>
        <v>0</v>
      </c>
      <c r="V129" s="106">
        <f t="shared" si="20"/>
        <v>0</v>
      </c>
      <c r="W129" s="106">
        <f t="shared" si="20"/>
        <v>0</v>
      </c>
      <c r="X129" s="106">
        <f t="shared" si="20"/>
        <v>-1.5914344167065255</v>
      </c>
      <c r="Y129" s="106">
        <f t="shared" si="20"/>
        <v>0</v>
      </c>
      <c r="AQ129" s="3"/>
    </row>
    <row r="130" spans="3:43" x14ac:dyDescent="0.25">
      <c r="E130" s="75"/>
      <c r="F130" t="s">
        <v>194</v>
      </c>
      <c r="G130" t="s">
        <v>173</v>
      </c>
      <c r="J130" s="106">
        <f t="shared" ref="J130:Y130" si="21">J$58 * J36 * J118 / hours_in_year / $H47</f>
        <v>29.614644289666433</v>
      </c>
      <c r="K130" s="106">
        <f t="shared" si="21"/>
        <v>0.24302641540019232</v>
      </c>
      <c r="L130" s="106">
        <f t="shared" si="21"/>
        <v>7.7958391030897518</v>
      </c>
      <c r="M130" s="106">
        <f t="shared" si="21"/>
        <v>0.11802914431493745</v>
      </c>
      <c r="N130" s="106">
        <f t="shared" si="21"/>
        <v>4.7305559953569363</v>
      </c>
      <c r="O130" s="106">
        <f t="shared" si="21"/>
        <v>2.2138560760072497</v>
      </c>
      <c r="P130" s="106">
        <f t="shared" si="21"/>
        <v>6.7422071094784535</v>
      </c>
      <c r="Q130" s="106">
        <f t="shared" si="21"/>
        <v>0.51032805026319006</v>
      </c>
      <c r="R130" s="106">
        <f t="shared" si="21"/>
        <v>-0.32606230422869353</v>
      </c>
      <c r="S130" s="106">
        <f t="shared" si="21"/>
        <v>-7.3649484489546752E-2</v>
      </c>
      <c r="T130" s="106">
        <f t="shared" si="21"/>
        <v>-0.19788361498961202</v>
      </c>
      <c r="U130" s="106">
        <f t="shared" si="21"/>
        <v>0</v>
      </c>
      <c r="V130" s="106">
        <f t="shared" si="21"/>
        <v>0</v>
      </c>
      <c r="W130" s="106">
        <f t="shared" si="21"/>
        <v>0</v>
      </c>
      <c r="X130" s="106">
        <f t="shared" si="21"/>
        <v>-1.5851003493763502</v>
      </c>
      <c r="Y130" s="106">
        <f t="shared" si="21"/>
        <v>0</v>
      </c>
      <c r="AQ130" s="3"/>
    </row>
    <row r="131" spans="3:43" x14ac:dyDescent="0.25">
      <c r="E131" s="75"/>
      <c r="F131" t="s">
        <v>195</v>
      </c>
      <c r="G131" t="s">
        <v>173</v>
      </c>
      <c r="J131" s="106">
        <f t="shared" ref="J131:Y131" si="22">J$58 * J37 * J119 / hours_in_year / $H48</f>
        <v>53.75651904996684</v>
      </c>
      <c r="K131" s="106">
        <f t="shared" si="22"/>
        <v>0.44114168656971381</v>
      </c>
      <c r="L131" s="106">
        <f t="shared" si="22"/>
        <v>14.151011545391114</v>
      </c>
      <c r="M131" s="106">
        <f t="shared" si="22"/>
        <v>0.21424656945925744</v>
      </c>
      <c r="N131" s="106">
        <f t="shared" si="22"/>
        <v>8.5869079160296859</v>
      </c>
      <c r="O131" s="106">
        <f t="shared" si="22"/>
        <v>4.0185928002280598</v>
      </c>
      <c r="P131" s="106">
        <f t="shared" si="22"/>
        <v>12.238458155175861</v>
      </c>
      <c r="Q131" s="106">
        <f t="shared" si="22"/>
        <v>0.92634776522634421</v>
      </c>
      <c r="R131" s="106">
        <f t="shared" si="22"/>
        <v>-0.59186847889515137</v>
      </c>
      <c r="S131" s="106">
        <f t="shared" si="22"/>
        <v>-0.1336885858650694</v>
      </c>
      <c r="T131" s="106">
        <f t="shared" si="22"/>
        <v>-0.35919844975403553</v>
      </c>
      <c r="U131" s="106">
        <f t="shared" si="22"/>
        <v>0</v>
      </c>
      <c r="V131" s="106">
        <f t="shared" si="22"/>
        <v>0</v>
      </c>
      <c r="W131" s="106">
        <f t="shared" si="22"/>
        <v>0</v>
      </c>
      <c r="X131" s="106">
        <f t="shared" si="22"/>
        <v>-2.8772750499350548</v>
      </c>
      <c r="Y131" s="106">
        <f t="shared" si="22"/>
        <v>0</v>
      </c>
      <c r="AQ131" s="3"/>
    </row>
    <row r="132" spans="3:43" x14ac:dyDescent="0.25">
      <c r="E132" s="75"/>
      <c r="F132" t="s">
        <v>196</v>
      </c>
      <c r="G132" t="s">
        <v>173</v>
      </c>
      <c r="J132" s="106">
        <f t="shared" ref="J132:Y132" si="23">J$58 * J38 * J120 / hours_in_year / $H49</f>
        <v>53.43968298483933</v>
      </c>
      <c r="K132" s="106">
        <f t="shared" si="23"/>
        <v>0.43854163733649348</v>
      </c>
      <c r="L132" s="106">
        <f t="shared" si="23"/>
        <v>14.067606762215922</v>
      </c>
      <c r="M132" s="106">
        <f t="shared" si="23"/>
        <v>0.21298381954102999</v>
      </c>
      <c r="N132" s="106">
        <f t="shared" si="23"/>
        <v>8.5362974567996481</v>
      </c>
      <c r="O132" s="106">
        <f t="shared" si="23"/>
        <v>3.994907577436932</v>
      </c>
      <c r="P132" s="106">
        <f t="shared" si="23"/>
        <v>12.166325788838872</v>
      </c>
      <c r="Q132" s="106">
        <f t="shared" si="23"/>
        <v>0.92088795521518696</v>
      </c>
      <c r="R132" s="106">
        <f t="shared" si="23"/>
        <v>-0.58838005956963968</v>
      </c>
      <c r="S132" s="106">
        <f t="shared" si="23"/>
        <v>-0.13290063742185682</v>
      </c>
      <c r="T132" s="106">
        <f t="shared" si="23"/>
        <v>-0.35708136655312767</v>
      </c>
      <c r="U132" s="106">
        <f t="shared" si="23"/>
        <v>0</v>
      </c>
      <c r="V132" s="106">
        <f t="shared" si="23"/>
        <v>0</v>
      </c>
      <c r="W132" s="106">
        <f t="shared" si="23"/>
        <v>0</v>
      </c>
      <c r="X132" s="106">
        <f t="shared" si="23"/>
        <v>-2.8603166508195241</v>
      </c>
      <c r="Y132" s="106">
        <f t="shared" si="23"/>
        <v>0</v>
      </c>
      <c r="AQ132" s="3"/>
    </row>
    <row r="133" spans="3:43" x14ac:dyDescent="0.25">
      <c r="E133" s="75"/>
      <c r="F133" t="s">
        <v>197</v>
      </c>
      <c r="G133" t="s">
        <v>173</v>
      </c>
      <c r="J133" s="106">
        <f t="shared" ref="J133:Y133" si="24">J$58 * J39 * J121 / hours_in_year / $H50</f>
        <v>0</v>
      </c>
      <c r="K133" s="106">
        <f t="shared" si="24"/>
        <v>0</v>
      </c>
      <c r="L133" s="106">
        <f t="shared" si="24"/>
        <v>0</v>
      </c>
      <c r="M133" s="106">
        <f t="shared" si="24"/>
        <v>0</v>
      </c>
      <c r="N133" s="106">
        <f t="shared" si="24"/>
        <v>0</v>
      </c>
      <c r="O133" s="106">
        <f t="shared" si="24"/>
        <v>0</v>
      </c>
      <c r="P133" s="106">
        <f t="shared" si="24"/>
        <v>0</v>
      </c>
      <c r="Q133" s="106">
        <f t="shared" si="24"/>
        <v>0</v>
      </c>
      <c r="R133" s="106">
        <f t="shared" si="24"/>
        <v>0</v>
      </c>
      <c r="S133" s="106">
        <f t="shared" si="24"/>
        <v>0</v>
      </c>
      <c r="T133" s="106">
        <f t="shared" si="24"/>
        <v>0</v>
      </c>
      <c r="U133" s="106">
        <f t="shared" si="24"/>
        <v>0</v>
      </c>
      <c r="V133" s="106">
        <f t="shared" si="24"/>
        <v>0</v>
      </c>
      <c r="W133" s="106">
        <f t="shared" si="24"/>
        <v>0</v>
      </c>
      <c r="X133" s="106">
        <f t="shared" si="24"/>
        <v>0</v>
      </c>
      <c r="Y133" s="106">
        <f t="shared" si="24"/>
        <v>0</v>
      </c>
      <c r="AQ133" s="3"/>
    </row>
    <row r="134" spans="3:43" x14ac:dyDescent="0.25">
      <c r="E134" s="75"/>
      <c r="F134" t="s">
        <v>198</v>
      </c>
      <c r="G134" t="s">
        <v>173</v>
      </c>
      <c r="J134" s="106">
        <f t="shared" ref="J134:Y134" si="25">J$58 * J40 * J122 / hours_in_year / $H51</f>
        <v>52.612763325499458</v>
      </c>
      <c r="K134" s="106">
        <f t="shared" si="25"/>
        <v>0.43175569323844332</v>
      </c>
      <c r="L134" s="106">
        <f t="shared" si="25"/>
        <v>13.849926193361517</v>
      </c>
      <c r="M134" s="106">
        <f t="shared" si="25"/>
        <v>0.20968813181118814</v>
      </c>
      <c r="N134" s="106">
        <f t="shared" si="25"/>
        <v>8.4042077476035217</v>
      </c>
      <c r="O134" s="106">
        <f t="shared" si="25"/>
        <v>3.9330908257551225</v>
      </c>
      <c r="P134" s="106">
        <f t="shared" si="25"/>
        <v>11.978065428469991</v>
      </c>
      <c r="Q134" s="106">
        <f t="shared" si="25"/>
        <v>0.90663823830663481</v>
      </c>
      <c r="R134" s="106">
        <f t="shared" si="25"/>
        <v>-0.57927553253568009</v>
      </c>
      <c r="S134" s="106">
        <f t="shared" si="25"/>
        <v>-0.13084414786794027</v>
      </c>
      <c r="T134" s="106">
        <f t="shared" si="25"/>
        <v>-0.35155592954650283</v>
      </c>
      <c r="U134" s="106">
        <f t="shared" si="25"/>
        <v>0</v>
      </c>
      <c r="V134" s="106">
        <f t="shared" si="25"/>
        <v>0</v>
      </c>
      <c r="W134" s="106">
        <f t="shared" si="25"/>
        <v>0</v>
      </c>
      <c r="X134" s="106">
        <f t="shared" si="25"/>
        <v>0</v>
      </c>
      <c r="Y134" s="106">
        <f t="shared" si="25"/>
        <v>0</v>
      </c>
      <c r="AQ134" s="3"/>
    </row>
    <row r="135" spans="3:43" x14ac:dyDescent="0.25">
      <c r="E135" s="75"/>
      <c r="F135" t="s">
        <v>199</v>
      </c>
      <c r="G135" t="s">
        <v>173</v>
      </c>
      <c r="J135" s="106">
        <f t="shared" ref="J135:Y135" si="26">J$58 * J41 * J123 / hours_in_year / $H52</f>
        <v>51.909921067334388</v>
      </c>
      <c r="K135" s="106">
        <f t="shared" si="26"/>
        <v>0.42598796451197551</v>
      </c>
      <c r="L135" s="106">
        <f t="shared" si="26"/>
        <v>13.664908095358594</v>
      </c>
      <c r="M135" s="106">
        <f t="shared" si="26"/>
        <v>0.20688695447783256</v>
      </c>
      <c r="N135" s="106">
        <f t="shared" si="26"/>
        <v>8.2919377967767574</v>
      </c>
      <c r="O135" s="106">
        <f t="shared" si="26"/>
        <v>3.8805495360980884</v>
      </c>
      <c r="P135" s="106">
        <f t="shared" si="26"/>
        <v>0</v>
      </c>
      <c r="Q135" s="106">
        <f t="shared" si="26"/>
        <v>0.89452665878727133</v>
      </c>
      <c r="R135" s="106">
        <f t="shared" si="26"/>
        <v>-0.5715371189331041</v>
      </c>
      <c r="S135" s="106">
        <f t="shared" si="26"/>
        <v>0</v>
      </c>
      <c r="T135" s="106">
        <f t="shared" si="26"/>
        <v>-0.34685957170904957</v>
      </c>
      <c r="U135" s="106">
        <f t="shared" si="26"/>
        <v>0</v>
      </c>
      <c r="V135" s="106">
        <f t="shared" si="26"/>
        <v>0</v>
      </c>
      <c r="W135" s="106">
        <f t="shared" si="26"/>
        <v>0</v>
      </c>
      <c r="X135" s="106">
        <f t="shared" si="26"/>
        <v>0</v>
      </c>
      <c r="Y135" s="106">
        <f t="shared" si="26"/>
        <v>0</v>
      </c>
      <c r="AQ135" s="3"/>
    </row>
    <row r="136" spans="3:43" x14ac:dyDescent="0.25">
      <c r="E136" s="75"/>
      <c r="F136" s="96" t="s">
        <v>200</v>
      </c>
      <c r="G136" s="96" t="s">
        <v>173</v>
      </c>
      <c r="H136" s="96"/>
      <c r="I136" s="96"/>
      <c r="J136" s="196">
        <f t="shared" ref="J136:Y136" si="27">J$58 * J42 * J124 / hours_in_year / $H53</f>
        <v>51.225609490175557</v>
      </c>
      <c r="K136" s="196">
        <f t="shared" si="27"/>
        <v>0.42037230396285347</v>
      </c>
      <c r="L136" s="196">
        <f t="shared" si="27"/>
        <v>13.484768063969687</v>
      </c>
      <c r="M136" s="196">
        <f t="shared" si="27"/>
        <v>0.20415963116079899</v>
      </c>
      <c r="N136" s="196">
        <f t="shared" si="27"/>
        <v>8.1826278823183074</v>
      </c>
      <c r="O136" s="196">
        <f t="shared" si="27"/>
        <v>0</v>
      </c>
      <c r="P136" s="196">
        <f t="shared" si="27"/>
        <v>0</v>
      </c>
      <c r="Q136" s="196">
        <f t="shared" si="27"/>
        <v>0.88273440528160108</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control'!$H$42:$H$65,MATCH($A$1,'Version control'!$F$42:$F$65,0),1)&amp;"-C: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474</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475</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192</v>
      </c>
      <c r="G142" s="95" t="s">
        <v>173</v>
      </c>
      <c r="H142" s="95"/>
      <c r="I142" s="95"/>
      <c r="J142" s="223">
        <f t="shared" ref="J142:Y142" si="28">J82 + J105 + J128</f>
        <v>1461.1592115548624</v>
      </c>
      <c r="K142" s="223">
        <f t="shared" si="28"/>
        <v>0.20234426940345418</v>
      </c>
      <c r="L142" s="223">
        <f t="shared" si="28"/>
        <v>366.3733317765122</v>
      </c>
      <c r="M142" s="223">
        <f t="shared" si="28"/>
        <v>0.12662084038350699</v>
      </c>
      <c r="N142" s="223">
        <f t="shared" si="28"/>
        <v>230.42948094004996</v>
      </c>
      <c r="O142" s="223">
        <f t="shared" si="28"/>
        <v>97.98266072754987</v>
      </c>
      <c r="P142" s="223">
        <f t="shared" si="28"/>
        <v>273.8070985912284</v>
      </c>
      <c r="Q142" s="223">
        <f t="shared" si="28"/>
        <v>22.347947741616654</v>
      </c>
      <c r="R142" s="223">
        <f t="shared" si="28"/>
        <v>-23.558345564373393</v>
      </c>
      <c r="S142" s="223">
        <f t="shared" si="28"/>
        <v>-2.6418851085868527</v>
      </c>
      <c r="T142" s="223">
        <f t="shared" si="28"/>
        <v>-9.2527712646013516</v>
      </c>
      <c r="U142" s="223">
        <f t="shared" si="28"/>
        <v>0</v>
      </c>
      <c r="V142" s="223">
        <f t="shared" si="28"/>
        <v>0</v>
      </c>
      <c r="W142" s="223">
        <f t="shared" si="28"/>
        <v>0</v>
      </c>
      <c r="X142" s="223">
        <f t="shared" si="28"/>
        <v>-113.16232489976171</v>
      </c>
      <c r="Y142" s="223">
        <f t="shared" si="28"/>
        <v>0</v>
      </c>
      <c r="AQ142" s="3"/>
    </row>
    <row r="143" spans="3:43" x14ac:dyDescent="0.25">
      <c r="C143" s="75"/>
      <c r="F143" t="s">
        <v>193</v>
      </c>
      <c r="G143" t="s">
        <v>173</v>
      </c>
      <c r="J143" s="106">
        <f t="shared" ref="J143:Y143" si="29">J83 + J106 + J129</f>
        <v>1419.885831854946</v>
      </c>
      <c r="K143" s="106">
        <f t="shared" si="29"/>
        <v>0.56509222546022353</v>
      </c>
      <c r="L143" s="106">
        <f t="shared" si="29"/>
        <v>372.34149784425824</v>
      </c>
      <c r="M143" s="106">
        <f t="shared" si="29"/>
        <v>0.30684903701921246</v>
      </c>
      <c r="N143" s="106">
        <f t="shared" si="29"/>
        <v>229.87244598792103</v>
      </c>
      <c r="O143" s="106">
        <f t="shared" si="29"/>
        <v>97.961884870761338</v>
      </c>
      <c r="P143" s="106">
        <f t="shared" si="29"/>
        <v>273.38264875131546</v>
      </c>
      <c r="Q143" s="106">
        <f t="shared" si="29"/>
        <v>20.22421359739225</v>
      </c>
      <c r="R143" s="106">
        <f t="shared" si="29"/>
        <v>-24.550479290952072</v>
      </c>
      <c r="S143" s="106">
        <f t="shared" si="29"/>
        <v>-2.7151634001411455</v>
      </c>
      <c r="T143" s="106">
        <f t="shared" si="29"/>
        <v>-9.5345833771984108</v>
      </c>
      <c r="U143" s="106">
        <f t="shared" si="29"/>
        <v>0</v>
      </c>
      <c r="V143" s="106">
        <f t="shared" si="29"/>
        <v>0</v>
      </c>
      <c r="W143" s="106">
        <f t="shared" si="29"/>
        <v>0</v>
      </c>
      <c r="X143" s="106">
        <f t="shared" si="29"/>
        <v>-109.52480116620755</v>
      </c>
      <c r="Y143" s="106">
        <f t="shared" si="29"/>
        <v>0</v>
      </c>
      <c r="AQ143" s="3"/>
    </row>
    <row r="144" spans="3:43" x14ac:dyDescent="0.25">
      <c r="C144" s="75"/>
      <c r="F144" t="s">
        <v>194</v>
      </c>
      <c r="G144" t="s">
        <v>173</v>
      </c>
      <c r="J144" s="106">
        <f t="shared" ref="J144:Y144" si="30">J84 + J107 + J130</f>
        <v>1414.2345449619911</v>
      </c>
      <c r="K144" s="106">
        <f t="shared" si="30"/>
        <v>0.56284310217480971</v>
      </c>
      <c r="L144" s="106">
        <f t="shared" si="30"/>
        <v>370.85954163393285</v>
      </c>
      <c r="M144" s="106">
        <f t="shared" si="30"/>
        <v>0.30562774731963349</v>
      </c>
      <c r="N144" s="106">
        <f t="shared" si="30"/>
        <v>228.95753078000891</v>
      </c>
      <c r="O144" s="106">
        <f t="shared" si="30"/>
        <v>97.57198682152449</v>
      </c>
      <c r="P144" s="106">
        <f t="shared" si="30"/>
        <v>272.29455860703166</v>
      </c>
      <c r="Q144" s="106">
        <f t="shared" si="30"/>
        <v>20.143719214915066</v>
      </c>
      <c r="R144" s="106">
        <f t="shared" si="30"/>
        <v>-24.452765940540324</v>
      </c>
      <c r="S144" s="106">
        <f t="shared" si="30"/>
        <v>-2.7043567796430716</v>
      </c>
      <c r="T144" s="106">
        <f t="shared" si="30"/>
        <v>-9.4966347866423959</v>
      </c>
      <c r="U144" s="106">
        <f t="shared" si="30"/>
        <v>0</v>
      </c>
      <c r="V144" s="106">
        <f t="shared" si="30"/>
        <v>0</v>
      </c>
      <c r="W144" s="106">
        <f t="shared" si="30"/>
        <v>0</v>
      </c>
      <c r="X144" s="106">
        <f t="shared" si="30"/>
        <v>-109.08888155957588</v>
      </c>
      <c r="Y144" s="106">
        <f t="shared" si="30"/>
        <v>0</v>
      </c>
      <c r="AQ144" s="3"/>
    </row>
    <row r="145" spans="3:43" x14ac:dyDescent="0.25">
      <c r="C145" s="75"/>
      <c r="F145" t="s">
        <v>195</v>
      </c>
      <c r="G145" t="s">
        <v>173</v>
      </c>
      <c r="J145" s="106">
        <f t="shared" ref="J145:Y145" si="31">J85 + J108 + J131</f>
        <v>1318.593739522913</v>
      </c>
      <c r="K145" s="106">
        <f t="shared" si="31"/>
        <v>1.1044115397361858</v>
      </c>
      <c r="L145" s="106">
        <f t="shared" si="31"/>
        <v>391.82827563227676</v>
      </c>
      <c r="M145" s="106">
        <f t="shared" si="31"/>
        <v>0.58153466405449195</v>
      </c>
      <c r="N145" s="106">
        <f t="shared" si="31"/>
        <v>230.42011762435087</v>
      </c>
      <c r="O145" s="106">
        <f t="shared" si="31"/>
        <v>98.395074160367855</v>
      </c>
      <c r="P145" s="106">
        <f t="shared" si="31"/>
        <v>272.45949010531746</v>
      </c>
      <c r="Q145" s="106">
        <f t="shared" si="31"/>
        <v>16.866607229794248</v>
      </c>
      <c r="R145" s="106">
        <f t="shared" si="31"/>
        <v>-27.854311189193357</v>
      </c>
      <c r="S145" s="106">
        <f t="shared" si="31"/>
        <v>-2.905440969074109</v>
      </c>
      <c r="T145" s="106">
        <f t="shared" si="31"/>
        <v>-10.39125365473976</v>
      </c>
      <c r="U145" s="106">
        <f t="shared" si="31"/>
        <v>0</v>
      </c>
      <c r="V145" s="106">
        <f t="shared" si="31"/>
        <v>0</v>
      </c>
      <c r="W145" s="106">
        <f t="shared" si="31"/>
        <v>0</v>
      </c>
      <c r="X145" s="106">
        <f t="shared" si="31"/>
        <v>-101.86101886372956</v>
      </c>
      <c r="Y145" s="106">
        <f t="shared" si="31"/>
        <v>0</v>
      </c>
      <c r="AQ145" s="3"/>
    </row>
    <row r="146" spans="3:43" x14ac:dyDescent="0.25">
      <c r="C146" s="75"/>
      <c r="F146" t="s">
        <v>196</v>
      </c>
      <c r="G146" t="s">
        <v>173</v>
      </c>
      <c r="J146" s="106">
        <f t="shared" ref="J146:Y146" si="32">J86 + J109 + J132</f>
        <v>1310.8220671878073</v>
      </c>
      <c r="K146" s="106">
        <f t="shared" si="32"/>
        <v>1.097902237930275</v>
      </c>
      <c r="L146" s="106">
        <f t="shared" si="32"/>
        <v>389.51887518650693</v>
      </c>
      <c r="M146" s="106">
        <f t="shared" si="32"/>
        <v>0.57810715129975021</v>
      </c>
      <c r="N146" s="106">
        <f t="shared" si="32"/>
        <v>229.06204227489496</v>
      </c>
      <c r="O146" s="106">
        <f t="shared" si="32"/>
        <v>97.815142485552315</v>
      </c>
      <c r="P146" s="106">
        <f t="shared" si="32"/>
        <v>270.85363849369475</v>
      </c>
      <c r="Q146" s="106">
        <f t="shared" si="32"/>
        <v>16.767196971072472</v>
      </c>
      <c r="R146" s="106">
        <f t="shared" si="32"/>
        <v>-27.690140396329742</v>
      </c>
      <c r="S146" s="106">
        <f t="shared" si="32"/>
        <v>-2.8883165625766187</v>
      </c>
      <c r="T146" s="106">
        <f t="shared" si="32"/>
        <v>-10.330008544790411</v>
      </c>
      <c r="U146" s="106">
        <f t="shared" si="32"/>
        <v>0</v>
      </c>
      <c r="V146" s="106">
        <f t="shared" si="32"/>
        <v>0</v>
      </c>
      <c r="W146" s="106">
        <f t="shared" si="32"/>
        <v>0</v>
      </c>
      <c r="X146" s="106">
        <f t="shared" si="32"/>
        <v>-101.26065922406121</v>
      </c>
      <c r="Y146" s="106">
        <f t="shared" si="32"/>
        <v>0</v>
      </c>
      <c r="AQ146" s="3"/>
    </row>
    <row r="147" spans="3:43" x14ac:dyDescent="0.25">
      <c r="C147" s="75"/>
      <c r="F147" t="s">
        <v>197</v>
      </c>
      <c r="G147" t="s">
        <v>173</v>
      </c>
      <c r="H147" s="97"/>
      <c r="J147" s="106">
        <f t="shared" ref="J147:Y147" si="33">J87 + J110 + J133</f>
        <v>0</v>
      </c>
      <c r="K147" s="106">
        <f t="shared" si="33"/>
        <v>0</v>
      </c>
      <c r="L147" s="106">
        <f t="shared" si="33"/>
        <v>0</v>
      </c>
      <c r="M147" s="106">
        <f t="shared" si="33"/>
        <v>0</v>
      </c>
      <c r="N147" s="106">
        <f t="shared" si="33"/>
        <v>0</v>
      </c>
      <c r="O147" s="106">
        <f t="shared" si="33"/>
        <v>0</v>
      </c>
      <c r="P147" s="106">
        <f t="shared" si="33"/>
        <v>0</v>
      </c>
      <c r="Q147" s="106">
        <f t="shared" si="33"/>
        <v>0</v>
      </c>
      <c r="R147" s="106">
        <f t="shared" si="33"/>
        <v>0</v>
      </c>
      <c r="S147" s="106">
        <f t="shared" si="33"/>
        <v>0</v>
      </c>
      <c r="T147" s="106">
        <f t="shared" si="33"/>
        <v>0</v>
      </c>
      <c r="U147" s="106">
        <f t="shared" si="33"/>
        <v>0</v>
      </c>
      <c r="V147" s="106">
        <f t="shared" si="33"/>
        <v>0</v>
      </c>
      <c r="W147" s="106">
        <f t="shared" si="33"/>
        <v>0</v>
      </c>
      <c r="X147" s="106">
        <f t="shared" si="33"/>
        <v>0</v>
      </c>
      <c r="Y147" s="106">
        <f t="shared" si="33"/>
        <v>0</v>
      </c>
      <c r="AQ147" s="3"/>
    </row>
    <row r="148" spans="3:43" x14ac:dyDescent="0.25">
      <c r="C148" s="75"/>
      <c r="F148" t="s">
        <v>198</v>
      </c>
      <c r="G148" t="s">
        <v>173</v>
      </c>
      <c r="J148" s="106">
        <f t="shared" ref="J148:Y148" si="34">J88 + J111 + J134</f>
        <v>1290.5385535756168</v>
      </c>
      <c r="K148" s="106">
        <f t="shared" si="34"/>
        <v>1.0809134218694585</v>
      </c>
      <c r="L148" s="106">
        <f t="shared" si="34"/>
        <v>383.49150381031336</v>
      </c>
      <c r="M148" s="106">
        <f t="shared" si="34"/>
        <v>0.56916158609588563</v>
      </c>
      <c r="N148" s="106">
        <f>N88 + N111 + N134</f>
        <v>225.51756193021575</v>
      </c>
      <c r="O148" s="106">
        <f t="shared" si="34"/>
        <v>96.3015619441898</v>
      </c>
      <c r="P148" s="106">
        <f t="shared" si="34"/>
        <v>266.66247967754475</v>
      </c>
      <c r="Q148" s="106">
        <f t="shared" si="34"/>
        <v>16.507743246181604</v>
      </c>
      <c r="R148" s="106">
        <f t="shared" si="34"/>
        <v>-27.26166627027435</v>
      </c>
      <c r="S148" s="106">
        <f t="shared" si="34"/>
        <v>-2.8436230761150854</v>
      </c>
      <c r="T148" s="106">
        <f t="shared" si="34"/>
        <v>-10.170163151447426</v>
      </c>
      <c r="U148" s="106">
        <f t="shared" si="34"/>
        <v>0</v>
      </c>
      <c r="V148" s="106">
        <f t="shared" si="34"/>
        <v>0</v>
      </c>
      <c r="W148" s="106">
        <f t="shared" si="34"/>
        <v>0</v>
      </c>
      <c r="X148" s="106">
        <f t="shared" si="34"/>
        <v>0</v>
      </c>
      <c r="Y148" s="106">
        <f t="shared" si="34"/>
        <v>0</v>
      </c>
      <c r="AQ148" s="3"/>
    </row>
    <row r="149" spans="3:43" x14ac:dyDescent="0.25">
      <c r="C149" s="75"/>
      <c r="F149" t="s">
        <v>199</v>
      </c>
      <c r="G149" t="s">
        <v>173</v>
      </c>
      <c r="J149" s="106">
        <f t="shared" ref="J149:Y149" si="35">J89 + J112 + J135</f>
        <v>1273.298534730141</v>
      </c>
      <c r="K149" s="106">
        <f t="shared" si="35"/>
        <v>1.0664737387528818</v>
      </c>
      <c r="L149" s="106">
        <f t="shared" si="35"/>
        <v>378.36852570597716</v>
      </c>
      <c r="M149" s="106">
        <f t="shared" si="35"/>
        <v>0.56155828246483375</v>
      </c>
      <c r="N149" s="106">
        <f t="shared" si="35"/>
        <v>222.50492274412505</v>
      </c>
      <c r="O149" s="106">
        <f t="shared" si="35"/>
        <v>95.015090696843757</v>
      </c>
      <c r="P149" s="106">
        <f t="shared" si="35"/>
        <v>0</v>
      </c>
      <c r="Q149" s="106">
        <f t="shared" si="35"/>
        <v>16.287219958541776</v>
      </c>
      <c r="R149" s="106">
        <f t="shared" si="35"/>
        <v>-26.897483705595111</v>
      </c>
      <c r="S149" s="106">
        <f t="shared" si="35"/>
        <v>0</v>
      </c>
      <c r="T149" s="106">
        <f t="shared" si="35"/>
        <v>-10.034302193317401</v>
      </c>
      <c r="U149" s="106">
        <f t="shared" si="35"/>
        <v>0</v>
      </c>
      <c r="V149" s="106">
        <f t="shared" si="35"/>
        <v>0</v>
      </c>
      <c r="W149" s="106">
        <f t="shared" si="35"/>
        <v>0</v>
      </c>
      <c r="X149" s="106">
        <f t="shared" si="35"/>
        <v>0</v>
      </c>
      <c r="Y149" s="106">
        <f t="shared" si="35"/>
        <v>0</v>
      </c>
      <c r="AQ149" s="3"/>
    </row>
    <row r="150" spans="3:43" x14ac:dyDescent="0.25">
      <c r="C150" s="75"/>
      <c r="F150" s="96" t="s">
        <v>200</v>
      </c>
      <c r="G150" s="96" t="s">
        <v>173</v>
      </c>
      <c r="H150" s="96"/>
      <c r="I150" s="96"/>
      <c r="J150" s="196">
        <f t="shared" ref="J150:Y150" si="36">J90 + J113 + J136</f>
        <v>1256.5130549879359</v>
      </c>
      <c r="K150" s="196">
        <f t="shared" si="36"/>
        <v>1.0524147629124483</v>
      </c>
      <c r="L150" s="196">
        <f t="shared" si="36"/>
        <v>373.38061670420342</v>
      </c>
      <c r="M150" s="196">
        <f t="shared" si="36"/>
        <v>0.55415544258299976</v>
      </c>
      <c r="N150" s="196">
        <f t="shared" si="36"/>
        <v>219.57171283977689</v>
      </c>
      <c r="O150" s="196">
        <f t="shared" si="36"/>
        <v>0</v>
      </c>
      <c r="P150" s="196">
        <f t="shared" si="36"/>
        <v>0</v>
      </c>
      <c r="Q150" s="196">
        <f t="shared" si="36"/>
        <v>16.072510844210715</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476</v>
      </c>
      <c r="J152" s="97"/>
      <c r="K152" s="97"/>
      <c r="L152" s="97"/>
      <c r="M152" s="97"/>
      <c r="N152" s="97"/>
      <c r="O152" s="97"/>
      <c r="P152" s="97"/>
      <c r="Q152" s="97"/>
      <c r="R152" s="97"/>
      <c r="S152" s="97"/>
      <c r="T152" s="97"/>
      <c r="U152" s="97"/>
      <c r="V152" s="97"/>
      <c r="W152" s="97"/>
      <c r="X152" s="97"/>
      <c r="Y152" s="97"/>
      <c r="AQ152" s="3"/>
    </row>
    <row r="153" spans="3:43" x14ac:dyDescent="0.25">
      <c r="E153" s="86" t="s">
        <v>477</v>
      </c>
      <c r="J153" s="97"/>
      <c r="K153" s="97"/>
      <c r="L153" s="97"/>
      <c r="M153" s="97"/>
      <c r="N153" s="97"/>
      <c r="O153" s="97"/>
      <c r="P153" s="97"/>
      <c r="Q153" s="97"/>
      <c r="R153" s="97"/>
      <c r="S153" s="97"/>
      <c r="T153" s="97"/>
      <c r="U153" s="97"/>
      <c r="V153" s="97"/>
      <c r="W153" s="97"/>
      <c r="X153" s="97"/>
      <c r="Y153" s="97"/>
      <c r="AQ153" s="3"/>
    </row>
    <row r="154" spans="3:43" x14ac:dyDescent="0.25">
      <c r="C154" s="75"/>
      <c r="F154" s="95" t="s">
        <v>192</v>
      </c>
      <c r="G154" s="95" t="s">
        <v>478</v>
      </c>
      <c r="H154" s="149">
        <f t="shared" ref="H154:H162" si="37">SUM(J142:Y142) * thousand</f>
        <v>2303813.3696042835</v>
      </c>
      <c r="J154" s="97"/>
      <c r="K154" s="97"/>
      <c r="L154" s="97"/>
      <c r="M154" s="97"/>
      <c r="N154" s="97"/>
      <c r="O154" s="97"/>
      <c r="P154" s="97"/>
      <c r="Q154" s="97"/>
      <c r="R154" s="97"/>
      <c r="S154" s="97"/>
      <c r="T154" s="97"/>
      <c r="U154" s="97"/>
      <c r="V154" s="97"/>
      <c r="W154" s="97"/>
      <c r="X154" s="97"/>
      <c r="Y154" s="97"/>
      <c r="AQ154" s="3"/>
    </row>
    <row r="155" spans="3:43" x14ac:dyDescent="0.25">
      <c r="C155" s="75"/>
      <c r="F155" t="s">
        <v>193</v>
      </c>
      <c r="G155" t="s">
        <v>478</v>
      </c>
      <c r="H155" s="151">
        <f t="shared" si="37"/>
        <v>2268215.436934575</v>
      </c>
      <c r="J155" s="97"/>
      <c r="K155" s="97"/>
      <c r="L155" s="97"/>
      <c r="M155" s="97"/>
      <c r="N155" s="97"/>
      <c r="O155" s="97"/>
      <c r="P155" s="97"/>
      <c r="Q155" s="97"/>
      <c r="R155" s="97"/>
      <c r="S155" s="97"/>
      <c r="T155" s="97"/>
      <c r="U155" s="97"/>
      <c r="V155" s="97"/>
      <c r="W155" s="97"/>
      <c r="X155" s="97"/>
      <c r="Y155" s="97"/>
      <c r="AQ155" s="3"/>
    </row>
    <row r="156" spans="3:43" x14ac:dyDescent="0.25">
      <c r="C156" s="75"/>
      <c r="F156" t="s">
        <v>194</v>
      </c>
      <c r="G156" t="s">
        <v>478</v>
      </c>
      <c r="H156" s="151">
        <f t="shared" si="37"/>
        <v>2259187.7138024969</v>
      </c>
      <c r="J156" s="97"/>
      <c r="K156" s="97"/>
      <c r="L156" s="97"/>
      <c r="M156" s="97"/>
      <c r="N156" s="97"/>
      <c r="O156" s="97"/>
      <c r="P156" s="97"/>
      <c r="Q156" s="97"/>
      <c r="R156" s="97"/>
      <c r="S156" s="97"/>
      <c r="T156" s="97"/>
      <c r="U156" s="97"/>
      <c r="V156" s="97"/>
      <c r="W156" s="97"/>
      <c r="X156" s="97"/>
      <c r="Y156" s="97"/>
      <c r="AQ156" s="3"/>
    </row>
    <row r="157" spans="3:43" x14ac:dyDescent="0.25">
      <c r="C157" s="75"/>
      <c r="F157" t="s">
        <v>195</v>
      </c>
      <c r="G157" t="s">
        <v>478</v>
      </c>
      <c r="H157" s="151">
        <f t="shared" si="37"/>
        <v>2187237.2258020747</v>
      </c>
      <c r="J157" s="97"/>
      <c r="K157" s="97"/>
      <c r="L157" s="97"/>
      <c r="M157" s="97"/>
      <c r="N157" s="97"/>
      <c r="O157" s="97"/>
      <c r="P157" s="97"/>
      <c r="Q157" s="97"/>
      <c r="R157" s="97"/>
      <c r="S157" s="97"/>
      <c r="T157" s="97"/>
      <c r="U157" s="97"/>
      <c r="V157" s="97"/>
      <c r="W157" s="97"/>
      <c r="X157" s="97"/>
      <c r="Y157" s="97"/>
      <c r="AQ157" s="3"/>
    </row>
    <row r="158" spans="3:43" x14ac:dyDescent="0.25">
      <c r="C158" s="75"/>
      <c r="F158" t="s">
        <v>196</v>
      </c>
      <c r="G158" t="s">
        <v>478</v>
      </c>
      <c r="H158" s="151">
        <f t="shared" si="37"/>
        <v>2174345.8472610004</v>
      </c>
      <c r="J158" s="97"/>
      <c r="K158" s="97"/>
      <c r="L158" s="97"/>
      <c r="M158" s="97"/>
      <c r="N158" s="97"/>
      <c r="O158" s="97"/>
      <c r="P158" s="97"/>
      <c r="Q158" s="97"/>
      <c r="R158" s="97"/>
      <c r="S158" s="97"/>
      <c r="T158" s="97"/>
      <c r="U158" s="97"/>
      <c r="V158" s="97"/>
      <c r="W158" s="97"/>
      <c r="X158" s="97"/>
      <c r="Y158" s="97"/>
      <c r="AQ158" s="3"/>
    </row>
    <row r="159" spans="3:43" x14ac:dyDescent="0.25">
      <c r="C159" s="75"/>
      <c r="F159" t="s">
        <v>197</v>
      </c>
      <c r="G159" t="s">
        <v>478</v>
      </c>
      <c r="H159" s="151">
        <f t="shared" si="37"/>
        <v>0</v>
      </c>
      <c r="J159" s="97"/>
      <c r="K159" s="97"/>
      <c r="L159" s="97"/>
      <c r="M159" s="97"/>
      <c r="N159" s="97"/>
      <c r="O159" s="97"/>
      <c r="P159" s="97"/>
      <c r="Q159" s="97"/>
      <c r="R159" s="97"/>
      <c r="S159" s="97"/>
      <c r="T159" s="97"/>
      <c r="U159" s="97"/>
      <c r="V159" s="97"/>
      <c r="W159" s="97"/>
      <c r="X159" s="97"/>
      <c r="Y159" s="97"/>
      <c r="AQ159" s="3"/>
    </row>
    <row r="160" spans="3:43" x14ac:dyDescent="0.25">
      <c r="C160" s="75"/>
      <c r="F160" t="s">
        <v>198</v>
      </c>
      <c r="G160" t="s">
        <v>478</v>
      </c>
      <c r="H160" s="151">
        <f t="shared" si="37"/>
        <v>2240394.0266941907</v>
      </c>
      <c r="J160" s="97"/>
      <c r="K160" s="97"/>
      <c r="L160" s="97"/>
      <c r="M160" s="97"/>
      <c r="N160" s="97"/>
      <c r="O160" s="97"/>
      <c r="P160" s="97"/>
      <c r="Q160" s="97"/>
      <c r="R160" s="97"/>
      <c r="S160" s="97"/>
      <c r="T160" s="97"/>
      <c r="U160" s="97"/>
      <c r="V160" s="97"/>
      <c r="W160" s="97"/>
      <c r="X160" s="97"/>
      <c r="Y160" s="97"/>
      <c r="AQ160" s="3"/>
    </row>
    <row r="161" spans="3:43" x14ac:dyDescent="0.25">
      <c r="C161" s="75"/>
      <c r="F161" t="s">
        <v>199</v>
      </c>
      <c r="G161" t="s">
        <v>478</v>
      </c>
      <c r="H161" s="151">
        <f t="shared" si="37"/>
        <v>1950170.5399579338</v>
      </c>
      <c r="J161" s="97"/>
      <c r="K161" s="97"/>
      <c r="L161" s="97"/>
      <c r="M161" s="97"/>
      <c r="N161" s="97"/>
      <c r="O161" s="97"/>
      <c r="P161" s="97"/>
      <c r="Q161" s="97"/>
      <c r="R161" s="97"/>
      <c r="S161" s="97"/>
      <c r="T161" s="97"/>
      <c r="U161" s="97"/>
      <c r="V161" s="97"/>
      <c r="W161" s="97"/>
      <c r="X161" s="97"/>
      <c r="Y161" s="97"/>
      <c r="AQ161" s="3"/>
    </row>
    <row r="162" spans="3:43" x14ac:dyDescent="0.25">
      <c r="C162" s="75"/>
      <c r="F162" s="96" t="s">
        <v>200</v>
      </c>
      <c r="G162" s="96" t="s">
        <v>478</v>
      </c>
      <c r="H162" s="150">
        <f t="shared" si="37"/>
        <v>1867144.4655816222</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control'!$H$42:$H$65,MATCH($A$1,'Version control'!$F$42:$F$65,0),1)&amp;"-D: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479</v>
      </c>
      <c r="H166" s="97"/>
      <c r="J166" s="97"/>
      <c r="K166" s="97"/>
      <c r="L166" s="97"/>
      <c r="M166" s="97"/>
      <c r="N166" s="97"/>
      <c r="O166" s="97"/>
      <c r="P166" s="97"/>
      <c r="Q166" s="97"/>
      <c r="R166" s="97"/>
      <c r="S166" s="97"/>
      <c r="T166" s="97"/>
      <c r="U166" s="97"/>
      <c r="V166" s="97"/>
      <c r="W166" s="97"/>
      <c r="X166" s="97"/>
      <c r="Y166" s="97"/>
    </row>
    <row r="167" spans="3:43" x14ac:dyDescent="0.25">
      <c r="E167" s="86" t="s">
        <v>480</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192</v>
      </c>
      <c r="G168" s="95" t="s">
        <v>173</v>
      </c>
      <c r="H168" s="176"/>
      <c r="I168" s="95"/>
      <c r="J168" s="223">
        <f t="shared" ref="J168:Y168" si="38">J142 * (1 - J23)</f>
        <v>1461.1592115548624</v>
      </c>
      <c r="K168" s="223">
        <f t="shared" si="38"/>
        <v>0.20234426940345418</v>
      </c>
      <c r="L168" s="223">
        <f t="shared" si="38"/>
        <v>366.3733317765122</v>
      </c>
      <c r="M168" s="223">
        <f t="shared" si="38"/>
        <v>0.12662084038350699</v>
      </c>
      <c r="N168" s="223">
        <f t="shared" si="38"/>
        <v>230.42948094004996</v>
      </c>
      <c r="O168" s="223">
        <f t="shared" si="38"/>
        <v>97.98266072754987</v>
      </c>
      <c r="P168" s="223">
        <f t="shared" si="38"/>
        <v>273.8070985912284</v>
      </c>
      <c r="Q168" s="223">
        <f t="shared" si="38"/>
        <v>22.347947741616654</v>
      </c>
      <c r="R168" s="223">
        <f t="shared" si="38"/>
        <v>-23.558345564373393</v>
      </c>
      <c r="S168" s="223">
        <f t="shared" si="38"/>
        <v>-2.6418851085868527</v>
      </c>
      <c r="T168" s="223">
        <f t="shared" si="38"/>
        <v>-9.2527712646013516</v>
      </c>
      <c r="U168" s="223">
        <f t="shared" si="38"/>
        <v>0</v>
      </c>
      <c r="V168" s="223">
        <f t="shared" si="38"/>
        <v>0</v>
      </c>
      <c r="W168" s="223">
        <f t="shared" si="38"/>
        <v>0</v>
      </c>
      <c r="X168" s="223">
        <f t="shared" si="38"/>
        <v>-113.16232489976171</v>
      </c>
      <c r="Y168" s="223">
        <f t="shared" si="38"/>
        <v>0</v>
      </c>
      <c r="AQ168" s="3"/>
    </row>
    <row r="169" spans="3:43" x14ac:dyDescent="0.25">
      <c r="C169" s="75"/>
      <c r="F169" t="s">
        <v>193</v>
      </c>
      <c r="G169" t="s">
        <v>173</v>
      </c>
      <c r="H169" s="97"/>
      <c r="J169" s="106">
        <f t="shared" ref="J169:Y169" si="39">J143 * (1 - J24)</f>
        <v>1419.885831854946</v>
      </c>
      <c r="K169" s="106">
        <f t="shared" si="39"/>
        <v>0.56509222546022353</v>
      </c>
      <c r="L169" s="106">
        <f t="shared" si="39"/>
        <v>372.34149784425824</v>
      </c>
      <c r="M169" s="106">
        <f t="shared" si="39"/>
        <v>0.30684903701921246</v>
      </c>
      <c r="N169" s="106">
        <f t="shared" si="39"/>
        <v>229.87244598792103</v>
      </c>
      <c r="O169" s="106">
        <f t="shared" si="39"/>
        <v>97.961884870761338</v>
      </c>
      <c r="P169" s="106">
        <f t="shared" si="39"/>
        <v>273.38264875131546</v>
      </c>
      <c r="Q169" s="106">
        <f t="shared" si="39"/>
        <v>20.22421359739225</v>
      </c>
      <c r="R169" s="106">
        <f t="shared" si="39"/>
        <v>-24.550479290952072</v>
      </c>
      <c r="S169" s="106">
        <f t="shared" si="39"/>
        <v>-2.7151634001411455</v>
      </c>
      <c r="T169" s="106">
        <f t="shared" si="39"/>
        <v>-9.5345833771984108</v>
      </c>
      <c r="U169" s="106">
        <f t="shared" si="39"/>
        <v>0</v>
      </c>
      <c r="V169" s="106">
        <f t="shared" si="39"/>
        <v>0</v>
      </c>
      <c r="W169" s="106">
        <f t="shared" si="39"/>
        <v>0</v>
      </c>
      <c r="X169" s="106">
        <f t="shared" si="39"/>
        <v>-109.52480116620755</v>
      </c>
      <c r="Y169" s="106">
        <f t="shared" si="39"/>
        <v>0</v>
      </c>
      <c r="AQ169" s="3"/>
    </row>
    <row r="170" spans="3:43" x14ac:dyDescent="0.25">
      <c r="C170" s="75"/>
      <c r="F170" t="s">
        <v>194</v>
      </c>
      <c r="G170" t="s">
        <v>173</v>
      </c>
      <c r="H170" s="97"/>
      <c r="J170" s="106">
        <f t="shared" ref="J170:Y170" si="40">J144 * (1 - J25)</f>
        <v>1414.2345449619911</v>
      </c>
      <c r="K170" s="106">
        <f t="shared" si="40"/>
        <v>0.56284310217480971</v>
      </c>
      <c r="L170" s="106">
        <f t="shared" si="40"/>
        <v>370.85954163393285</v>
      </c>
      <c r="M170" s="106">
        <f t="shared" si="40"/>
        <v>0.30562774731963349</v>
      </c>
      <c r="N170" s="106">
        <f t="shared" si="40"/>
        <v>228.95753078000891</v>
      </c>
      <c r="O170" s="106">
        <f t="shared" si="40"/>
        <v>97.57198682152449</v>
      </c>
      <c r="P170" s="106">
        <f t="shared" si="40"/>
        <v>272.29455860703166</v>
      </c>
      <c r="Q170" s="106">
        <f t="shared" si="40"/>
        <v>20.143719214915066</v>
      </c>
      <c r="R170" s="106">
        <f t="shared" si="40"/>
        <v>-24.452765940540324</v>
      </c>
      <c r="S170" s="106">
        <f t="shared" si="40"/>
        <v>-2.7043567796430716</v>
      </c>
      <c r="T170" s="106">
        <f t="shared" si="40"/>
        <v>-9.4966347866423959</v>
      </c>
      <c r="U170" s="106">
        <f t="shared" si="40"/>
        <v>0</v>
      </c>
      <c r="V170" s="106">
        <f t="shared" si="40"/>
        <v>0</v>
      </c>
      <c r="W170" s="106">
        <f t="shared" si="40"/>
        <v>0</v>
      </c>
      <c r="X170" s="106">
        <f t="shared" si="40"/>
        <v>-109.08888155957588</v>
      </c>
      <c r="Y170" s="106">
        <f t="shared" si="40"/>
        <v>0</v>
      </c>
      <c r="AQ170" s="3"/>
    </row>
    <row r="171" spans="3:43" x14ac:dyDescent="0.25">
      <c r="C171" s="75"/>
      <c r="F171" t="s">
        <v>195</v>
      </c>
      <c r="G171" t="s">
        <v>173</v>
      </c>
      <c r="H171" s="97"/>
      <c r="J171" s="106">
        <f t="shared" ref="J171:Y171" si="41">J145 * (1 - J26)</f>
        <v>1318.593739522913</v>
      </c>
      <c r="K171" s="106">
        <f t="shared" si="41"/>
        <v>1.1044115397361858</v>
      </c>
      <c r="L171" s="106">
        <f t="shared" si="41"/>
        <v>391.82827563227676</v>
      </c>
      <c r="M171" s="106">
        <f t="shared" si="41"/>
        <v>0.58153466405449195</v>
      </c>
      <c r="N171" s="106">
        <f t="shared" si="41"/>
        <v>230.42011762435087</v>
      </c>
      <c r="O171" s="106">
        <f t="shared" si="41"/>
        <v>98.395074160367855</v>
      </c>
      <c r="P171" s="106">
        <f t="shared" si="41"/>
        <v>217.96759208425397</v>
      </c>
      <c r="Q171" s="106">
        <f t="shared" si="41"/>
        <v>16.866607229794248</v>
      </c>
      <c r="R171" s="106">
        <f t="shared" si="41"/>
        <v>-27.854311189193357</v>
      </c>
      <c r="S171" s="106">
        <f t="shared" si="41"/>
        <v>-2.905440969074109</v>
      </c>
      <c r="T171" s="106">
        <f t="shared" si="41"/>
        <v>-10.39125365473976</v>
      </c>
      <c r="U171" s="106">
        <f t="shared" si="41"/>
        <v>0</v>
      </c>
      <c r="V171" s="106">
        <f t="shared" si="41"/>
        <v>0</v>
      </c>
      <c r="W171" s="106">
        <f t="shared" si="41"/>
        <v>0</v>
      </c>
      <c r="X171" s="106">
        <f t="shared" si="41"/>
        <v>-101.86101886372956</v>
      </c>
      <c r="Y171" s="106">
        <f t="shared" si="41"/>
        <v>0</v>
      </c>
      <c r="AQ171" s="3"/>
    </row>
    <row r="172" spans="3:43" x14ac:dyDescent="0.25">
      <c r="C172" s="75"/>
      <c r="F172" t="s">
        <v>196</v>
      </c>
      <c r="G172" t="s">
        <v>173</v>
      </c>
      <c r="H172" s="97"/>
      <c r="J172" s="106">
        <f t="shared" ref="J172:Y172" si="42">J146 * (1 - J27)</f>
        <v>1310.8220671878073</v>
      </c>
      <c r="K172" s="106">
        <f t="shared" si="42"/>
        <v>1.097902237930275</v>
      </c>
      <c r="L172" s="106">
        <f t="shared" si="42"/>
        <v>389.51887518650693</v>
      </c>
      <c r="M172" s="106">
        <f t="shared" si="42"/>
        <v>0.57810715129975021</v>
      </c>
      <c r="N172" s="106">
        <f t="shared" si="42"/>
        <v>229.06204227489496</v>
      </c>
      <c r="O172" s="106">
        <f t="shared" si="42"/>
        <v>97.815142485552315</v>
      </c>
      <c r="P172" s="106">
        <f t="shared" si="42"/>
        <v>0</v>
      </c>
      <c r="Q172" s="106">
        <f t="shared" si="42"/>
        <v>16.767196971072472</v>
      </c>
      <c r="R172" s="106">
        <f t="shared" si="42"/>
        <v>-27.690140396329742</v>
      </c>
      <c r="S172" s="106">
        <f t="shared" si="42"/>
        <v>-2.8883165625766187</v>
      </c>
      <c r="T172" s="106">
        <f t="shared" si="42"/>
        <v>-10.330008544790411</v>
      </c>
      <c r="U172" s="106">
        <f t="shared" si="42"/>
        <v>0</v>
      </c>
      <c r="V172" s="106">
        <f t="shared" si="42"/>
        <v>0</v>
      </c>
      <c r="W172" s="106">
        <f t="shared" si="42"/>
        <v>0</v>
      </c>
      <c r="X172" s="106">
        <f t="shared" si="42"/>
        <v>-101.26065922406121</v>
      </c>
      <c r="Y172" s="106">
        <f t="shared" si="42"/>
        <v>0</v>
      </c>
      <c r="AQ172" s="3"/>
    </row>
    <row r="173" spans="3:43" x14ac:dyDescent="0.25">
      <c r="C173" s="75"/>
      <c r="F173" t="s">
        <v>197</v>
      </c>
      <c r="G173" t="s">
        <v>173</v>
      </c>
      <c r="H173" s="97"/>
      <c r="J173" s="106">
        <f t="shared" ref="J173:Y173" si="43">J147 * (1 - J28)</f>
        <v>0</v>
      </c>
      <c r="K173" s="106">
        <f t="shared" si="43"/>
        <v>0</v>
      </c>
      <c r="L173" s="106">
        <f t="shared" si="43"/>
        <v>0</v>
      </c>
      <c r="M173" s="106">
        <f t="shared" si="43"/>
        <v>0</v>
      </c>
      <c r="N173" s="106">
        <f t="shared" si="43"/>
        <v>0</v>
      </c>
      <c r="O173" s="106">
        <f t="shared" si="43"/>
        <v>0</v>
      </c>
      <c r="P173" s="106">
        <f t="shared" si="43"/>
        <v>0</v>
      </c>
      <c r="Q173" s="106">
        <f t="shared" si="43"/>
        <v>0</v>
      </c>
      <c r="R173" s="106">
        <f t="shared" si="43"/>
        <v>0</v>
      </c>
      <c r="S173" s="106">
        <f t="shared" si="43"/>
        <v>0</v>
      </c>
      <c r="T173" s="106">
        <f t="shared" si="43"/>
        <v>0</v>
      </c>
      <c r="U173" s="106">
        <f t="shared" si="43"/>
        <v>0</v>
      </c>
      <c r="V173" s="106">
        <f t="shared" si="43"/>
        <v>0</v>
      </c>
      <c r="W173" s="106">
        <f t="shared" si="43"/>
        <v>0</v>
      </c>
      <c r="X173" s="106">
        <f t="shared" si="43"/>
        <v>0</v>
      </c>
      <c r="Y173" s="106">
        <f t="shared" si="43"/>
        <v>0</v>
      </c>
      <c r="AQ173" s="3"/>
    </row>
    <row r="174" spans="3:43" x14ac:dyDescent="0.25">
      <c r="C174" s="75"/>
      <c r="F174" t="s">
        <v>198</v>
      </c>
      <c r="G174" t="s">
        <v>173</v>
      </c>
      <c r="H174" s="97"/>
      <c r="J174" s="106">
        <f t="shared" ref="J174:Y174" si="44">J148 * (1 - J29)</f>
        <v>1290.5385535756168</v>
      </c>
      <c r="K174" s="106">
        <f t="shared" si="44"/>
        <v>1.0809134218694585</v>
      </c>
      <c r="L174" s="106">
        <f t="shared" si="44"/>
        <v>383.49150381031336</v>
      </c>
      <c r="M174" s="106">
        <f t="shared" si="44"/>
        <v>0.56916158609588563</v>
      </c>
      <c r="N174" s="106">
        <f t="shared" si="44"/>
        <v>180.4140495441726</v>
      </c>
      <c r="O174" s="106">
        <f t="shared" si="44"/>
        <v>0</v>
      </c>
      <c r="P174" s="106">
        <f t="shared" si="44"/>
        <v>0</v>
      </c>
      <c r="Q174" s="106">
        <f t="shared" si="44"/>
        <v>16.507743246181604</v>
      </c>
      <c r="R174" s="106">
        <f t="shared" si="44"/>
        <v>-27.26166627027435</v>
      </c>
      <c r="S174" s="106">
        <f t="shared" si="44"/>
        <v>-2.8436230761150854</v>
      </c>
      <c r="T174" s="106">
        <f t="shared" si="44"/>
        <v>-10.170163151447426</v>
      </c>
      <c r="U174" s="106">
        <f t="shared" si="44"/>
        <v>0</v>
      </c>
      <c r="V174" s="106">
        <f t="shared" si="44"/>
        <v>0</v>
      </c>
      <c r="W174" s="106">
        <f t="shared" si="44"/>
        <v>0</v>
      </c>
      <c r="X174" s="106">
        <f t="shared" si="44"/>
        <v>0</v>
      </c>
      <c r="Y174" s="106">
        <f t="shared" si="44"/>
        <v>0</v>
      </c>
      <c r="AQ174" s="3"/>
    </row>
    <row r="175" spans="3:43" x14ac:dyDescent="0.25">
      <c r="C175" s="75"/>
      <c r="F175" t="s">
        <v>199</v>
      </c>
      <c r="G175" t="s">
        <v>173</v>
      </c>
      <c r="H175" s="97"/>
      <c r="J175" s="106">
        <f t="shared" ref="J175:Y175" si="45">J149 * (1 - J30)</f>
        <v>1273.298534730141</v>
      </c>
      <c r="K175" s="106">
        <f t="shared" si="45"/>
        <v>1.0664737387528818</v>
      </c>
      <c r="L175" s="106">
        <f t="shared" si="45"/>
        <v>378.36852570597716</v>
      </c>
      <c r="M175" s="106">
        <f t="shared" si="45"/>
        <v>0.56155828246483375</v>
      </c>
      <c r="N175" s="106">
        <f t="shared" si="45"/>
        <v>0</v>
      </c>
      <c r="O175" s="106">
        <f t="shared" si="45"/>
        <v>0</v>
      </c>
      <c r="P175" s="106">
        <f t="shared" si="45"/>
        <v>0</v>
      </c>
      <c r="Q175" s="106">
        <f t="shared" si="45"/>
        <v>16.287219958541776</v>
      </c>
      <c r="R175" s="106">
        <f t="shared" si="45"/>
        <v>-26.897483705595111</v>
      </c>
      <c r="S175" s="106">
        <f t="shared" si="45"/>
        <v>0</v>
      </c>
      <c r="T175" s="106">
        <f t="shared" si="45"/>
        <v>-10.034302193317401</v>
      </c>
      <c r="U175" s="106">
        <f t="shared" si="45"/>
        <v>0</v>
      </c>
      <c r="V175" s="106">
        <f t="shared" si="45"/>
        <v>0</v>
      </c>
      <c r="W175" s="106">
        <f t="shared" si="45"/>
        <v>0</v>
      </c>
      <c r="X175" s="106">
        <f t="shared" si="45"/>
        <v>0</v>
      </c>
      <c r="Y175" s="106">
        <f t="shared" si="45"/>
        <v>0</v>
      </c>
      <c r="AQ175" s="3"/>
    </row>
    <row r="176" spans="3:43" x14ac:dyDescent="0.25">
      <c r="C176" s="75"/>
      <c r="F176" s="96" t="s">
        <v>200</v>
      </c>
      <c r="G176" s="96" t="s">
        <v>173</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16.072510844210715</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102</v>
      </c>
      <c r="G177" s="145" t="s">
        <v>173</v>
      </c>
      <c r="H177" s="229"/>
      <c r="I177" s="145"/>
      <c r="J177" s="228">
        <f t="shared" ref="J177:Y177" si="47">SUM(J168:J176)</f>
        <v>9488.5324833882769</v>
      </c>
      <c r="K177" s="228">
        <f t="shared" si="47"/>
        <v>5.6799805353272887</v>
      </c>
      <c r="L177" s="228">
        <f t="shared" si="47"/>
        <v>2652.7815515897773</v>
      </c>
      <c r="M177" s="228">
        <f t="shared" si="47"/>
        <v>3.0294593086373141</v>
      </c>
      <c r="N177" s="228">
        <f t="shared" si="47"/>
        <v>1329.1556671513981</v>
      </c>
      <c r="O177" s="228">
        <f t="shared" si="47"/>
        <v>489.72674906575588</v>
      </c>
      <c r="P177" s="228">
        <f t="shared" si="47"/>
        <v>1037.4518980338294</v>
      </c>
      <c r="Q177" s="228">
        <f t="shared" si="47"/>
        <v>145.2171588037248</v>
      </c>
      <c r="R177" s="228">
        <f t="shared" si="47"/>
        <v>-182.26519235725834</v>
      </c>
      <c r="S177" s="228">
        <f t="shared" si="47"/>
        <v>-16.698785896136883</v>
      </c>
      <c r="T177" s="228">
        <f t="shared" si="47"/>
        <v>-69.209716972737155</v>
      </c>
      <c r="U177" s="228">
        <f t="shared" si="47"/>
        <v>0</v>
      </c>
      <c r="V177" s="228">
        <f t="shared" si="47"/>
        <v>0</v>
      </c>
      <c r="W177" s="228">
        <f t="shared" si="47"/>
        <v>0</v>
      </c>
      <c r="X177" s="228">
        <f t="shared" si="47"/>
        <v>-534.89768571333593</v>
      </c>
      <c r="Y177" s="228">
        <f t="shared" si="47"/>
        <v>0</v>
      </c>
      <c r="AQ177" s="3"/>
    </row>
    <row r="178" spans="2:43" x14ac:dyDescent="0.25">
      <c r="H178" s="230"/>
    </row>
    <row r="179" spans="2:43" x14ac:dyDescent="0.25">
      <c r="B179" s="85" t="s">
        <v>481</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482</v>
      </c>
      <c r="J181" s="97"/>
      <c r="K181" s="97"/>
      <c r="L181" s="97"/>
      <c r="M181" s="97"/>
      <c r="N181" s="97"/>
      <c r="O181" s="97"/>
      <c r="P181" s="97"/>
      <c r="Q181" s="97"/>
      <c r="R181" s="97"/>
      <c r="S181" s="97"/>
      <c r="T181" s="97"/>
      <c r="U181" s="97"/>
      <c r="V181" s="97"/>
      <c r="W181" s="97"/>
      <c r="X181" s="97"/>
      <c r="Y181" s="97"/>
      <c r="AQ181" s="3"/>
    </row>
    <row r="182" spans="2:43" x14ac:dyDescent="0.25">
      <c r="C182" s="86" t="s">
        <v>483</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control'!$H$42:$H$65,MATCH($A$1,'Version control'!$F$42:$F$65,0),1)&amp;"-E: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484</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251</v>
      </c>
      <c r="G188" t="s">
        <v>252</v>
      </c>
      <c r="J188" s="167">
        <f>'Volume adjustments'!J286</f>
        <v>0</v>
      </c>
      <c r="K188" s="167">
        <f>'Volume adjustments'!K286</f>
        <v>0</v>
      </c>
      <c r="L188" s="167">
        <f>'Volume adjustments'!L286</f>
        <v>0</v>
      </c>
      <c r="M188" s="167">
        <f>'Volume adjustments'!M286</f>
        <v>0</v>
      </c>
      <c r="N188" s="167">
        <f>'Volume adjustments'!N286</f>
        <v>946708.85954857164</v>
      </c>
      <c r="O188" s="167">
        <f>'Volume adjustments'!O286</f>
        <v>396987.96924314281</v>
      </c>
      <c r="P188" s="167">
        <f>'Volume adjustments'!P286</f>
        <v>990430.04437301285</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253</v>
      </c>
      <c r="G189" t="s">
        <v>252</v>
      </c>
      <c r="J189" s="167">
        <f>'Volume adjustments'!J297</f>
        <v>0</v>
      </c>
      <c r="K189" s="167">
        <f>'Volume adjustments'!K297</f>
        <v>0</v>
      </c>
      <c r="L189" s="167">
        <f>'Volume adjustments'!L297</f>
        <v>0</v>
      </c>
      <c r="M189" s="167">
        <f>'Volume adjustments'!M297</f>
        <v>0</v>
      </c>
      <c r="N189" s="167">
        <f>'Volume adjustments'!N297</f>
        <v>27761.642467843805</v>
      </c>
      <c r="O189" s="167">
        <f>'Volume adjustments'!O297</f>
        <v>4435.0710382513662</v>
      </c>
      <c r="P189" s="167">
        <f>'Volume adjustments'!P297</f>
        <v>15085.710382513662</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485</v>
      </c>
      <c r="G191" t="s">
        <v>252</v>
      </c>
      <c r="J191" s="106">
        <f t="shared" ref="J191:Y191" si="48">SUM(J188:J189)</f>
        <v>0</v>
      </c>
      <c r="K191" s="106">
        <f t="shared" si="48"/>
        <v>0</v>
      </c>
      <c r="L191" s="106">
        <f t="shared" si="48"/>
        <v>0</v>
      </c>
      <c r="M191" s="106">
        <f t="shared" si="48"/>
        <v>0</v>
      </c>
      <c r="N191" s="106">
        <f t="shared" si="48"/>
        <v>974470.50201641547</v>
      </c>
      <c r="O191" s="106">
        <f t="shared" si="48"/>
        <v>401423.04028139421</v>
      </c>
      <c r="P191" s="106">
        <f t="shared" si="48"/>
        <v>1005515.7547555265</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486</v>
      </c>
      <c r="G192" t="s">
        <v>173</v>
      </c>
      <c r="J192" s="106">
        <f t="shared" ref="J192:Y192" si="49">J191 * PowerFactor / thousand</f>
        <v>0</v>
      </c>
      <c r="K192" s="106">
        <f t="shared" si="49"/>
        <v>0</v>
      </c>
      <c r="L192" s="106">
        <f t="shared" si="49"/>
        <v>0</v>
      </c>
      <c r="M192" s="106">
        <f t="shared" si="49"/>
        <v>0</v>
      </c>
      <c r="N192" s="106">
        <f t="shared" si="49"/>
        <v>925.7469769155947</v>
      </c>
      <c r="O192" s="106">
        <f t="shared" si="49"/>
        <v>381.35188826732445</v>
      </c>
      <c r="P192" s="106">
        <f t="shared" si="49"/>
        <v>955.23996701775013</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control'!$H$42:$H$65,MATCH($A$1,'Version control'!$F$42:$F$65,0),1)&amp;"-F: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487</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222</v>
      </c>
      <c r="G198" t="s">
        <v>210</v>
      </c>
      <c r="H198" s="230"/>
      <c r="I198" t="s">
        <v>155</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488</v>
      </c>
    </row>
    <row r="199" spans="3:43" x14ac:dyDescent="0.25">
      <c r="D199" s="75"/>
      <c r="H199" s="232"/>
      <c r="J199" s="97"/>
      <c r="L199" s="97"/>
      <c r="AQ199" s="3"/>
    </row>
    <row r="200" spans="3:43" x14ac:dyDescent="0.25">
      <c r="C200" s="75"/>
      <c r="E200" t="s">
        <v>489</v>
      </c>
      <c r="G200" t="s">
        <v>173</v>
      </c>
      <c r="H200" s="97"/>
      <c r="I200" t="s">
        <v>155</v>
      </c>
      <c r="J200" s="151">
        <f t="shared" ref="J200:Q200" si="50">IF(J61 = 0, 0, J59 / (hours_in_year * J61))</f>
        <v>1476.0369685628284</v>
      </c>
      <c r="K200" s="151">
        <f t="shared" si="50"/>
        <v>22.411797777387644</v>
      </c>
      <c r="L200" s="151">
        <f t="shared" si="50"/>
        <v>465.10036624823925</v>
      </c>
      <c r="M200" s="151">
        <f t="shared" si="50"/>
        <v>8.9715404258028091</v>
      </c>
      <c r="N200" s="151">
        <f t="shared" si="50"/>
        <v>274.00133343264241</v>
      </c>
      <c r="O200" s="151">
        <f t="shared" si="50"/>
        <v>119.1067604029769</v>
      </c>
      <c r="P200" s="151">
        <f t="shared" si="50"/>
        <v>309.7185886643781</v>
      </c>
      <c r="Q200" s="151">
        <f t="shared" si="50"/>
        <v>22.569446367327203</v>
      </c>
      <c r="R200" s="140"/>
      <c r="S200" s="140"/>
      <c r="T200" s="140"/>
      <c r="U200" s="140"/>
      <c r="V200" s="140"/>
      <c r="W200" s="140"/>
      <c r="X200" s="140"/>
      <c r="Y200" s="140"/>
      <c r="AA200" t="s">
        <v>488</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490</v>
      </c>
      <c r="G202" t="s">
        <v>173</v>
      </c>
      <c r="H202" s="97"/>
      <c r="I202" t="s">
        <v>155</v>
      </c>
      <c r="J202" s="106">
        <f t="shared" ref="J202:Y202" si="51">J192 * J42 / $H53</f>
        <v>0</v>
      </c>
      <c r="K202" s="106">
        <f t="shared" si="51"/>
        <v>0</v>
      </c>
      <c r="L202" s="106">
        <f t="shared" si="51"/>
        <v>0</v>
      </c>
      <c r="M202" s="106">
        <f t="shared" si="51"/>
        <v>0</v>
      </c>
      <c r="N202" s="106">
        <f t="shared" si="51"/>
        <v>925.7469769155947</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488</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491</v>
      </c>
      <c r="G204" t="s">
        <v>173</v>
      </c>
      <c r="H204" s="97"/>
      <c r="J204" s="106">
        <f t="shared" ref="J204:Y204" si="52">IF(J198, J$200 * J42 / $H53, 0)</f>
        <v>1476.0369685628284</v>
      </c>
      <c r="K204" s="106">
        <f t="shared" si="52"/>
        <v>0</v>
      </c>
      <c r="L204" s="106">
        <f t="shared" si="52"/>
        <v>465.10036624823925</v>
      </c>
      <c r="M204" s="106">
        <f t="shared" si="52"/>
        <v>0</v>
      </c>
      <c r="N204" s="106">
        <f t="shared" si="52"/>
        <v>274.00133343264241</v>
      </c>
      <c r="O204" s="106">
        <f t="shared" si="52"/>
        <v>0</v>
      </c>
      <c r="P204" s="106">
        <f t="shared" si="52"/>
        <v>0</v>
      </c>
      <c r="Q204" s="106">
        <f t="shared" si="52"/>
        <v>22.569446367327203</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492</v>
      </c>
      <c r="G206" t="s">
        <v>173</v>
      </c>
      <c r="H206" s="97"/>
      <c r="J206" s="106">
        <f t="shared" ref="J206:Y206" si="53">IF(J202 = 0, J204, J202)</f>
        <v>1476.0369685628284</v>
      </c>
      <c r="K206" s="106">
        <f t="shared" si="53"/>
        <v>0</v>
      </c>
      <c r="L206" s="106">
        <f t="shared" si="53"/>
        <v>465.10036624823925</v>
      </c>
      <c r="M206" s="106">
        <f t="shared" si="53"/>
        <v>0</v>
      </c>
      <c r="N206" s="106">
        <f t="shared" si="53"/>
        <v>925.7469769155947</v>
      </c>
      <c r="O206" s="106">
        <f t="shared" si="53"/>
        <v>0</v>
      </c>
      <c r="P206" s="106">
        <f t="shared" si="53"/>
        <v>0</v>
      </c>
      <c r="Q206" s="106">
        <f t="shared" si="53"/>
        <v>22.569446367327203</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493</v>
      </c>
      <c r="G208" t="s">
        <v>173</v>
      </c>
      <c r="H208" s="97"/>
      <c r="I208" t="s">
        <v>155</v>
      </c>
      <c r="J208" s="106">
        <f t="shared" ref="J208:Y208" si="54">J150</f>
        <v>1256.5130549879359</v>
      </c>
      <c r="K208" s="106">
        <f t="shared" si="54"/>
        <v>1.0524147629124483</v>
      </c>
      <c r="L208" s="106">
        <f t="shared" si="54"/>
        <v>373.38061670420342</v>
      </c>
      <c r="M208" s="106">
        <f t="shared" si="54"/>
        <v>0.55415544258299976</v>
      </c>
      <c r="N208" s="106">
        <f t="shared" si="54"/>
        <v>219.57171283977689</v>
      </c>
      <c r="O208" s="106">
        <f t="shared" si="54"/>
        <v>0</v>
      </c>
      <c r="P208" s="106">
        <f t="shared" si="54"/>
        <v>0</v>
      </c>
      <c r="Q208" s="106">
        <f t="shared" si="54"/>
        <v>16.072510844210715</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488</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494</v>
      </c>
      <c r="G210" t="s">
        <v>168</v>
      </c>
      <c r="H210" s="233">
        <f>SUM(J206:Y206) / SUM(J208:Y208) - 1</f>
        <v>0.5475255457503736</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349</v>
      </c>
      <c r="J212" s="97"/>
      <c r="L212" s="97"/>
      <c r="AA212" t="s">
        <v>488</v>
      </c>
      <c r="AQ212" s="3"/>
    </row>
    <row r="213" spans="5:43" x14ac:dyDescent="0.25">
      <c r="E213" s="86" t="s">
        <v>495</v>
      </c>
      <c r="F213" s="86"/>
      <c r="J213" s="97"/>
      <c r="L213" s="97"/>
      <c r="AQ213" s="3"/>
    </row>
    <row r="214" spans="5:43" x14ac:dyDescent="0.25">
      <c r="E214" s="75"/>
      <c r="F214" s="95" t="s">
        <v>192</v>
      </c>
      <c r="G214" s="95" t="s">
        <v>168</v>
      </c>
      <c r="H214" s="154">
        <f t="array" ref="H214:H222">TRANSPOSE('Load &amp; loss characteristics'!K23:S23)</f>
        <v>2.200000000000002E-2</v>
      </c>
      <c r="J214" s="97"/>
      <c r="K214" s="234"/>
      <c r="L214" s="97"/>
      <c r="M214" s="234"/>
      <c r="AQ214" s="3"/>
    </row>
    <row r="215" spans="5:43" x14ac:dyDescent="0.25">
      <c r="E215" s="75"/>
      <c r="F215" t="s">
        <v>193</v>
      </c>
      <c r="G215" t="s">
        <v>168</v>
      </c>
      <c r="H215" s="155">
        <v>5.3682000000000007E-2</v>
      </c>
      <c r="J215" s="97"/>
      <c r="L215" s="97"/>
      <c r="AQ215" s="3"/>
    </row>
    <row r="216" spans="5:43" x14ac:dyDescent="0.25">
      <c r="E216" s="75"/>
      <c r="F216" t="s">
        <v>194</v>
      </c>
      <c r="G216" t="s">
        <v>168</v>
      </c>
      <c r="H216" s="155">
        <v>5.3682000000000007E-2</v>
      </c>
      <c r="J216" s="97"/>
      <c r="L216" s="97"/>
      <c r="AQ216" s="3"/>
    </row>
    <row r="217" spans="5:43" x14ac:dyDescent="0.25">
      <c r="E217" s="75"/>
      <c r="F217" t="s">
        <v>195</v>
      </c>
      <c r="G217" t="s">
        <v>168</v>
      </c>
      <c r="H217" s="155">
        <v>0.13270815000000002</v>
      </c>
      <c r="J217" s="97"/>
      <c r="L217" s="97"/>
      <c r="AQ217" s="3"/>
    </row>
    <row r="218" spans="5:43" x14ac:dyDescent="0.25">
      <c r="E218" s="75"/>
      <c r="F218" t="s">
        <v>196</v>
      </c>
      <c r="G218" t="s">
        <v>168</v>
      </c>
      <c r="H218" s="155">
        <v>0.13270815000000002</v>
      </c>
      <c r="J218" s="97"/>
      <c r="L218" s="97"/>
      <c r="AQ218" s="3"/>
    </row>
    <row r="219" spans="5:43" x14ac:dyDescent="0.25">
      <c r="E219" s="75"/>
      <c r="F219" t="s">
        <v>197</v>
      </c>
      <c r="G219" t="s">
        <v>168</v>
      </c>
      <c r="H219" s="155">
        <v>5.3682000000000007E-2</v>
      </c>
      <c r="J219" s="97"/>
      <c r="L219" s="97"/>
      <c r="AQ219" s="3"/>
    </row>
    <row r="220" spans="5:43" x14ac:dyDescent="0.25">
      <c r="E220" s="75"/>
      <c r="F220" t="s">
        <v>198</v>
      </c>
      <c r="G220" t="s">
        <v>168</v>
      </c>
      <c r="H220" s="155">
        <v>0.55181016550000006</v>
      </c>
      <c r="J220" s="97"/>
      <c r="L220" s="97"/>
      <c r="AQ220" s="3"/>
    </row>
    <row r="221" spans="5:43" x14ac:dyDescent="0.25">
      <c r="E221" s="75"/>
      <c r="F221" t="s">
        <v>199</v>
      </c>
      <c r="G221" t="s">
        <v>168</v>
      </c>
      <c r="H221" s="155">
        <v>0.55181016550000006</v>
      </c>
      <c r="J221" s="97"/>
      <c r="L221" s="97"/>
      <c r="AQ221" s="3"/>
    </row>
    <row r="222" spans="5:43" x14ac:dyDescent="0.25">
      <c r="E222" s="75"/>
      <c r="F222" s="96" t="s">
        <v>200</v>
      </c>
      <c r="G222" s="96" t="s">
        <v>168</v>
      </c>
      <c r="H222" s="187">
        <v>0.55181016550000006</v>
      </c>
      <c r="J222" s="97"/>
      <c r="L222" s="97"/>
      <c r="AQ222" s="3"/>
    </row>
    <row r="223" spans="5:43" x14ac:dyDescent="0.25">
      <c r="H223" s="230"/>
    </row>
    <row r="224" spans="5:43" x14ac:dyDescent="0.25">
      <c r="E224" s="75" t="s">
        <v>496</v>
      </c>
      <c r="J224" s="97"/>
      <c r="L224" s="97"/>
      <c r="AA224" t="s">
        <v>488</v>
      </c>
      <c r="AQ224" s="3"/>
    </row>
    <row r="225" spans="3:43" x14ac:dyDescent="0.25">
      <c r="E225" s="86" t="s">
        <v>497</v>
      </c>
      <c r="F225" s="86"/>
      <c r="J225" s="97"/>
      <c r="L225" s="97"/>
      <c r="AQ225" s="3"/>
    </row>
    <row r="226" spans="3:43" x14ac:dyDescent="0.25">
      <c r="C226" s="75"/>
      <c r="F226" s="95" t="s">
        <v>192</v>
      </c>
      <c r="G226" s="95" t="s">
        <v>168</v>
      </c>
      <c r="H226" s="235">
        <f t="shared" ref="H226:H233" si="55">IF(F226 = $F$234, $H$210, H214)</f>
        <v>2.200000000000002E-2</v>
      </c>
      <c r="J226" s="97"/>
      <c r="L226" s="97"/>
      <c r="AQ226" s="3"/>
    </row>
    <row r="227" spans="3:43" x14ac:dyDescent="0.25">
      <c r="C227" s="75"/>
      <c r="F227" t="s">
        <v>193</v>
      </c>
      <c r="G227" t="s">
        <v>168</v>
      </c>
      <c r="H227" s="158">
        <f t="shared" si="55"/>
        <v>5.3682000000000007E-2</v>
      </c>
      <c r="J227" s="97"/>
      <c r="L227" s="97"/>
      <c r="AQ227" s="3"/>
    </row>
    <row r="228" spans="3:43" x14ac:dyDescent="0.25">
      <c r="C228" s="75"/>
      <c r="F228" t="s">
        <v>194</v>
      </c>
      <c r="G228" t="s">
        <v>168</v>
      </c>
      <c r="H228" s="158">
        <f t="shared" si="55"/>
        <v>5.3682000000000007E-2</v>
      </c>
      <c r="J228" s="97"/>
      <c r="L228" s="97"/>
      <c r="AQ228" s="3"/>
    </row>
    <row r="229" spans="3:43" x14ac:dyDescent="0.25">
      <c r="C229" s="75"/>
      <c r="F229" t="s">
        <v>195</v>
      </c>
      <c r="G229" t="s">
        <v>168</v>
      </c>
      <c r="H229" s="158">
        <f t="shared" si="55"/>
        <v>0.13270815000000002</v>
      </c>
      <c r="J229" s="97"/>
      <c r="L229" s="97"/>
      <c r="AQ229" s="3"/>
    </row>
    <row r="230" spans="3:43" x14ac:dyDescent="0.25">
      <c r="C230" s="75"/>
      <c r="F230" t="s">
        <v>196</v>
      </c>
      <c r="G230" t="s">
        <v>168</v>
      </c>
      <c r="H230" s="158">
        <f t="shared" si="55"/>
        <v>0.13270815000000002</v>
      </c>
      <c r="J230" s="97"/>
      <c r="L230" s="97"/>
      <c r="AQ230" s="3"/>
    </row>
    <row r="231" spans="3:43" x14ac:dyDescent="0.25">
      <c r="C231" s="75"/>
      <c r="F231" t="s">
        <v>197</v>
      </c>
      <c r="G231" t="s">
        <v>168</v>
      </c>
      <c r="H231" s="158">
        <f t="shared" si="55"/>
        <v>5.3682000000000007E-2</v>
      </c>
      <c r="J231" s="97"/>
      <c r="L231" s="97"/>
      <c r="AQ231" s="3"/>
    </row>
    <row r="232" spans="3:43" x14ac:dyDescent="0.25">
      <c r="C232" s="75"/>
      <c r="F232" t="s">
        <v>198</v>
      </c>
      <c r="G232" t="s">
        <v>168</v>
      </c>
      <c r="H232" s="158">
        <f t="shared" si="55"/>
        <v>0.55181016550000006</v>
      </c>
      <c r="J232" s="97"/>
      <c r="L232" s="97"/>
      <c r="AQ232" s="3"/>
    </row>
    <row r="233" spans="3:43" x14ac:dyDescent="0.25">
      <c r="C233" s="75"/>
      <c r="F233" t="s">
        <v>199</v>
      </c>
      <c r="G233" t="s">
        <v>168</v>
      </c>
      <c r="H233" s="158">
        <f t="shared" si="55"/>
        <v>0.55181016550000006</v>
      </c>
      <c r="J233" s="97"/>
      <c r="L233" s="97"/>
      <c r="AQ233" s="3"/>
    </row>
    <row r="234" spans="3:43" x14ac:dyDescent="0.25">
      <c r="C234" s="75"/>
      <c r="F234" s="96" t="s">
        <v>200</v>
      </c>
      <c r="G234" s="96" t="s">
        <v>168</v>
      </c>
      <c r="H234" s="189">
        <f>IF(F234 = $F$234, $H$210, H222)</f>
        <v>0.5475255457503736</v>
      </c>
      <c r="J234" s="97"/>
      <c r="L234" s="97"/>
      <c r="AQ234" s="3"/>
    </row>
    <row r="235" spans="3:43" x14ac:dyDescent="0.25">
      <c r="H235" s="230"/>
    </row>
    <row r="236" spans="3:43" x14ac:dyDescent="0.25">
      <c r="C236" s="93" t="str">
        <f ca="1">INDEX('Version control'!$H$42:$H$65,MATCH($A$1,'Version control'!$F$42:$F$65,0),1)&amp;"-G: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498</v>
      </c>
      <c r="F238" s="86"/>
      <c r="H238" s="236"/>
    </row>
    <row r="239" spans="3:43" x14ac:dyDescent="0.25">
      <c r="C239" s="75"/>
      <c r="F239" s="95" t="s">
        <v>192</v>
      </c>
      <c r="G239" s="95" t="s">
        <v>173</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193</v>
      </c>
      <c r="G240" t="s">
        <v>173</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0</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194</v>
      </c>
      <c r="G241" t="s">
        <v>173</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195</v>
      </c>
      <c r="G242" t="s">
        <v>173</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172.3314259294888</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196</v>
      </c>
      <c r="G243" t="s">
        <v>173</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856.57860039608386</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197</v>
      </c>
      <c r="G244" t="s">
        <v>173</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0</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198</v>
      </c>
      <c r="G245" t="s">
        <v>173</v>
      </c>
      <c r="H245" s="97"/>
      <c r="J245" s="106">
        <f t="shared" ref="J245:Y245" si="62">J$192 * J29 * J40 / (1 + $H232) / $H51</f>
        <v>0</v>
      </c>
      <c r="K245" s="106">
        <f t="shared" si="62"/>
        <v>0</v>
      </c>
      <c r="L245" s="106">
        <f t="shared" si="62"/>
        <v>0</v>
      </c>
      <c r="M245" s="106">
        <f t="shared" si="62"/>
        <v>0</v>
      </c>
      <c r="N245" s="106">
        <f t="shared" si="62"/>
        <v>122.54276735239625</v>
      </c>
      <c r="O245" s="106">
        <f t="shared" si="62"/>
        <v>249.07380339109298</v>
      </c>
      <c r="P245" s="106">
        <f t="shared" si="62"/>
        <v>615.56496294117755</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199</v>
      </c>
      <c r="G246" t="s">
        <v>173</v>
      </c>
      <c r="H246" s="97"/>
      <c r="J246" s="106">
        <f t="shared" ref="J246:Y246" si="63">J$192 * J30 * J41 / (1 + $H233) / $H52</f>
        <v>0</v>
      </c>
      <c r="K246" s="106">
        <f t="shared" si="63"/>
        <v>0</v>
      </c>
      <c r="L246" s="106">
        <f t="shared" si="63"/>
        <v>0</v>
      </c>
      <c r="M246" s="106">
        <f t="shared" si="63"/>
        <v>0</v>
      </c>
      <c r="N246" s="106">
        <f t="shared" si="63"/>
        <v>604.52872825561894</v>
      </c>
      <c r="O246" s="106">
        <f t="shared" si="63"/>
        <v>245.74648159006691</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200</v>
      </c>
      <c r="G247" s="96" t="s">
        <v>173</v>
      </c>
      <c r="H247" s="177"/>
      <c r="I247" s="96"/>
      <c r="J247" s="196">
        <f t="shared" ref="J247:Y247" si="64">J$192 * J31 * J42 / (1 + $H234) / $H53</f>
        <v>0</v>
      </c>
      <c r="K247" s="196">
        <f t="shared" si="64"/>
        <v>0</v>
      </c>
      <c r="L247" s="196">
        <f t="shared" si="64"/>
        <v>0</v>
      </c>
      <c r="M247" s="196">
        <f t="shared" si="64"/>
        <v>0</v>
      </c>
      <c r="N247" s="196">
        <f t="shared" si="64"/>
        <v>598.2111115760049</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control'!$H$42:$H$65,MATCH($A$1,'Version control'!$F$42:$F$65,0),1)&amp;"-H: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499</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192</v>
      </c>
      <c r="G252" s="176" t="s">
        <v>173</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193</v>
      </c>
      <c r="G253" s="97" t="s">
        <v>173</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194</v>
      </c>
      <c r="G254" s="97" t="s">
        <v>173</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195</v>
      </c>
      <c r="G255" s="97" t="s">
        <v>173</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196</v>
      </c>
      <c r="G256" s="97" t="s">
        <v>173</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197</v>
      </c>
      <c r="G257" s="97" t="s">
        <v>173</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198</v>
      </c>
      <c r="G258" s="97" t="s">
        <v>173</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199</v>
      </c>
      <c r="G259" s="97" t="s">
        <v>173</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200</v>
      </c>
      <c r="G260" s="177" t="s">
        <v>173</v>
      </c>
      <c r="H260" s="177"/>
      <c r="I260" s="96"/>
      <c r="J260" s="196">
        <f t="shared" ref="J260:Y260" si="73">IF(AND(J$192 = 0, J$198), J$200 * J31 * J42 / (1 + $H234) / $H53, 0)</f>
        <v>953.80458992495574</v>
      </c>
      <c r="K260" s="196">
        <f t="shared" si="73"/>
        <v>0</v>
      </c>
      <c r="L260" s="196">
        <f t="shared" si="73"/>
        <v>300.54454837623928</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500</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501</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control'!$H$42:$H$65,MATCH($A$1,'Version control'!$F$42:$F$65,0),1)&amp;"-I: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502</v>
      </c>
      <c r="F268" s="86"/>
      <c r="H268" s="236" t="s">
        <v>503</v>
      </c>
      <c r="J268" s="97"/>
      <c r="K268" s="97"/>
      <c r="L268" s="97"/>
      <c r="M268" s="97"/>
      <c r="N268" s="97"/>
      <c r="O268" s="97"/>
      <c r="P268" s="97"/>
      <c r="Q268" s="97"/>
      <c r="R268" s="97"/>
      <c r="S268" s="97"/>
      <c r="T268" s="97"/>
      <c r="U268" s="97"/>
      <c r="V268" s="97"/>
      <c r="W268" s="97"/>
      <c r="X268" s="97"/>
      <c r="Y268" s="97"/>
    </row>
    <row r="269" spans="2:43" x14ac:dyDescent="0.25">
      <c r="C269" s="75"/>
      <c r="F269" s="95" t="s">
        <v>192</v>
      </c>
      <c r="G269" s="95" t="s">
        <v>173</v>
      </c>
      <c r="H269" s="149">
        <f t="shared" ref="H269:H277" si="74">SUM(J269:Y269)</f>
        <v>2303.8133696042837</v>
      </c>
      <c r="I269" s="223"/>
      <c r="J269" s="223">
        <f t="shared" ref="J269:Y269" si="75">J239 + J252 + J168</f>
        <v>1461.1592115548624</v>
      </c>
      <c r="K269" s="223">
        <f t="shared" si="75"/>
        <v>0.20234426940345418</v>
      </c>
      <c r="L269" s="223">
        <f t="shared" si="75"/>
        <v>366.3733317765122</v>
      </c>
      <c r="M269" s="223">
        <f t="shared" si="75"/>
        <v>0.12662084038350699</v>
      </c>
      <c r="N269" s="223">
        <f t="shared" si="75"/>
        <v>230.42948094004996</v>
      </c>
      <c r="O269" s="223">
        <f t="shared" si="75"/>
        <v>97.98266072754987</v>
      </c>
      <c r="P269" s="223">
        <f t="shared" si="75"/>
        <v>273.8070985912284</v>
      </c>
      <c r="Q269" s="223">
        <f t="shared" si="75"/>
        <v>22.347947741616654</v>
      </c>
      <c r="R269" s="223">
        <f t="shared" si="75"/>
        <v>-23.558345564373393</v>
      </c>
      <c r="S269" s="223">
        <f t="shared" si="75"/>
        <v>-2.6418851085868527</v>
      </c>
      <c r="T269" s="223">
        <f t="shared" si="75"/>
        <v>-9.2527712646013516</v>
      </c>
      <c r="U269" s="223">
        <f t="shared" si="75"/>
        <v>0</v>
      </c>
      <c r="V269" s="223">
        <f t="shared" si="75"/>
        <v>0</v>
      </c>
      <c r="W269" s="223">
        <f t="shared" si="75"/>
        <v>0</v>
      </c>
      <c r="X269" s="223">
        <f t="shared" si="75"/>
        <v>-113.16232489976171</v>
      </c>
      <c r="Y269" s="223">
        <f t="shared" si="75"/>
        <v>0</v>
      </c>
      <c r="AQ269" s="3"/>
    </row>
    <row r="270" spans="2:43" x14ac:dyDescent="0.25">
      <c r="C270" s="75"/>
      <c r="F270" t="s">
        <v>193</v>
      </c>
      <c r="G270" t="s">
        <v>173</v>
      </c>
      <c r="H270" s="151">
        <f t="shared" si="74"/>
        <v>2268.2154369345749</v>
      </c>
      <c r="I270" s="106"/>
      <c r="J270" s="106">
        <f t="shared" ref="J270:Y270" si="76">J240 + J253 + J169</f>
        <v>1419.885831854946</v>
      </c>
      <c r="K270" s="106">
        <f t="shared" si="76"/>
        <v>0.56509222546022353</v>
      </c>
      <c r="L270" s="106">
        <f t="shared" si="76"/>
        <v>372.34149784425824</v>
      </c>
      <c r="M270" s="106">
        <f t="shared" si="76"/>
        <v>0.30684903701921246</v>
      </c>
      <c r="N270" s="106">
        <f t="shared" si="76"/>
        <v>229.87244598792103</v>
      </c>
      <c r="O270" s="106">
        <f t="shared" si="76"/>
        <v>97.961884870761338</v>
      </c>
      <c r="P270" s="106">
        <f t="shared" si="76"/>
        <v>273.38264875131546</v>
      </c>
      <c r="Q270" s="106">
        <f t="shared" si="76"/>
        <v>20.22421359739225</v>
      </c>
      <c r="R270" s="106">
        <f t="shared" si="76"/>
        <v>-24.550479290952072</v>
      </c>
      <c r="S270" s="106">
        <f t="shared" si="76"/>
        <v>-2.7151634001411455</v>
      </c>
      <c r="T270" s="106">
        <f t="shared" si="76"/>
        <v>-9.5345833771984108</v>
      </c>
      <c r="U270" s="106">
        <f t="shared" si="76"/>
        <v>0</v>
      </c>
      <c r="V270" s="106">
        <f t="shared" si="76"/>
        <v>0</v>
      </c>
      <c r="W270" s="106">
        <f t="shared" si="76"/>
        <v>0</v>
      </c>
      <c r="X270" s="106">
        <f t="shared" si="76"/>
        <v>-109.52480116620755</v>
      </c>
      <c r="Y270" s="106">
        <f t="shared" si="76"/>
        <v>0</v>
      </c>
      <c r="AQ270" s="3"/>
    </row>
    <row r="271" spans="2:43" x14ac:dyDescent="0.25">
      <c r="C271" s="75"/>
      <c r="F271" t="s">
        <v>194</v>
      </c>
      <c r="G271" t="s">
        <v>173</v>
      </c>
      <c r="H271" s="151">
        <f t="shared" si="74"/>
        <v>2259.187713802497</v>
      </c>
      <c r="I271" s="106"/>
      <c r="J271" s="106">
        <f t="shared" ref="J271:Y271" si="77">J241 + J254 + J170</f>
        <v>1414.2345449619911</v>
      </c>
      <c r="K271" s="106">
        <f t="shared" si="77"/>
        <v>0.56284310217480971</v>
      </c>
      <c r="L271" s="106">
        <f t="shared" si="77"/>
        <v>370.85954163393285</v>
      </c>
      <c r="M271" s="106">
        <f t="shared" si="77"/>
        <v>0.30562774731963349</v>
      </c>
      <c r="N271" s="106">
        <f t="shared" si="77"/>
        <v>228.95753078000891</v>
      </c>
      <c r="O271" s="106">
        <f t="shared" si="77"/>
        <v>97.57198682152449</v>
      </c>
      <c r="P271" s="106">
        <f t="shared" si="77"/>
        <v>272.29455860703166</v>
      </c>
      <c r="Q271" s="106">
        <f t="shared" si="77"/>
        <v>20.143719214915066</v>
      </c>
      <c r="R271" s="106">
        <f t="shared" si="77"/>
        <v>-24.452765940540324</v>
      </c>
      <c r="S271" s="106">
        <f t="shared" si="77"/>
        <v>-2.7043567796430716</v>
      </c>
      <c r="T271" s="106">
        <f t="shared" si="77"/>
        <v>-9.4966347866423959</v>
      </c>
      <c r="U271" s="106">
        <f t="shared" si="77"/>
        <v>0</v>
      </c>
      <c r="V271" s="106">
        <f t="shared" si="77"/>
        <v>0</v>
      </c>
      <c r="W271" s="106">
        <f t="shared" si="77"/>
        <v>0</v>
      </c>
      <c r="X271" s="106">
        <f t="shared" si="77"/>
        <v>-109.08888155957588</v>
      </c>
      <c r="Y271" s="106">
        <f t="shared" si="77"/>
        <v>0</v>
      </c>
      <c r="AQ271" s="3"/>
    </row>
    <row r="272" spans="2:43" x14ac:dyDescent="0.25">
      <c r="C272" s="75"/>
      <c r="F272" t="s">
        <v>195</v>
      </c>
      <c r="G272" t="s">
        <v>173</v>
      </c>
      <c r="H272" s="151">
        <f t="shared" si="74"/>
        <v>2305.0767537104998</v>
      </c>
      <c r="I272" s="106"/>
      <c r="J272" s="106">
        <f t="shared" ref="J272:Y272" si="78">J242 + J255 + J171</f>
        <v>1318.593739522913</v>
      </c>
      <c r="K272" s="106">
        <f t="shared" si="78"/>
        <v>1.1044115397361858</v>
      </c>
      <c r="L272" s="106">
        <f t="shared" si="78"/>
        <v>391.82827563227676</v>
      </c>
      <c r="M272" s="106">
        <f t="shared" si="78"/>
        <v>0.58153466405449195</v>
      </c>
      <c r="N272" s="106">
        <f t="shared" si="78"/>
        <v>230.42011762435087</v>
      </c>
      <c r="O272" s="106">
        <f t="shared" si="78"/>
        <v>98.395074160367855</v>
      </c>
      <c r="P272" s="106">
        <f t="shared" si="78"/>
        <v>390.29901801374274</v>
      </c>
      <c r="Q272" s="106">
        <f t="shared" si="78"/>
        <v>16.866607229794248</v>
      </c>
      <c r="R272" s="106">
        <f t="shared" si="78"/>
        <v>-27.854311189193357</v>
      </c>
      <c r="S272" s="106">
        <f t="shared" si="78"/>
        <v>-2.905440969074109</v>
      </c>
      <c r="T272" s="106">
        <f t="shared" si="78"/>
        <v>-10.39125365473976</v>
      </c>
      <c r="U272" s="106">
        <f t="shared" si="78"/>
        <v>0</v>
      </c>
      <c r="V272" s="106">
        <f t="shared" si="78"/>
        <v>0</v>
      </c>
      <c r="W272" s="106">
        <f t="shared" si="78"/>
        <v>0</v>
      </c>
      <c r="X272" s="106">
        <f t="shared" si="78"/>
        <v>-101.86101886372956</v>
      </c>
      <c r="Y272" s="106">
        <f t="shared" si="78"/>
        <v>0</v>
      </c>
      <c r="AQ272" s="3"/>
    </row>
    <row r="273" spans="2:43" x14ac:dyDescent="0.25">
      <c r="C273" s="75"/>
      <c r="F273" t="s">
        <v>196</v>
      </c>
      <c r="G273" t="s">
        <v>173</v>
      </c>
      <c r="H273" s="151">
        <f t="shared" si="74"/>
        <v>2760.0708091633896</v>
      </c>
      <c r="I273" s="106"/>
      <c r="J273" s="106">
        <f t="shared" ref="J273:Y273" si="79">J243 + J256 + J172</f>
        <v>1310.8220671878073</v>
      </c>
      <c r="K273" s="106">
        <f t="shared" si="79"/>
        <v>1.097902237930275</v>
      </c>
      <c r="L273" s="106">
        <f t="shared" si="79"/>
        <v>389.51887518650693</v>
      </c>
      <c r="M273" s="106">
        <f t="shared" si="79"/>
        <v>0.57810715129975021</v>
      </c>
      <c r="N273" s="106">
        <f t="shared" si="79"/>
        <v>229.06204227489496</v>
      </c>
      <c r="O273" s="106">
        <f t="shared" si="79"/>
        <v>97.815142485552315</v>
      </c>
      <c r="P273" s="106">
        <f t="shared" si="79"/>
        <v>856.57860039608386</v>
      </c>
      <c r="Q273" s="106">
        <f t="shared" si="79"/>
        <v>16.767196971072472</v>
      </c>
      <c r="R273" s="106">
        <f t="shared" si="79"/>
        <v>-27.690140396329742</v>
      </c>
      <c r="S273" s="106">
        <f t="shared" si="79"/>
        <v>-2.8883165625766187</v>
      </c>
      <c r="T273" s="106">
        <f t="shared" si="79"/>
        <v>-10.330008544790411</v>
      </c>
      <c r="U273" s="106">
        <f t="shared" si="79"/>
        <v>0</v>
      </c>
      <c r="V273" s="106">
        <f t="shared" si="79"/>
        <v>0</v>
      </c>
      <c r="W273" s="106">
        <f t="shared" si="79"/>
        <v>0</v>
      </c>
      <c r="X273" s="106">
        <f t="shared" si="79"/>
        <v>-101.26065922406121</v>
      </c>
      <c r="Y273" s="106">
        <f t="shared" si="79"/>
        <v>0</v>
      </c>
      <c r="AQ273" s="3"/>
    </row>
    <row r="274" spans="2:43" x14ac:dyDescent="0.25">
      <c r="C274" s="75"/>
      <c r="F274" t="s">
        <v>197</v>
      </c>
      <c r="G274" t="s">
        <v>173</v>
      </c>
      <c r="H274" s="151">
        <f t="shared" si="74"/>
        <v>0</v>
      </c>
      <c r="I274" s="106"/>
      <c r="J274" s="106">
        <f t="shared" ref="J274:Y274" si="80">J244 + J257 + J173</f>
        <v>0</v>
      </c>
      <c r="K274" s="106">
        <f t="shared" si="80"/>
        <v>0</v>
      </c>
      <c r="L274" s="106">
        <f t="shared" si="80"/>
        <v>0</v>
      </c>
      <c r="M274" s="106">
        <f t="shared" si="80"/>
        <v>0</v>
      </c>
      <c r="N274" s="106">
        <f t="shared" si="80"/>
        <v>0</v>
      </c>
      <c r="O274" s="106">
        <f t="shared" si="80"/>
        <v>0</v>
      </c>
      <c r="P274" s="106">
        <f t="shared" si="80"/>
        <v>0</v>
      </c>
      <c r="Q274" s="106">
        <f t="shared" si="80"/>
        <v>0</v>
      </c>
      <c r="R274" s="106">
        <f t="shared" si="80"/>
        <v>0</v>
      </c>
      <c r="S274" s="106">
        <f t="shared" si="80"/>
        <v>0</v>
      </c>
      <c r="T274" s="106">
        <f t="shared" si="80"/>
        <v>0</v>
      </c>
      <c r="U274" s="106">
        <f t="shared" si="80"/>
        <v>0</v>
      </c>
      <c r="V274" s="106">
        <f t="shared" si="80"/>
        <v>0</v>
      </c>
      <c r="W274" s="106">
        <f t="shared" si="80"/>
        <v>0</v>
      </c>
      <c r="X274" s="106">
        <f t="shared" si="80"/>
        <v>0</v>
      </c>
      <c r="Y274" s="106">
        <f t="shared" si="80"/>
        <v>0</v>
      </c>
      <c r="AQ274" s="3"/>
    </row>
    <row r="275" spans="2:43" x14ac:dyDescent="0.25">
      <c r="C275" s="75"/>
      <c r="F275" t="s">
        <v>198</v>
      </c>
      <c r="G275" t="s">
        <v>173</v>
      </c>
      <c r="H275" s="151">
        <f t="shared" si="74"/>
        <v>2819.5080063710793</v>
      </c>
      <c r="I275" s="106"/>
      <c r="J275" s="106">
        <f t="shared" ref="J275:Y275" si="81">J245 + J258 + J174</f>
        <v>1290.5385535756168</v>
      </c>
      <c r="K275" s="106">
        <f t="shared" si="81"/>
        <v>1.0809134218694585</v>
      </c>
      <c r="L275" s="106">
        <f t="shared" si="81"/>
        <v>383.49150381031336</v>
      </c>
      <c r="M275" s="106">
        <f t="shared" si="81"/>
        <v>0.56916158609588563</v>
      </c>
      <c r="N275" s="106">
        <f t="shared" si="81"/>
        <v>302.95681689656885</v>
      </c>
      <c r="O275" s="106">
        <f t="shared" si="81"/>
        <v>249.07380339109298</v>
      </c>
      <c r="P275" s="106">
        <f t="shared" si="81"/>
        <v>615.56496294117755</v>
      </c>
      <c r="Q275" s="106">
        <f t="shared" si="81"/>
        <v>16.507743246181604</v>
      </c>
      <c r="R275" s="106">
        <f t="shared" si="81"/>
        <v>-27.26166627027435</v>
      </c>
      <c r="S275" s="106">
        <f t="shared" si="81"/>
        <v>-2.8436230761150854</v>
      </c>
      <c r="T275" s="106">
        <f t="shared" si="81"/>
        <v>-10.170163151447426</v>
      </c>
      <c r="U275" s="106">
        <f t="shared" si="81"/>
        <v>0</v>
      </c>
      <c r="V275" s="106">
        <f t="shared" si="81"/>
        <v>0</v>
      </c>
      <c r="W275" s="106">
        <f t="shared" si="81"/>
        <v>0</v>
      </c>
      <c r="X275" s="106">
        <f t="shared" si="81"/>
        <v>0</v>
      </c>
      <c r="Y275" s="106">
        <f t="shared" si="81"/>
        <v>0</v>
      </c>
      <c r="AQ275" s="3"/>
    </row>
    <row r="276" spans="2:43" x14ac:dyDescent="0.25">
      <c r="C276" s="75"/>
      <c r="F276" t="s">
        <v>199</v>
      </c>
      <c r="G276" t="s">
        <v>173</v>
      </c>
      <c r="H276" s="151">
        <f t="shared" si="74"/>
        <v>2482.9257363626512</v>
      </c>
      <c r="I276" s="106"/>
      <c r="J276" s="106">
        <f t="shared" ref="J276:Y276" si="82">J246 + J259 + J175</f>
        <v>1273.298534730141</v>
      </c>
      <c r="K276" s="106">
        <f t="shared" si="82"/>
        <v>1.0664737387528818</v>
      </c>
      <c r="L276" s="106">
        <f t="shared" si="82"/>
        <v>378.36852570597716</v>
      </c>
      <c r="M276" s="106">
        <f t="shared" si="82"/>
        <v>0.56155828246483375</v>
      </c>
      <c r="N276" s="106">
        <f t="shared" si="82"/>
        <v>604.52872825561894</v>
      </c>
      <c r="O276" s="106">
        <f t="shared" si="82"/>
        <v>245.74648159006691</v>
      </c>
      <c r="P276" s="106">
        <f t="shared" si="82"/>
        <v>0</v>
      </c>
      <c r="Q276" s="106">
        <f t="shared" si="82"/>
        <v>16.287219958541776</v>
      </c>
      <c r="R276" s="106">
        <f t="shared" si="82"/>
        <v>-26.897483705595111</v>
      </c>
      <c r="S276" s="106">
        <f t="shared" si="82"/>
        <v>0</v>
      </c>
      <c r="T276" s="106">
        <f t="shared" si="82"/>
        <v>-10.034302193317401</v>
      </c>
      <c r="U276" s="106">
        <f t="shared" si="82"/>
        <v>0</v>
      </c>
      <c r="V276" s="106">
        <f t="shared" si="82"/>
        <v>0</v>
      </c>
      <c r="W276" s="106">
        <f t="shared" si="82"/>
        <v>0</v>
      </c>
      <c r="X276" s="106">
        <f t="shared" si="82"/>
        <v>0</v>
      </c>
      <c r="Y276" s="106">
        <f t="shared" si="82"/>
        <v>0</v>
      </c>
      <c r="AQ276" s="3"/>
    </row>
    <row r="277" spans="2:43" x14ac:dyDescent="0.25">
      <c r="C277" s="75"/>
      <c r="F277" s="96" t="s">
        <v>200</v>
      </c>
      <c r="G277" s="96" t="s">
        <v>173</v>
      </c>
      <c r="H277" s="150">
        <f t="shared" si="74"/>
        <v>1868.6327607214107</v>
      </c>
      <c r="I277" s="196"/>
      <c r="J277" s="196">
        <f t="shared" ref="J277:Y277" si="83">J247 + J260 + J176</f>
        <v>953.80458992495574</v>
      </c>
      <c r="K277" s="196">
        <f t="shared" si="83"/>
        <v>0</v>
      </c>
      <c r="L277" s="196">
        <f t="shared" si="83"/>
        <v>300.54454837623928</v>
      </c>
      <c r="M277" s="196">
        <f t="shared" si="83"/>
        <v>0</v>
      </c>
      <c r="N277" s="196">
        <f t="shared" si="83"/>
        <v>598.2111115760049</v>
      </c>
      <c r="O277" s="196">
        <f t="shared" si="83"/>
        <v>0</v>
      </c>
      <c r="P277" s="196">
        <f t="shared" si="83"/>
        <v>0</v>
      </c>
      <c r="Q277" s="196">
        <f t="shared" si="83"/>
        <v>16.072510844210715</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232</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233</v>
      </c>
      <c r="G281" s="6" t="s">
        <v>57</v>
      </c>
      <c r="H281" s="113">
        <f t="array" ref="H281">SUM(IF(ISERROR(H23:Y277), 1))</f>
        <v>0</v>
      </c>
    </row>
    <row r="283" spans="2:43" x14ac:dyDescent="0.25">
      <c r="B283" s="85" t="s">
        <v>108</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504</v>
      </c>
    </row>
    <row r="10" spans="1:43" x14ac:dyDescent="0.25">
      <c r="C10" s="86" t="s">
        <v>505</v>
      </c>
    </row>
    <row r="11" spans="1:43" x14ac:dyDescent="0.25">
      <c r="D11" s="75"/>
      <c r="AQ11" s="3"/>
    </row>
    <row r="12" spans="1:43" x14ac:dyDescent="0.25">
      <c r="B12" s="85" t="s">
        <v>506</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control'!$H$42:$H$65,MATCH($A$1,'Version control'!$F$42:$F$65,0),1)&amp;"-A: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507</v>
      </c>
      <c r="G16" s="94" t="s">
        <v>213</v>
      </c>
      <c r="J16" s="167">
        <f>'Volume adjustments'!J275</f>
        <v>1561399.8065674652</v>
      </c>
      <c r="K16" s="167">
        <f>'Volume adjustments'!K275</f>
        <v>0</v>
      </c>
      <c r="L16" s="167">
        <f>'Volume adjustments'!L275</f>
        <v>140325.94993452425</v>
      </c>
      <c r="M16" s="167">
        <f>'Volume adjustments'!M275</f>
        <v>0</v>
      </c>
      <c r="N16" s="167">
        <f>'Volume adjustments'!N275</f>
        <v>9052.8496383243109</v>
      </c>
      <c r="O16" s="167">
        <f>'Volume adjustments'!O275</f>
        <v>1724.623672792462</v>
      </c>
      <c r="P16" s="167">
        <f>'Volume adjustments'!P275</f>
        <v>1137.8174263567469</v>
      </c>
      <c r="Q16" s="167">
        <f>'Volume adjustments'!Q275</f>
        <v>1793.052617583103</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320.50176836858998</v>
      </c>
      <c r="Y16" s="167">
        <f>'Volume adjustments'!Y275</f>
        <v>0</v>
      </c>
    </row>
    <row r="17" spans="5:27" x14ac:dyDescent="0.25">
      <c r="E17" s="94" t="s">
        <v>508</v>
      </c>
      <c r="G17" s="94" t="s">
        <v>208</v>
      </c>
      <c r="J17" s="171">
        <f>'Volume adjustments'!J264</f>
        <v>5530451.7385002496</v>
      </c>
      <c r="K17" s="171">
        <f>'Volume adjustments'!K264</f>
        <v>25621.294108878443</v>
      </c>
      <c r="L17" s="171">
        <f>'Volume adjustments'!L264</f>
        <v>1775230.5033188723</v>
      </c>
      <c r="M17" s="171">
        <f>'Volume adjustments'!M264</f>
        <v>12883.818406193388</v>
      </c>
      <c r="N17" s="171">
        <f>'Volume adjustments'!N264</f>
        <v>1318569.5837677845</v>
      </c>
      <c r="O17" s="171">
        <f>'Volume adjustments'!O264</f>
        <v>629601.96604548185</v>
      </c>
      <c r="P17" s="171">
        <f>'Volume adjustments'!P264</f>
        <v>1994380.6090782918</v>
      </c>
      <c r="Q17" s="171">
        <f>'Volume adjustments'!Q264</f>
        <v>99106.414557944823</v>
      </c>
      <c r="R17" s="171">
        <f>'Volume adjustments'!R264</f>
        <v>184189.02434769864</v>
      </c>
      <c r="S17" s="171">
        <f>'Volume adjustments'!S264</f>
        <v>24257.585850642608</v>
      </c>
      <c r="T17" s="171">
        <f>'Volume adjustments'!T264</f>
        <v>77326.91170261096</v>
      </c>
      <c r="U17" s="171">
        <f>'Volume adjustments'!U264</f>
        <v>0</v>
      </c>
      <c r="V17" s="171">
        <f>'Volume adjustments'!V264</f>
        <v>0</v>
      </c>
      <c r="W17" s="171">
        <f>'Volume adjustments'!W264</f>
        <v>0</v>
      </c>
      <c r="X17" s="171">
        <f>'Volume adjustments'!X264</f>
        <v>627309.69461242959</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509</v>
      </c>
      <c r="J19" s="106"/>
      <c r="K19" s="106"/>
      <c r="L19" s="106"/>
      <c r="M19" s="106"/>
      <c r="N19" s="106"/>
      <c r="O19" s="106"/>
      <c r="P19" s="106"/>
      <c r="Q19" s="106"/>
      <c r="R19" s="106"/>
      <c r="S19" s="106"/>
      <c r="T19" s="106"/>
      <c r="U19" s="106"/>
      <c r="V19" s="106"/>
      <c r="W19" s="106"/>
      <c r="X19" s="106"/>
      <c r="Y19" s="106"/>
    </row>
    <row r="20" spans="5:27" x14ac:dyDescent="0.25">
      <c r="E20" s="86" t="s">
        <v>510</v>
      </c>
      <c r="J20" s="106"/>
      <c r="K20" s="106"/>
      <c r="L20" s="106"/>
      <c r="M20" s="106"/>
      <c r="N20" s="106"/>
      <c r="O20" s="106"/>
      <c r="P20" s="106"/>
      <c r="Q20" s="106"/>
      <c r="R20" s="106"/>
      <c r="S20" s="106"/>
      <c r="T20" s="106"/>
      <c r="U20" s="106"/>
      <c r="V20" s="106"/>
      <c r="W20" s="106"/>
      <c r="X20" s="106"/>
      <c r="Y20" s="106"/>
    </row>
    <row r="21" spans="5:27" x14ac:dyDescent="0.25">
      <c r="E21" s="105"/>
      <c r="F21" s="95" t="s">
        <v>335</v>
      </c>
      <c r="G21" s="95" t="s">
        <v>262</v>
      </c>
      <c r="H21" s="237"/>
      <c r="I21" s="95"/>
      <c r="J21" s="171">
        <f>'Inputs by customer type'!J187</f>
        <v>269.38782309498231</v>
      </c>
      <c r="K21" s="171">
        <f>'Inputs by customer type'!K187</f>
        <v>0</v>
      </c>
      <c r="L21" s="171">
        <f>'Inputs by customer type'!L187</f>
        <v>789.88180929747637</v>
      </c>
      <c r="M21" s="171">
        <f>'Inputs by customer type'!M187</f>
        <v>0</v>
      </c>
      <c r="N21" s="171">
        <f>'Inputs by customer type'!N187</f>
        <v>1575.9229526519534</v>
      </c>
      <c r="O21" s="171">
        <f>'Inputs by customer type'!O187</f>
        <v>1230.1772191560049</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336</v>
      </c>
      <c r="G22" t="s">
        <v>262</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11356.793905550356</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7107.5663724404194</v>
      </c>
      <c r="Y22" s="167">
        <f>'Inputs by customer type'!Y188</f>
        <v>7107.5663724404194</v>
      </c>
    </row>
    <row r="23" spans="5:27" x14ac:dyDescent="0.25">
      <c r="E23" s="105"/>
      <c r="F23" s="96" t="s">
        <v>511</v>
      </c>
      <c r="G23" s="96" t="s">
        <v>265</v>
      </c>
      <c r="H23" s="96"/>
      <c r="I23" s="96"/>
      <c r="J23" s="238"/>
      <c r="K23" s="238"/>
      <c r="L23" s="238"/>
      <c r="M23" s="238"/>
      <c r="N23" s="238"/>
      <c r="O23" s="238"/>
      <c r="P23" s="238"/>
      <c r="Q23" s="239">
        <f>'Inputs by customer type'!Q190</f>
        <v>304.52583745521042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512</v>
      </c>
      <c r="J25" s="106"/>
      <c r="K25" s="106"/>
      <c r="L25" s="106"/>
      <c r="M25" s="106"/>
      <c r="N25" s="106"/>
      <c r="O25" s="106"/>
      <c r="P25" s="106"/>
      <c r="Q25" s="106"/>
      <c r="R25" s="106"/>
      <c r="S25" s="106"/>
      <c r="T25" s="106"/>
      <c r="U25" s="106"/>
      <c r="V25" s="106"/>
      <c r="W25" s="106"/>
      <c r="X25" s="106"/>
      <c r="Y25" s="106"/>
    </row>
    <row r="26" spans="5:27" x14ac:dyDescent="0.25">
      <c r="E26" s="86" t="s">
        <v>513</v>
      </c>
      <c r="I26" t="s">
        <v>155</v>
      </c>
      <c r="J26" s="106"/>
      <c r="K26" s="106"/>
      <c r="L26" s="106"/>
      <c r="M26" s="106"/>
      <c r="N26" s="106"/>
      <c r="O26" s="106"/>
      <c r="P26" s="106"/>
      <c r="Q26" s="106"/>
      <c r="R26" s="106"/>
      <c r="S26" s="106"/>
      <c r="T26" s="106"/>
      <c r="U26" s="106"/>
      <c r="V26" s="106"/>
      <c r="W26" s="106"/>
      <c r="X26" s="106"/>
      <c r="Y26" s="106"/>
      <c r="AA26" t="s">
        <v>854</v>
      </c>
    </row>
    <row r="27" spans="5:27" x14ac:dyDescent="0.25">
      <c r="F27" s="95" t="s">
        <v>335</v>
      </c>
      <c r="G27" s="95" t="s">
        <v>278</v>
      </c>
      <c r="H27" s="176"/>
      <c r="I27" s="95"/>
      <c r="J27" s="147">
        <f t="shared" ref="J27:Y27" si="0">J21 * J$16</f>
        <v>420622094.87213594</v>
      </c>
      <c r="K27" s="147">
        <f t="shared" si="0"/>
        <v>0</v>
      </c>
      <c r="L27" s="147">
        <f t="shared" si="0"/>
        <v>110840915.2256691</v>
      </c>
      <c r="M27" s="147">
        <f t="shared" si="0"/>
        <v>0</v>
      </c>
      <c r="N27" s="147">
        <f t="shared" si="0"/>
        <v>14266593.531942217</v>
      </c>
      <c r="O27" s="147">
        <f t="shared" si="0"/>
        <v>2121592.7538864464</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336</v>
      </c>
      <c r="G28" t="s">
        <v>278</v>
      </c>
      <c r="H28" s="97"/>
      <c r="J28" s="168">
        <f t="shared" ref="J28:Y28" si="1">J22 * J$16</f>
        <v>0</v>
      </c>
      <c r="K28" s="168">
        <f t="shared" si="1"/>
        <v>0</v>
      </c>
      <c r="L28" s="168">
        <f t="shared" si="1"/>
        <v>0</v>
      </c>
      <c r="M28" s="168">
        <f t="shared" si="1"/>
        <v>0</v>
      </c>
      <c r="N28" s="168">
        <f t="shared" si="1"/>
        <v>0</v>
      </c>
      <c r="O28" s="168">
        <f t="shared" si="1"/>
        <v>0</v>
      </c>
      <c r="P28" s="168">
        <f t="shared" si="1"/>
        <v>12921958.013277294</v>
      </c>
      <c r="Q28" s="168">
        <f t="shared" si="1"/>
        <v>0</v>
      </c>
      <c r="R28" s="168">
        <f t="shared" si="1"/>
        <v>0</v>
      </c>
      <c r="S28" s="168">
        <f t="shared" si="1"/>
        <v>0</v>
      </c>
      <c r="T28" s="168">
        <f t="shared" si="1"/>
        <v>0</v>
      </c>
      <c r="U28" s="168">
        <f t="shared" si="1"/>
        <v>0</v>
      </c>
      <c r="V28" s="168">
        <f t="shared" si="1"/>
        <v>0</v>
      </c>
      <c r="W28" s="168">
        <f t="shared" si="1"/>
        <v>0</v>
      </c>
      <c r="X28" s="168">
        <f t="shared" si="1"/>
        <v>2277987.5911642788</v>
      </c>
      <c r="Y28" s="168">
        <f t="shared" si="1"/>
        <v>0</v>
      </c>
    </row>
    <row r="29" spans="5:27" x14ac:dyDescent="0.25">
      <c r="F29" s="96" t="s">
        <v>511</v>
      </c>
      <c r="G29" s="96" t="s">
        <v>278</v>
      </c>
      <c r="H29" s="177"/>
      <c r="I29" s="96"/>
      <c r="J29" s="238"/>
      <c r="K29" s="238"/>
      <c r="L29" s="238"/>
      <c r="M29" s="238"/>
      <c r="N29" s="238"/>
      <c r="O29" s="238"/>
      <c r="P29" s="238"/>
      <c r="Q29" s="146">
        <f t="shared" ref="Q29" si="2">Q23 * Q$17</f>
        <v>30180463.890441407</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514</v>
      </c>
      <c r="J31" s="106"/>
      <c r="K31" s="106"/>
      <c r="L31" s="106"/>
      <c r="M31" s="106"/>
      <c r="N31" s="106"/>
      <c r="O31" s="106"/>
      <c r="P31" s="106"/>
      <c r="Q31" s="106"/>
      <c r="R31" s="106"/>
      <c r="S31" s="106"/>
      <c r="T31" s="106"/>
      <c r="U31" s="106"/>
      <c r="V31" s="106"/>
      <c r="W31" s="106"/>
      <c r="X31" s="106"/>
      <c r="Y31" s="106"/>
    </row>
    <row r="32" spans="5:27" x14ac:dyDescent="0.25">
      <c r="E32" s="86" t="s">
        <v>515</v>
      </c>
      <c r="H32" s="175" t="s">
        <v>503</v>
      </c>
      <c r="J32" s="106"/>
      <c r="K32" s="106"/>
      <c r="L32" s="106"/>
      <c r="M32" s="106"/>
      <c r="N32" s="106"/>
      <c r="O32" s="106"/>
      <c r="P32" s="106"/>
      <c r="Q32" s="106"/>
      <c r="R32" s="106"/>
      <c r="S32" s="106"/>
      <c r="T32" s="106"/>
      <c r="U32" s="106"/>
      <c r="V32" s="106"/>
      <c r="W32" s="106"/>
      <c r="X32" s="106"/>
      <c r="Y32" s="106"/>
    </row>
    <row r="33" spans="2:43" x14ac:dyDescent="0.25">
      <c r="F33" s="95" t="s">
        <v>516</v>
      </c>
      <c r="G33" s="95" t="s">
        <v>278</v>
      </c>
      <c r="H33" s="149">
        <f>SUM(J33:Y33)</f>
        <v>578031660.27407515</v>
      </c>
      <c r="I33" s="95"/>
      <c r="J33" s="223">
        <f t="shared" ref="J33:Y33" si="3">J27 +J29</f>
        <v>420622094.87213594</v>
      </c>
      <c r="K33" s="223">
        <f t="shared" si="3"/>
        <v>0</v>
      </c>
      <c r="L33" s="223">
        <f t="shared" si="3"/>
        <v>110840915.2256691</v>
      </c>
      <c r="M33" s="223">
        <f t="shared" si="3"/>
        <v>0</v>
      </c>
      <c r="N33" s="223">
        <f t="shared" si="3"/>
        <v>14266593.531942217</v>
      </c>
      <c r="O33" s="223">
        <f t="shared" si="3"/>
        <v>2121592.7538864464</v>
      </c>
      <c r="P33" s="223">
        <f t="shared" si="3"/>
        <v>0</v>
      </c>
      <c r="Q33" s="223">
        <f t="shared" si="3"/>
        <v>30180463.890441407</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517</v>
      </c>
      <c r="G34" s="96" t="s">
        <v>278</v>
      </c>
      <c r="H34" s="150">
        <f>SUM(J34:Y34)</f>
        <v>15199945.604441572</v>
      </c>
      <c r="I34" s="96"/>
      <c r="J34" s="228">
        <f t="shared" ref="J34:Y34" si="4">J28</f>
        <v>0</v>
      </c>
      <c r="K34" s="228">
        <f t="shared" si="4"/>
        <v>0</v>
      </c>
      <c r="L34" s="228">
        <f t="shared" si="4"/>
        <v>0</v>
      </c>
      <c r="M34" s="228">
        <f t="shared" si="4"/>
        <v>0</v>
      </c>
      <c r="N34" s="228">
        <f t="shared" si="4"/>
        <v>0</v>
      </c>
      <c r="O34" s="228">
        <f t="shared" si="4"/>
        <v>0</v>
      </c>
      <c r="P34" s="228">
        <f t="shared" si="4"/>
        <v>12921958.013277294</v>
      </c>
      <c r="Q34" s="228">
        <f t="shared" si="4"/>
        <v>0</v>
      </c>
      <c r="R34" s="228">
        <f t="shared" si="4"/>
        <v>0</v>
      </c>
      <c r="S34" s="228">
        <f t="shared" si="4"/>
        <v>0</v>
      </c>
      <c r="T34" s="228">
        <f t="shared" si="4"/>
        <v>0</v>
      </c>
      <c r="U34" s="228">
        <f t="shared" si="4"/>
        <v>0</v>
      </c>
      <c r="V34" s="228">
        <f t="shared" si="4"/>
        <v>0</v>
      </c>
      <c r="W34" s="228">
        <f t="shared" si="4"/>
        <v>0</v>
      </c>
      <c r="X34" s="228">
        <f t="shared" si="4"/>
        <v>2277987.5911642788</v>
      </c>
      <c r="Y34" s="228">
        <f t="shared" si="4"/>
        <v>0</v>
      </c>
    </row>
    <row r="36" spans="2:43" x14ac:dyDescent="0.25">
      <c r="B36" s="85" t="s">
        <v>232</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233</v>
      </c>
      <c r="G38" s="6" t="s">
        <v>57</v>
      </c>
      <c r="H38" s="113">
        <f t="array" ref="H38">SUM(IF(ISERROR(H16:Y35), 1))</f>
        <v>0</v>
      </c>
    </row>
    <row r="40" spans="2:43" x14ac:dyDescent="0.25">
      <c r="B40" s="85" t="s">
        <v>108</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I5" s="161"/>
      <c r="J5" s="138"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25">
      <c r="H6" s="3"/>
      <c r="I6" s="3"/>
      <c r="J6" s="3"/>
      <c r="K6" s="3"/>
      <c r="L6" s="3"/>
      <c r="M6" s="3"/>
      <c r="N6" s="3"/>
      <c r="O6" s="3"/>
      <c r="P6" s="3"/>
      <c r="Q6" s="3"/>
      <c r="R6" s="3"/>
      <c r="S6" s="3"/>
      <c r="T6" s="3"/>
      <c r="U6" s="3"/>
      <c r="W6" s="3"/>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518</v>
      </c>
      <c r="D9" s="86"/>
    </row>
    <row r="10" spans="1:23" x14ac:dyDescent="0.25">
      <c r="C10" s="86" t="s">
        <v>519</v>
      </c>
      <c r="D10" s="86"/>
    </row>
    <row r="11" spans="1:23" x14ac:dyDescent="0.25">
      <c r="C11" s="86"/>
      <c r="D11" s="86" t="s">
        <v>520</v>
      </c>
    </row>
    <row r="12" spans="1:23" x14ac:dyDescent="0.25">
      <c r="C12" s="86"/>
      <c r="D12" s="86" t="s">
        <v>521</v>
      </c>
    </row>
    <row r="13" spans="1:23" x14ac:dyDescent="0.25">
      <c r="C13" s="86" t="s">
        <v>522</v>
      </c>
      <c r="D13" s="86"/>
    </row>
    <row r="15" spans="1:23" x14ac:dyDescent="0.25">
      <c r="B15" s="85" t="s">
        <v>523</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524</v>
      </c>
    </row>
    <row r="18" spans="3:25" x14ac:dyDescent="0.25">
      <c r="H18" s="3"/>
      <c r="I18" s="3"/>
      <c r="J18" s="3"/>
      <c r="K18" s="3"/>
      <c r="L18" s="3"/>
      <c r="M18" s="3"/>
      <c r="N18" s="3"/>
      <c r="O18" s="3"/>
      <c r="P18" s="3"/>
      <c r="Q18" s="3"/>
      <c r="R18" s="3"/>
      <c r="S18" s="3"/>
      <c r="T18" s="3"/>
      <c r="U18" s="3"/>
      <c r="W18" s="3"/>
    </row>
    <row r="19" spans="3:25" x14ac:dyDescent="0.25">
      <c r="C19" s="93" t="str">
        <f ca="1">INDEX('Version control'!$H$42:$H$65,MATCH($A$1,'Version control'!$F$42:$F$65,0),1)&amp;"-A: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525</v>
      </c>
      <c r="I21" s="3" t="s">
        <v>155</v>
      </c>
      <c r="J21" s="3"/>
      <c r="K21" s="3"/>
      <c r="L21" s="3"/>
      <c r="M21" s="3"/>
      <c r="N21" s="3"/>
      <c r="O21" s="3"/>
      <c r="P21" s="3"/>
      <c r="Q21" s="3"/>
      <c r="R21" s="3"/>
      <c r="S21" s="3"/>
      <c r="T21" s="3"/>
      <c r="U21" s="3"/>
      <c r="W21" s="3" t="s">
        <v>166</v>
      </c>
    </row>
    <row r="22" spans="3:25" x14ac:dyDescent="0.25">
      <c r="D22" s="86"/>
    </row>
    <row r="23" spans="3:25" x14ac:dyDescent="0.25">
      <c r="D23" s="105"/>
      <c r="E23" s="94" t="s">
        <v>312</v>
      </c>
      <c r="G23" s="94" t="s">
        <v>168</v>
      </c>
      <c r="H23" s="163">
        <f>'General inputs'!H96</f>
        <v>4.87E-2</v>
      </c>
      <c r="I23" s="3"/>
      <c r="J23" s="3"/>
      <c r="K23" s="3"/>
      <c r="L23" s="3"/>
      <c r="M23" s="3"/>
      <c r="N23" s="3"/>
      <c r="O23" s="3"/>
      <c r="P23" s="3"/>
      <c r="Q23" s="3"/>
      <c r="R23" s="3"/>
      <c r="S23" s="3"/>
      <c r="T23" s="3"/>
      <c r="U23" s="3"/>
    </row>
    <row r="24" spans="3:25" x14ac:dyDescent="0.25">
      <c r="D24" s="105"/>
      <c r="E24" s="94" t="s">
        <v>164</v>
      </c>
      <c r="G24" s="94" t="s">
        <v>165</v>
      </c>
      <c r="H24" s="79">
        <f>'Fixed inputs'!H36</f>
        <v>40</v>
      </c>
      <c r="I24" s="3"/>
      <c r="J24" s="3"/>
      <c r="K24" s="3"/>
      <c r="L24" s="3"/>
      <c r="M24" s="3"/>
      <c r="N24" s="3"/>
      <c r="O24" s="3"/>
      <c r="P24" s="3"/>
      <c r="Q24" s="3"/>
      <c r="R24" s="3"/>
      <c r="S24" s="3"/>
      <c r="T24" s="3"/>
      <c r="U24" s="3"/>
      <c r="W24" s="3"/>
    </row>
    <row r="25" spans="3:25" x14ac:dyDescent="0.25">
      <c r="E25" s="94" t="s">
        <v>526</v>
      </c>
      <c r="G25" s="94" t="s">
        <v>168</v>
      </c>
      <c r="H25" s="240">
        <f>H23 / (1 - (1 + H23) ^ -H24)</f>
        <v>5.7244416563034098E-2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control'!$H$42:$H$65,MATCH($A$1,'Version control'!$F$42:$F$65,0),1)&amp;"-B: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527</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528</v>
      </c>
      <c r="F31" s="166"/>
      <c r="G31" s="94" t="s">
        <v>529</v>
      </c>
      <c r="H31" s="3"/>
      <c r="I31" s="3"/>
      <c r="J31" s="119"/>
      <c r="K31" s="167">
        <f>'Load &amp; loss characteristics'!K29</f>
        <v>1</v>
      </c>
      <c r="L31" s="167">
        <f>'Load &amp; loss characteristics'!L29</f>
        <v>1.0009999999999999</v>
      </c>
      <c r="M31" s="167">
        <f>'Load &amp; loss characteristics'!M29</f>
        <v>1.0049999999999999</v>
      </c>
      <c r="N31" s="167">
        <f>'Load &amp; loss characteristics'!N29</f>
        <v>1.012</v>
      </c>
      <c r="O31" s="167">
        <f>'Load &amp; loss characteristics'!O29</f>
        <v>1.018</v>
      </c>
      <c r="P31" s="167">
        <f>'Load &amp; loss characteristics'!P29</f>
        <v>1.018</v>
      </c>
      <c r="Q31" s="167">
        <f>'Load &amp; loss characteristics'!Q29</f>
        <v>1.034</v>
      </c>
      <c r="R31" s="167">
        <f>'Load &amp; loss characteristics'!R29</f>
        <v>1.048</v>
      </c>
      <c r="S31" s="167">
        <f>'Load &amp; loss characteristics'!S29</f>
        <v>1.0620000000000001</v>
      </c>
      <c r="T31" s="119"/>
      <c r="U31" s="119"/>
    </row>
    <row r="32" spans="3:25" x14ac:dyDescent="0.25">
      <c r="E32" t="s">
        <v>530</v>
      </c>
      <c r="F32" s="241"/>
      <c r="G32" s="94" t="s">
        <v>168</v>
      </c>
      <c r="H32" s="3"/>
      <c r="I32" s="3"/>
      <c r="J32" s="242"/>
      <c r="K32" s="243">
        <f>'Load &amp; loss characteristics'!$K$23</f>
        <v>2.200000000000002E-2</v>
      </c>
      <c r="L32" s="244"/>
      <c r="M32" s="244"/>
      <c r="N32" s="244"/>
      <c r="O32" s="244"/>
      <c r="P32" s="242"/>
      <c r="Q32" s="244"/>
      <c r="R32" s="244"/>
      <c r="S32" s="244"/>
      <c r="T32" s="242"/>
      <c r="U32" s="242"/>
      <c r="Y32" s="245"/>
    </row>
    <row r="33" spans="3:23" x14ac:dyDescent="0.25">
      <c r="E33" t="s">
        <v>531</v>
      </c>
      <c r="F33" s="166"/>
      <c r="G33" s="94" t="s">
        <v>168</v>
      </c>
      <c r="H33" s="3"/>
      <c r="I33" s="3"/>
      <c r="J33" s="103"/>
      <c r="K33" s="240">
        <f xml:space="preserve"> 1 / (1 + K32)</f>
        <v>0.97847358121330719</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control'!$H$42:$H$65,MATCH($A$1,'Version control'!$F$42:$F$65,0),1)&amp;"-C: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532</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172</v>
      </c>
      <c r="F39" s="166"/>
      <c r="G39" s="94" t="s">
        <v>173</v>
      </c>
      <c r="H39" s="167">
        <f>'Fixed inputs'!H42</f>
        <v>500</v>
      </c>
      <c r="I39" s="3"/>
      <c r="J39" s="119"/>
      <c r="K39" s="119"/>
      <c r="L39" s="119"/>
      <c r="M39" s="119"/>
      <c r="N39" s="119"/>
      <c r="O39" s="119"/>
      <c r="P39" s="119"/>
      <c r="Q39" s="119"/>
      <c r="R39" s="119"/>
      <c r="S39" s="119"/>
      <c r="T39" s="119"/>
      <c r="U39" s="119"/>
      <c r="W39" s="3"/>
    </row>
    <row r="40" spans="3:23" x14ac:dyDescent="0.25">
      <c r="E40" t="s">
        <v>533</v>
      </c>
      <c r="F40" s="166"/>
      <c r="G40" s="94" t="s">
        <v>173</v>
      </c>
      <c r="H40" s="3"/>
      <c r="I40" s="3" t="s">
        <v>155</v>
      </c>
      <c r="J40" s="119"/>
      <c r="K40" s="246">
        <f t="shared" ref="K40:S40" si="0">$H$39 * $K$33 / K31</f>
        <v>489.23679060665359</v>
      </c>
      <c r="L40" s="246">
        <f t="shared" si="0"/>
        <v>488.74804256408953</v>
      </c>
      <c r="M40" s="246">
        <f t="shared" si="0"/>
        <v>486.80277672303845</v>
      </c>
      <c r="N40" s="246">
        <f t="shared" si="0"/>
        <v>483.43556384056677</v>
      </c>
      <c r="O40" s="246">
        <f t="shared" si="0"/>
        <v>480.58623831694848</v>
      </c>
      <c r="P40" s="246">
        <f t="shared" si="0"/>
        <v>480.58623831694848</v>
      </c>
      <c r="Q40" s="246">
        <f t="shared" si="0"/>
        <v>473.14970078012919</v>
      </c>
      <c r="R40" s="246">
        <f t="shared" si="0"/>
        <v>466.82899867047098</v>
      </c>
      <c r="S40" s="246">
        <f t="shared" si="0"/>
        <v>460.67494407406173</v>
      </c>
      <c r="T40" s="119"/>
      <c r="U40" s="119"/>
      <c r="W40" s="3" t="s">
        <v>534</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control'!$H$42:$H$65,MATCH($A$1,'Version control'!$F$42:$F$65,0),1)&amp;"-D: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535</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282</v>
      </c>
      <c r="G46" s="94" t="s">
        <v>168</v>
      </c>
      <c r="H46" s="3"/>
      <c r="I46" s="3"/>
      <c r="J46" s="244"/>
      <c r="K46" s="244"/>
      <c r="L46" s="244"/>
      <c r="M46" s="244"/>
      <c r="N46" s="244"/>
      <c r="O46" s="244"/>
      <c r="P46" s="243">
        <f>'Inputs by network level'!P17</f>
        <v>0</v>
      </c>
      <c r="Q46" s="244"/>
      <c r="R46" s="244"/>
      <c r="S46" s="244"/>
      <c r="T46" s="244"/>
      <c r="U46" s="244"/>
      <c r="W46" s="3"/>
    </row>
    <row r="47" spans="3:23" x14ac:dyDescent="0.25">
      <c r="E47" s="94" t="s">
        <v>536</v>
      </c>
      <c r="G47" s="94" t="s">
        <v>168</v>
      </c>
      <c r="H47" s="3"/>
      <c r="I47" s="3"/>
      <c r="J47" s="244"/>
      <c r="K47" s="244"/>
      <c r="L47" s="244"/>
      <c r="M47" s="240">
        <f>IF(M46 = "", 1 - $P$46, M46)</f>
        <v>1</v>
      </c>
      <c r="N47" s="240">
        <f>IF(N46 = "", 1 - $P$46, N46)</f>
        <v>1</v>
      </c>
      <c r="O47" s="240">
        <f>IF(O46 = "", 1 - $P$46, O46)</f>
        <v>1</v>
      </c>
      <c r="P47" s="240">
        <f>IF(P46 = "", 1 - $P$46, P46)</f>
        <v>0</v>
      </c>
      <c r="Q47" s="244"/>
      <c r="R47" s="244"/>
      <c r="S47" s="244"/>
      <c r="T47" s="244"/>
      <c r="U47" s="244"/>
      <c r="W47" s="3"/>
    </row>
    <row r="48" spans="3:23" x14ac:dyDescent="0.25">
      <c r="E48" s="94" t="s">
        <v>537</v>
      </c>
      <c r="G48" s="94" t="s">
        <v>173</v>
      </c>
      <c r="H48" s="3"/>
      <c r="I48" s="3"/>
      <c r="J48" s="119"/>
      <c r="K48" s="168">
        <f t="shared" ref="K48:S48" si="1">IF(K47 = "", K40, K47 * K40)</f>
        <v>489.23679060665359</v>
      </c>
      <c r="L48" s="168">
        <f t="shared" si="1"/>
        <v>488.74804256408953</v>
      </c>
      <c r="M48" s="168">
        <f t="shared" si="1"/>
        <v>486.80277672303845</v>
      </c>
      <c r="N48" s="168">
        <f t="shared" si="1"/>
        <v>483.43556384056677</v>
      </c>
      <c r="O48" s="168">
        <f t="shared" si="1"/>
        <v>480.58623831694848</v>
      </c>
      <c r="P48" s="168">
        <f t="shared" si="1"/>
        <v>0</v>
      </c>
      <c r="Q48" s="168">
        <f t="shared" si="1"/>
        <v>473.14970078012919</v>
      </c>
      <c r="R48" s="168">
        <f t="shared" si="1"/>
        <v>466.82899867047098</v>
      </c>
      <c r="S48" s="168">
        <f t="shared" si="1"/>
        <v>460.67494407406173</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control'!$H$42:$H$65,MATCH($A$1,'Version control'!$F$42:$F$65,0),1)&amp;"-E: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538</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539</v>
      </c>
      <c r="F54" s="241"/>
      <c r="G54" s="94" t="s">
        <v>278</v>
      </c>
      <c r="H54" s="3"/>
      <c r="I54" s="3"/>
      <c r="J54" s="119"/>
      <c r="K54" s="119"/>
      <c r="L54" s="167">
        <f>'Inputs by network level'!L33</f>
        <v>129103723.74774343</v>
      </c>
      <c r="M54" s="167">
        <f>'Inputs by network level'!M33</f>
        <v>18493008.227671087</v>
      </c>
      <c r="N54" s="167">
        <f>'Inputs by network level'!N33</f>
        <v>59133997.209906489</v>
      </c>
      <c r="O54" s="167">
        <f>'Inputs by network level'!O33</f>
        <v>46772576.464846112</v>
      </c>
      <c r="P54" s="167">
        <f>'Inputs by network level'!P33</f>
        <v>0</v>
      </c>
      <c r="Q54" s="167">
        <f>'Inputs by network level'!Q33</f>
        <v>215388122.48810512</v>
      </c>
      <c r="R54" s="167">
        <f>'Inputs by network level'!R33</f>
        <v>88370520.261992991</v>
      </c>
      <c r="S54" s="167">
        <f>'Inputs by network level'!S33</f>
        <v>218081216.74733481</v>
      </c>
      <c r="T54" s="119"/>
      <c r="U54" s="119"/>
      <c r="W54" s="3"/>
    </row>
    <row r="55" spans="2:23" x14ac:dyDescent="0.25">
      <c r="E55" t="s">
        <v>540</v>
      </c>
      <c r="F55" s="241"/>
      <c r="G55" s="94" t="s">
        <v>541</v>
      </c>
      <c r="H55" s="3"/>
      <c r="I55" s="3"/>
      <c r="J55" s="119"/>
      <c r="K55" s="119"/>
      <c r="L55" s="168">
        <f t="shared" ref="L55:S55" si="2">IF(L48 = 0, 0, L54 / (L48 * thousand))</f>
        <v>264.15189935172793</v>
      </c>
      <c r="M55" s="168">
        <f t="shared" si="2"/>
        <v>37.988707361446494</v>
      </c>
      <c r="N55" s="168">
        <f t="shared" si="2"/>
        <v>122.32032898061345</v>
      </c>
      <c r="O55" s="168">
        <f t="shared" si="2"/>
        <v>97.324002927440091</v>
      </c>
      <c r="P55" s="168">
        <f t="shared" si="2"/>
        <v>0</v>
      </c>
      <c r="Q55" s="168">
        <f t="shared" si="2"/>
        <v>455.22193532612027</v>
      </c>
      <c r="R55" s="168">
        <f t="shared" si="2"/>
        <v>189.29955189945835</v>
      </c>
      <c r="S55" s="168">
        <f t="shared" si="2"/>
        <v>473.39500346750867</v>
      </c>
      <c r="T55" s="119"/>
      <c r="U55" s="119"/>
      <c r="W55" s="3"/>
    </row>
    <row r="56" spans="2:23" x14ac:dyDescent="0.25">
      <c r="E56" t="s">
        <v>542</v>
      </c>
      <c r="F56" s="241"/>
      <c r="G56" s="94" t="s">
        <v>543</v>
      </c>
      <c r="H56" s="3"/>
      <c r="I56" s="3" t="s">
        <v>155</v>
      </c>
      <c r="J56" s="119"/>
      <c r="K56" s="119"/>
      <c r="L56" s="168">
        <f t="shared" ref="L56:S56" si="3">L55 * $H$25</f>
        <v>15.12122136240697</v>
      </c>
      <c r="M56" s="168">
        <f t="shared" si="3"/>
        <v>2.1746413888898428</v>
      </c>
      <c r="N56" s="168">
        <f t="shared" si="3"/>
        <v>7.0021558662936085</v>
      </c>
      <c r="O56" s="168">
        <f t="shared" si="3"/>
        <v>5.5712557651603305</v>
      </c>
      <c r="P56" s="168">
        <f t="shared" si="3"/>
        <v>0</v>
      </c>
      <c r="Q56" s="168">
        <f t="shared" si="3"/>
        <v>26.058914094438997</v>
      </c>
      <c r="R56" s="168">
        <f t="shared" si="3"/>
        <v>10.836342404128287</v>
      </c>
      <c r="S56" s="168">
        <f t="shared" si="3"/>
        <v>27.099220777353036</v>
      </c>
      <c r="T56" s="119"/>
      <c r="U56" s="119"/>
      <c r="W56" s="3" t="s">
        <v>544</v>
      </c>
    </row>
    <row r="57" spans="2:23" x14ac:dyDescent="0.25">
      <c r="H57" s="3"/>
      <c r="I57" s="3"/>
      <c r="J57" s="174"/>
      <c r="K57" s="174"/>
      <c r="L57" s="174"/>
      <c r="M57" s="174"/>
      <c r="N57" s="174"/>
      <c r="O57" s="174"/>
      <c r="P57" s="174"/>
      <c r="Q57" s="174"/>
      <c r="R57" s="174"/>
      <c r="S57" s="174"/>
      <c r="T57" s="174"/>
      <c r="U57" s="174"/>
      <c r="W57" s="3"/>
    </row>
    <row r="58" spans="2:23" x14ac:dyDescent="0.25">
      <c r="B58" s="85" t="s">
        <v>545</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546</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control'!$H$42:$H$65,MATCH($A$1,'Version control'!$F$42:$F$65,0),1)&amp;"-F: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547</v>
      </c>
      <c r="G64" t="s">
        <v>173</v>
      </c>
      <c r="J64" s="119"/>
      <c r="K64" s="167">
        <f t="array" ref="K64:S64">TRANSPOSE('System peak demand'!H269:H277)</f>
        <v>2303.8133696042837</v>
      </c>
      <c r="L64" s="167">
        <v>2268.2154369345749</v>
      </c>
      <c r="M64" s="167">
        <v>2259.187713802497</v>
      </c>
      <c r="N64" s="167">
        <v>2305.0767537104998</v>
      </c>
      <c r="O64" s="167">
        <v>2760.0708091633896</v>
      </c>
      <c r="P64" s="167">
        <v>0</v>
      </c>
      <c r="Q64" s="167">
        <v>2819.5080063710793</v>
      </c>
      <c r="R64" s="167">
        <v>2482.9257363626512</v>
      </c>
      <c r="S64" s="167">
        <v>1868.6327607214107</v>
      </c>
      <c r="T64" s="119"/>
      <c r="U64" s="119"/>
    </row>
    <row r="65" spans="3:24" x14ac:dyDescent="0.25">
      <c r="E65" s="94" t="s">
        <v>548</v>
      </c>
      <c r="F65" s="94"/>
      <c r="G65" s="94" t="s">
        <v>173</v>
      </c>
      <c r="H65" s="250"/>
      <c r="J65" s="168">
        <f>K64</f>
        <v>2303.8133696042837</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547</v>
      </c>
      <c r="F67" s="94"/>
      <c r="G67" s="94" t="s">
        <v>478</v>
      </c>
      <c r="H67" s="250"/>
      <c r="J67" s="168">
        <f t="shared" ref="J67:S67" si="4">SUM(J64:J65) * thousand</f>
        <v>2303813.3696042835</v>
      </c>
      <c r="K67" s="168">
        <f t="shared" si="4"/>
        <v>2303813.3696042835</v>
      </c>
      <c r="L67" s="168">
        <f t="shared" si="4"/>
        <v>2268215.436934575</v>
      </c>
      <c r="M67" s="168">
        <f t="shared" si="4"/>
        <v>2259187.7138024969</v>
      </c>
      <c r="N67" s="168">
        <f t="shared" si="4"/>
        <v>2305076.7537105</v>
      </c>
      <c r="O67" s="168">
        <f t="shared" si="4"/>
        <v>2760070.8091633897</v>
      </c>
      <c r="P67" s="168">
        <f t="shared" si="4"/>
        <v>0</v>
      </c>
      <c r="Q67" s="168">
        <f t="shared" si="4"/>
        <v>2819508.0063710795</v>
      </c>
      <c r="R67" s="168">
        <f t="shared" si="4"/>
        <v>2482925.736362651</v>
      </c>
      <c r="S67" s="168">
        <f t="shared" si="4"/>
        <v>1868632.7607214106</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control'!$H$42:$H$65,MATCH($A$1,'Version control'!$F$42:$F$65,0),1)&amp;"-G: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549</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550</v>
      </c>
      <c r="F73" s="94"/>
      <c r="G73" s="94" t="s">
        <v>278</v>
      </c>
      <c r="J73" s="119"/>
      <c r="K73" s="119"/>
      <c r="L73" s="168">
        <f t="shared" ref="L73:S73" si="5">L67 * L55</f>
        <v>599153415.80517745</v>
      </c>
      <c r="M73" s="168">
        <f t="shared" si="5"/>
        <v>85823620.934218392</v>
      </c>
      <c r="N73" s="168">
        <f t="shared" si="5"/>
        <v>281957746.83943284</v>
      </c>
      <c r="O73" s="168">
        <f t="shared" si="5"/>
        <v>268621139.51095968</v>
      </c>
      <c r="P73" s="168">
        <f t="shared" si="5"/>
        <v>0</v>
      </c>
      <c r="Q73" s="168">
        <f t="shared" si="5"/>
        <v>1283501891.3277338</v>
      </c>
      <c r="R73" s="168">
        <f t="shared" si="5"/>
        <v>470016729.29308248</v>
      </c>
      <c r="S73" s="168">
        <f t="shared" si="5"/>
        <v>884601412.24121249</v>
      </c>
      <c r="T73" s="119"/>
      <c r="U73" s="119"/>
      <c r="X73" s="97"/>
    </row>
    <row r="74" spans="3:24" x14ac:dyDescent="0.25">
      <c r="E74" s="94" t="s">
        <v>551</v>
      </c>
      <c r="F74" s="94"/>
      <c r="G74" s="94" t="s">
        <v>278</v>
      </c>
      <c r="J74" s="119"/>
      <c r="K74" s="119"/>
      <c r="L74" s="119"/>
      <c r="M74" s="119"/>
      <c r="N74" s="119"/>
      <c r="O74" s="119"/>
      <c r="P74" s="119"/>
      <c r="Q74" s="119"/>
      <c r="R74" s="119"/>
      <c r="S74" s="119"/>
      <c r="T74" s="167">
        <f>'Service model assets'!H33</f>
        <v>578031660.27407515</v>
      </c>
      <c r="U74" s="167">
        <f>'Service model assets'!H34</f>
        <v>15199945.604441572</v>
      </c>
      <c r="X74" s="97"/>
    </row>
    <row r="75" spans="3:24" x14ac:dyDescent="0.25">
      <c r="J75" s="106"/>
      <c r="K75" s="106"/>
      <c r="L75" s="106"/>
      <c r="M75" s="106"/>
      <c r="N75" s="106"/>
      <c r="O75" s="106"/>
      <c r="P75" s="106"/>
      <c r="Q75" s="106"/>
      <c r="R75" s="106"/>
      <c r="S75" s="106"/>
      <c r="T75" s="106"/>
      <c r="U75" s="106"/>
      <c r="X75" s="97"/>
    </row>
    <row r="76" spans="3:24" x14ac:dyDescent="0.25">
      <c r="E76" s="94" t="s">
        <v>552</v>
      </c>
      <c r="F76" s="94"/>
      <c r="G76" s="94" t="s">
        <v>278</v>
      </c>
      <c r="I76" t="s">
        <v>155</v>
      </c>
      <c r="J76" s="119"/>
      <c r="K76" s="168">
        <f t="shared" ref="K76:U76" si="6">K73 + K74</f>
        <v>0</v>
      </c>
      <c r="L76" s="168">
        <f t="shared" si="6"/>
        <v>599153415.80517745</v>
      </c>
      <c r="M76" s="168">
        <f t="shared" si="6"/>
        <v>85823620.934218392</v>
      </c>
      <c r="N76" s="168">
        <f t="shared" si="6"/>
        <v>281957746.83943284</v>
      </c>
      <c r="O76" s="168">
        <f t="shared" si="6"/>
        <v>268621139.51095968</v>
      </c>
      <c r="P76" s="168">
        <f t="shared" si="6"/>
        <v>0</v>
      </c>
      <c r="Q76" s="168">
        <f t="shared" si="6"/>
        <v>1283501891.3277338</v>
      </c>
      <c r="R76" s="168">
        <f t="shared" si="6"/>
        <v>470016729.29308248</v>
      </c>
      <c r="S76" s="168">
        <f t="shared" si="6"/>
        <v>884601412.24121249</v>
      </c>
      <c r="T76" s="168">
        <f t="shared" si="6"/>
        <v>578031660.27407515</v>
      </c>
      <c r="U76" s="168">
        <f t="shared" si="6"/>
        <v>15199945.604441572</v>
      </c>
      <c r="W76" s="3" t="s">
        <v>553</v>
      </c>
      <c r="X76" s="97"/>
    </row>
    <row r="77" spans="3:24" x14ac:dyDescent="0.25">
      <c r="L77" s="97"/>
      <c r="M77" s="97"/>
      <c r="N77" s="97"/>
      <c r="O77" s="97"/>
      <c r="P77" s="97"/>
      <c r="Q77" s="97"/>
      <c r="R77" s="97"/>
      <c r="S77" s="97"/>
      <c r="T77" s="97"/>
      <c r="U77" s="97"/>
      <c r="X77" s="97"/>
    </row>
    <row r="78" spans="3:24" x14ac:dyDescent="0.25">
      <c r="E78" s="94" t="s">
        <v>554</v>
      </c>
      <c r="F78" s="94"/>
      <c r="G78" s="94" t="s">
        <v>168</v>
      </c>
      <c r="J78" s="244"/>
      <c r="K78" s="191">
        <f t="shared" ref="K78:U78" si="7">K76 / SUM($K$76:$U$76)</f>
        <v>0</v>
      </c>
      <c r="L78" s="191">
        <f t="shared" si="7"/>
        <v>0.13413159048217954</v>
      </c>
      <c r="M78" s="191">
        <f t="shared" si="7"/>
        <v>1.9213207290784368E-2</v>
      </c>
      <c r="N78" s="191">
        <f t="shared" si="7"/>
        <v>6.3121464444162237E-2</v>
      </c>
      <c r="O78" s="191">
        <f t="shared" si="7"/>
        <v>6.0135817854464639E-2</v>
      </c>
      <c r="P78" s="191">
        <f t="shared" si="7"/>
        <v>0</v>
      </c>
      <c r="Q78" s="191">
        <f t="shared" si="7"/>
        <v>0.28733567318366748</v>
      </c>
      <c r="R78" s="191">
        <f t="shared" si="7"/>
        <v>0.10522195115685161</v>
      </c>
      <c r="S78" s="191">
        <f t="shared" si="7"/>
        <v>0.19803441194980614</v>
      </c>
      <c r="T78" s="191">
        <f t="shared" si="7"/>
        <v>0.12940309425996366</v>
      </c>
      <c r="U78" s="191">
        <f t="shared" si="7"/>
        <v>3.4027893781203144E-3</v>
      </c>
      <c r="X78" s="97"/>
    </row>
    <row r="79" spans="3:24" x14ac:dyDescent="0.25">
      <c r="E79" s="75"/>
      <c r="L79" s="97"/>
      <c r="M79" s="97"/>
      <c r="N79" s="97"/>
      <c r="O79" s="97"/>
      <c r="P79" s="97"/>
      <c r="Q79" s="97"/>
      <c r="R79" s="97"/>
      <c r="S79" s="97"/>
      <c r="T79" s="97"/>
      <c r="U79" s="97"/>
    </row>
    <row r="80" spans="3:24" x14ac:dyDescent="0.25">
      <c r="C80" s="93" t="str">
        <f ca="1">INDEX('Version control'!$H$42:$H$65,MATCH($A$1,'Version control'!$F$42:$F$65,0),1)&amp;"-H: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555</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170</v>
      </c>
      <c r="F84" s="94"/>
      <c r="G84" s="94" t="s">
        <v>168</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319</v>
      </c>
      <c r="F86" s="94"/>
      <c r="G86" s="94" t="s">
        <v>316</v>
      </c>
      <c r="H86" s="167">
        <f>'General inputs'!H107</f>
        <v>54306471.447758161</v>
      </c>
      <c r="L86" s="97"/>
      <c r="M86" s="97"/>
      <c r="N86" s="97"/>
      <c r="O86" s="97"/>
      <c r="P86" s="97"/>
      <c r="Q86" s="97"/>
      <c r="R86" s="97"/>
      <c r="S86" s="97"/>
      <c r="T86" s="97"/>
      <c r="U86" s="97"/>
    </row>
    <row r="87" spans="3:23" x14ac:dyDescent="0.25">
      <c r="E87" s="94" t="s">
        <v>320</v>
      </c>
      <c r="F87" s="94"/>
      <c r="G87" s="94" t="s">
        <v>316</v>
      </c>
      <c r="H87" s="167">
        <f>'General inputs'!H108</f>
        <v>173386666.94234779</v>
      </c>
      <c r="L87" s="97"/>
      <c r="M87" s="97"/>
      <c r="N87" s="97"/>
      <c r="O87" s="97"/>
      <c r="P87" s="97"/>
      <c r="Q87" s="97"/>
      <c r="R87" s="97"/>
      <c r="S87" s="97"/>
      <c r="T87" s="97"/>
      <c r="U87" s="97"/>
    </row>
    <row r="88" spans="3:23" x14ac:dyDescent="0.25">
      <c r="E88" s="94" t="s">
        <v>321</v>
      </c>
      <c r="F88" s="94"/>
      <c r="G88" s="94" t="s">
        <v>316</v>
      </c>
      <c r="H88" s="167">
        <f>'General inputs'!H109</f>
        <v>39661980</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556</v>
      </c>
      <c r="F90" s="94"/>
      <c r="G90" s="94" t="s">
        <v>316</v>
      </c>
      <c r="H90" s="168">
        <f>H86 + H87 * H84 + H88</f>
        <v>198000451.61316684</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control'!$H$42:$H$65,MATCH($A$1,'Version control'!$F$42:$F$65,0),1)&amp;"-I: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557</v>
      </c>
      <c r="H94" s="97"/>
      <c r="L94" s="97"/>
      <c r="M94" s="97"/>
      <c r="N94" s="97"/>
      <c r="O94" s="97"/>
      <c r="P94" s="97"/>
      <c r="Q94" s="97"/>
      <c r="R94" s="97"/>
      <c r="S94" s="97"/>
      <c r="T94" s="97"/>
      <c r="U94" s="97"/>
    </row>
    <row r="95" spans="3:23" x14ac:dyDescent="0.25">
      <c r="D95" s="86" t="s">
        <v>558</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559</v>
      </c>
      <c r="F97" s="94"/>
      <c r="G97" s="94" t="s">
        <v>316</v>
      </c>
      <c r="I97" t="s">
        <v>155</v>
      </c>
      <c r="J97" s="119"/>
      <c r="K97" s="168">
        <f t="shared" ref="K97:U97" si="8">K78 * $H$90</f>
        <v>0</v>
      </c>
      <c r="L97" s="168">
        <f t="shared" si="8"/>
        <v>26558115.4910639</v>
      </c>
      <c r="M97" s="168">
        <f t="shared" si="8"/>
        <v>3804223.7205126947</v>
      </c>
      <c r="N97" s="168">
        <f t="shared" si="8"/>
        <v>12498078.466428576</v>
      </c>
      <c r="O97" s="168">
        <f t="shared" si="8"/>
        <v>11906919.09331114</v>
      </c>
      <c r="P97" s="168">
        <f t="shared" si="8"/>
        <v>0</v>
      </c>
      <c r="Q97" s="168">
        <f t="shared" si="8"/>
        <v>56892593.054939471</v>
      </c>
      <c r="R97" s="168">
        <f t="shared" si="8"/>
        <v>20833993.848675203</v>
      </c>
      <c r="S97" s="168">
        <f t="shared" si="8"/>
        <v>39210903.001009539</v>
      </c>
      <c r="T97" s="168">
        <f t="shared" si="8"/>
        <v>25621871.103614002</v>
      </c>
      <c r="U97" s="168">
        <f t="shared" si="8"/>
        <v>673753.83361230942</v>
      </c>
      <c r="W97" s="3" t="s">
        <v>560</v>
      </c>
    </row>
    <row r="98" spans="2:23" x14ac:dyDescent="0.25">
      <c r="E98" s="94" t="s">
        <v>315</v>
      </c>
      <c r="F98" s="94"/>
      <c r="G98" s="94" t="s">
        <v>316</v>
      </c>
      <c r="H98" s="97"/>
      <c r="I98" s="97"/>
      <c r="J98" s="167">
        <f>'General inputs'!$H$102</f>
        <v>11094561.138032606</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561</v>
      </c>
      <c r="F100" s="94"/>
      <c r="G100" s="94" t="s">
        <v>562</v>
      </c>
      <c r="I100" t="s">
        <v>155</v>
      </c>
      <c r="J100" s="168">
        <f t="shared" ref="J100:S100" si="9">IF(J$67 = 0, 0, SUM(J97:J98) / J$67)</f>
        <v>4.8157378042902286</v>
      </c>
      <c r="K100" s="168">
        <f t="shared" si="9"/>
        <v>0</v>
      </c>
      <c r="L100" s="168">
        <f t="shared" si="9"/>
        <v>11.708815246825228</v>
      </c>
      <c r="M100" s="168">
        <f t="shared" si="9"/>
        <v>1.6838900536112194</v>
      </c>
      <c r="N100" s="168">
        <f t="shared" si="9"/>
        <v>5.42197930993418</v>
      </c>
      <c r="O100" s="168">
        <f t="shared" si="9"/>
        <v>4.313990443209053</v>
      </c>
      <c r="P100" s="168">
        <f t="shared" si="9"/>
        <v>0</v>
      </c>
      <c r="Q100" s="168">
        <f t="shared" si="9"/>
        <v>20.178198794393406</v>
      </c>
      <c r="R100" s="168">
        <f t="shared" si="9"/>
        <v>8.3909049487705794</v>
      </c>
      <c r="S100" s="168">
        <f t="shared" si="9"/>
        <v>20.983739461932394</v>
      </c>
      <c r="T100" s="119"/>
      <c r="U100" s="119"/>
      <c r="W100" s="3" t="s">
        <v>563</v>
      </c>
    </row>
    <row r="101" spans="2:23" x14ac:dyDescent="0.25">
      <c r="J101" s="106"/>
      <c r="K101" s="106"/>
      <c r="L101" s="106"/>
      <c r="M101" s="106"/>
      <c r="N101" s="106"/>
      <c r="O101" s="106"/>
      <c r="P101" s="106"/>
      <c r="Q101" s="106"/>
      <c r="R101" s="106"/>
      <c r="S101" s="106"/>
      <c r="T101" s="106"/>
      <c r="U101" s="106"/>
    </row>
    <row r="102" spans="2:23" x14ac:dyDescent="0.25">
      <c r="B102" s="85" t="s">
        <v>564</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control'!$H$42:$H$65,MATCH($A$1,'Version control'!$F$42:$F$65,0),1)&amp;"-J: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565</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552</v>
      </c>
      <c r="F108" s="94"/>
      <c r="G108" s="94" t="s">
        <v>278</v>
      </c>
      <c r="J108" s="119"/>
      <c r="K108" s="151">
        <f t="shared" ref="K108:U108" si="10">K76</f>
        <v>0</v>
      </c>
      <c r="L108" s="151">
        <f t="shared" si="10"/>
        <v>599153415.80517745</v>
      </c>
      <c r="M108" s="151">
        <f t="shared" si="10"/>
        <v>85823620.934218392</v>
      </c>
      <c r="N108" s="151">
        <f t="shared" si="10"/>
        <v>281957746.83943284</v>
      </c>
      <c r="O108" s="151">
        <f t="shared" si="10"/>
        <v>268621139.51095968</v>
      </c>
      <c r="P108" s="151">
        <f t="shared" si="10"/>
        <v>0</v>
      </c>
      <c r="Q108" s="151">
        <f t="shared" si="10"/>
        <v>1283501891.3277338</v>
      </c>
      <c r="R108" s="151">
        <f t="shared" si="10"/>
        <v>470016729.29308248</v>
      </c>
      <c r="S108" s="151">
        <f t="shared" si="10"/>
        <v>884601412.24121249</v>
      </c>
      <c r="T108" s="151">
        <f t="shared" si="10"/>
        <v>578031660.27407515</v>
      </c>
      <c r="U108" s="151">
        <f t="shared" si="10"/>
        <v>15199945.604441572</v>
      </c>
    </row>
    <row r="109" spans="2:23" x14ac:dyDescent="0.25">
      <c r="B109" s="86"/>
    </row>
    <row r="110" spans="2:23" x14ac:dyDescent="0.25">
      <c r="C110" s="93" t="str">
        <f ca="1">INDEX('Version control'!$H$42:$H$65,MATCH($A$1,'Version control'!$F$42:$F$65,0),1)&amp;"-K: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566</v>
      </c>
    </row>
    <row r="113" spans="2:24" x14ac:dyDescent="0.25">
      <c r="B113" s="86"/>
      <c r="D113" s="86"/>
    </row>
    <row r="114" spans="2:24" x14ac:dyDescent="0.25">
      <c r="E114" t="s">
        <v>542</v>
      </c>
      <c r="F114" s="241"/>
      <c r="G114" s="94" t="s">
        <v>562</v>
      </c>
      <c r="H114" s="3"/>
      <c r="I114" s="3"/>
      <c r="J114" s="119"/>
      <c r="K114" s="119"/>
      <c r="L114" s="151">
        <f t="shared" ref="L114:S114" si="11">L56</f>
        <v>15.12122136240697</v>
      </c>
      <c r="M114" s="151">
        <f t="shared" si="11"/>
        <v>2.1746413888898428</v>
      </c>
      <c r="N114" s="151">
        <f t="shared" si="11"/>
        <v>7.0021558662936085</v>
      </c>
      <c r="O114" s="151">
        <f t="shared" si="11"/>
        <v>5.5712557651603305</v>
      </c>
      <c r="P114" s="151">
        <f t="shared" si="11"/>
        <v>0</v>
      </c>
      <c r="Q114" s="151">
        <f t="shared" si="11"/>
        <v>26.058914094438997</v>
      </c>
      <c r="R114" s="151">
        <f t="shared" si="11"/>
        <v>10.836342404128287</v>
      </c>
      <c r="S114" s="151">
        <f t="shared" si="11"/>
        <v>27.099220777353036</v>
      </c>
      <c r="T114" s="119"/>
      <c r="U114" s="119"/>
    </row>
    <row r="115" spans="2:24" x14ac:dyDescent="0.25">
      <c r="B115" s="86"/>
      <c r="E115" t="s">
        <v>561</v>
      </c>
      <c r="F115" s="94"/>
      <c r="G115" s="94" t="s">
        <v>562</v>
      </c>
      <c r="J115" s="151">
        <f t="shared" ref="J115:S115" si="12">J100</f>
        <v>4.8157378042902286</v>
      </c>
      <c r="K115" s="151">
        <f t="shared" si="12"/>
        <v>0</v>
      </c>
      <c r="L115" s="151">
        <f t="shared" si="12"/>
        <v>11.708815246825228</v>
      </c>
      <c r="M115" s="151">
        <f t="shared" si="12"/>
        <v>1.6838900536112194</v>
      </c>
      <c r="N115" s="151">
        <f t="shared" si="12"/>
        <v>5.42197930993418</v>
      </c>
      <c r="O115" s="151">
        <f t="shared" si="12"/>
        <v>4.313990443209053</v>
      </c>
      <c r="P115" s="151">
        <f t="shared" si="12"/>
        <v>0</v>
      </c>
      <c r="Q115" s="151">
        <f t="shared" si="12"/>
        <v>20.178198794393406</v>
      </c>
      <c r="R115" s="151">
        <f t="shared" si="12"/>
        <v>8.3909049487705794</v>
      </c>
      <c r="S115" s="151">
        <f t="shared" si="12"/>
        <v>20.983739461932394</v>
      </c>
      <c r="T115" s="119"/>
      <c r="U115" s="119"/>
    </row>
    <row r="116" spans="2:24" x14ac:dyDescent="0.25">
      <c r="B116" s="86"/>
    </row>
    <row r="117" spans="2:24" x14ac:dyDescent="0.25">
      <c r="C117" s="93" t="str">
        <f ca="1">INDEX('Version control'!$H$42:$H$65,MATCH($A$1,'Version control'!$F$42:$F$65,0),1)&amp;"-L: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567</v>
      </c>
    </row>
    <row r="120" spans="2:24" x14ac:dyDescent="0.25">
      <c r="B120" s="86"/>
      <c r="D120" s="86"/>
    </row>
    <row r="121" spans="2:24" x14ac:dyDescent="0.25">
      <c r="B121" s="86"/>
      <c r="C121" s="75"/>
      <c r="E121" t="s">
        <v>526</v>
      </c>
      <c r="F121" s="94"/>
      <c r="G121" s="94" t="s">
        <v>168</v>
      </c>
      <c r="H121" s="251">
        <f>H25</f>
        <v>5.7244416563034098E-2</v>
      </c>
    </row>
    <row r="122" spans="2:24" x14ac:dyDescent="0.25">
      <c r="B122" s="86"/>
      <c r="C122" s="75"/>
      <c r="E122" t="s">
        <v>556</v>
      </c>
      <c r="F122" s="94"/>
      <c r="G122" s="94" t="s">
        <v>316</v>
      </c>
      <c r="H122" s="151">
        <f>H90</f>
        <v>198000451.61316684</v>
      </c>
    </row>
    <row r="123" spans="2:24" x14ac:dyDescent="0.25">
      <c r="E123" t="s">
        <v>552</v>
      </c>
      <c r="F123" s="94"/>
      <c r="G123" s="94" t="s">
        <v>278</v>
      </c>
      <c r="H123" s="151">
        <f>SUM(K76:U76)</f>
        <v>4466907561.8303337</v>
      </c>
      <c r="X123" s="97"/>
    </row>
    <row r="124" spans="2:24" x14ac:dyDescent="0.25">
      <c r="B124" s="86"/>
      <c r="C124" s="75"/>
    </row>
    <row r="125" spans="2:24" x14ac:dyDescent="0.25">
      <c r="B125" s="85" t="s">
        <v>232</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233</v>
      </c>
      <c r="G127" s="6" t="s">
        <v>57</v>
      </c>
      <c r="H127" s="252">
        <f t="array" ref="H127">SUM(IF(ISERROR(H23:U123), 1))</f>
        <v>0</v>
      </c>
    </row>
    <row r="129" spans="2:23" x14ac:dyDescent="0.25">
      <c r="E129" t="s">
        <v>568</v>
      </c>
      <c r="G129" s="6" t="s">
        <v>57</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240</v>
      </c>
      <c r="G131" s="6" t="s">
        <v>57</v>
      </c>
      <c r="H131" s="113">
        <f>H127 + H129</f>
        <v>0</v>
      </c>
    </row>
    <row r="133" spans="2:23" x14ac:dyDescent="0.25">
      <c r="B133" s="85" t="s">
        <v>108</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6" spans="1:27" x14ac:dyDescent="0.25">
      <c r="H6" s="3"/>
      <c r="I6" s="3"/>
      <c r="J6" s="3"/>
      <c r="K6" s="3"/>
      <c r="L6" s="3"/>
      <c r="M6" s="3"/>
      <c r="N6" s="3"/>
      <c r="P6" s="3"/>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569</v>
      </c>
      <c r="E9" s="94"/>
    </row>
    <row r="11" spans="1:27" x14ac:dyDescent="0.25">
      <c r="B11" s="85" t="s">
        <v>570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control'!$H$42:$H$65,MATCH($A$1,'Version control'!$F$42:$F$65,0),1)&amp;"-A: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571</v>
      </c>
    </row>
    <row r="17" spans="5:27" x14ac:dyDescent="0.25">
      <c r="E17" s="75" t="s">
        <v>572</v>
      </c>
      <c r="G17" s="94"/>
      <c r="H17" s="3"/>
      <c r="I17" s="3" t="s">
        <v>155</v>
      </c>
      <c r="AA17" t="s">
        <v>573</v>
      </c>
    </row>
    <row r="18" spans="5:27" x14ac:dyDescent="0.25">
      <c r="F18" s="255" t="s">
        <v>190</v>
      </c>
      <c r="G18" s="98" t="s">
        <v>543</v>
      </c>
      <c r="H18" s="117"/>
    </row>
    <row r="19" spans="5:27" x14ac:dyDescent="0.25">
      <c r="F19" s="256" t="s">
        <v>192</v>
      </c>
      <c r="G19" s="94" t="s">
        <v>543</v>
      </c>
      <c r="H19" s="119"/>
    </row>
    <row r="20" spans="5:27" x14ac:dyDescent="0.25">
      <c r="F20" s="256" t="s">
        <v>193</v>
      </c>
      <c r="G20" s="94" t="s">
        <v>543</v>
      </c>
      <c r="H20" s="257">
        <f t="array" ref="H20:H27">TRANSPOSE('Unit costs'!L114:S114)</f>
        <v>15.12122136240697</v>
      </c>
    </row>
    <row r="21" spans="5:27" x14ac:dyDescent="0.25">
      <c r="F21" s="256" t="s">
        <v>194</v>
      </c>
      <c r="G21" s="94" t="s">
        <v>543</v>
      </c>
      <c r="H21" s="257">
        <v>2.1746413888898428</v>
      </c>
    </row>
    <row r="22" spans="5:27" x14ac:dyDescent="0.25">
      <c r="F22" s="256" t="s">
        <v>195</v>
      </c>
      <c r="G22" s="94" t="s">
        <v>543</v>
      </c>
      <c r="H22" s="257">
        <v>7.0021558662936085</v>
      </c>
    </row>
    <row r="23" spans="5:27" x14ac:dyDescent="0.25">
      <c r="F23" s="256" t="s">
        <v>196</v>
      </c>
      <c r="G23" s="94" t="s">
        <v>543</v>
      </c>
      <c r="H23" s="257">
        <v>5.5712557651603305</v>
      </c>
    </row>
    <row r="24" spans="5:27" x14ac:dyDescent="0.25">
      <c r="F24" s="256" t="s">
        <v>197</v>
      </c>
      <c r="G24" s="94" t="s">
        <v>543</v>
      </c>
      <c r="H24" s="257">
        <v>0</v>
      </c>
    </row>
    <row r="25" spans="5:27" x14ac:dyDescent="0.25">
      <c r="F25" s="256" t="s">
        <v>198</v>
      </c>
      <c r="G25" s="94" t="s">
        <v>543</v>
      </c>
      <c r="H25" s="257">
        <v>26.058914094438997</v>
      </c>
    </row>
    <row r="26" spans="5:27" x14ac:dyDescent="0.25">
      <c r="F26" s="256" t="s">
        <v>199</v>
      </c>
      <c r="G26" s="94" t="s">
        <v>543</v>
      </c>
      <c r="H26" s="257">
        <v>10.836342404128287</v>
      </c>
    </row>
    <row r="27" spans="5:27" x14ac:dyDescent="0.25">
      <c r="F27" s="258" t="s">
        <v>200</v>
      </c>
      <c r="G27" s="101" t="s">
        <v>543</v>
      </c>
      <c r="H27" s="259">
        <v>27.099220777353036</v>
      </c>
    </row>
    <row r="28" spans="5:27" x14ac:dyDescent="0.25">
      <c r="F28" s="256"/>
      <c r="G28" s="94"/>
      <c r="H28" s="167"/>
    </row>
    <row r="29" spans="5:27" x14ac:dyDescent="0.25">
      <c r="E29" s="75" t="s">
        <v>574</v>
      </c>
      <c r="G29" s="94"/>
      <c r="H29" s="106"/>
    </row>
    <row r="30" spans="5:27" x14ac:dyDescent="0.25">
      <c r="F30" s="255" t="s">
        <v>190</v>
      </c>
      <c r="G30" s="98" t="s">
        <v>562</v>
      </c>
      <c r="H30" s="260">
        <f t="array" ref="H30:H39">TRANSPOSE('Unit costs'!J115:S115)</f>
        <v>4.8157378042902286</v>
      </c>
    </row>
    <row r="31" spans="5:27" x14ac:dyDescent="0.25">
      <c r="F31" s="256" t="s">
        <v>192</v>
      </c>
      <c r="G31" s="94" t="s">
        <v>562</v>
      </c>
      <c r="H31" s="257">
        <v>0</v>
      </c>
    </row>
    <row r="32" spans="5:27" x14ac:dyDescent="0.25">
      <c r="F32" s="256" t="s">
        <v>193</v>
      </c>
      <c r="G32" s="94" t="s">
        <v>562</v>
      </c>
      <c r="H32" s="257">
        <v>11.708815246825228</v>
      </c>
    </row>
    <row r="33" spans="5:16" x14ac:dyDescent="0.25">
      <c r="F33" s="256" t="s">
        <v>194</v>
      </c>
      <c r="G33" s="94" t="s">
        <v>562</v>
      </c>
      <c r="H33" s="257">
        <v>1.6838900536112194</v>
      </c>
      <c r="J33" s="97"/>
      <c r="K33" s="97"/>
      <c r="L33" s="97"/>
      <c r="M33" s="97"/>
      <c r="N33" s="97"/>
    </row>
    <row r="34" spans="5:16" x14ac:dyDescent="0.25">
      <c r="F34" s="256" t="s">
        <v>195</v>
      </c>
      <c r="G34" s="94" t="s">
        <v>562</v>
      </c>
      <c r="H34" s="257">
        <v>5.42197930993418</v>
      </c>
      <c r="J34" s="97"/>
      <c r="K34" s="97"/>
      <c r="L34" s="97"/>
      <c r="M34" s="97"/>
      <c r="N34" s="97"/>
    </row>
    <row r="35" spans="5:16" x14ac:dyDescent="0.25">
      <c r="F35" s="256" t="s">
        <v>196</v>
      </c>
      <c r="G35" s="94" t="s">
        <v>562</v>
      </c>
      <c r="H35" s="257">
        <v>4.313990443209053</v>
      </c>
      <c r="J35" s="97"/>
      <c r="K35" s="97"/>
      <c r="L35" s="97"/>
      <c r="M35" s="97"/>
      <c r="N35" s="97"/>
    </row>
    <row r="36" spans="5:16" x14ac:dyDescent="0.25">
      <c r="F36" s="256" t="s">
        <v>197</v>
      </c>
      <c r="G36" s="94" t="s">
        <v>562</v>
      </c>
      <c r="H36" s="257">
        <v>0</v>
      </c>
      <c r="J36" s="97"/>
      <c r="K36" s="97"/>
      <c r="L36" s="97"/>
      <c r="M36" s="97"/>
      <c r="N36" s="97"/>
    </row>
    <row r="37" spans="5:16" x14ac:dyDescent="0.25">
      <c r="F37" s="256" t="s">
        <v>198</v>
      </c>
      <c r="G37" s="94" t="s">
        <v>562</v>
      </c>
      <c r="H37" s="257">
        <v>20.178198794393406</v>
      </c>
      <c r="J37" s="97"/>
      <c r="K37" s="97"/>
      <c r="L37" s="97"/>
      <c r="M37" s="97"/>
      <c r="N37" s="97"/>
      <c r="O37" s="97"/>
    </row>
    <row r="38" spans="5:16" x14ac:dyDescent="0.25">
      <c r="F38" s="256" t="s">
        <v>199</v>
      </c>
      <c r="G38" s="94" t="s">
        <v>562</v>
      </c>
      <c r="H38" s="257">
        <v>8.3909049487705794</v>
      </c>
      <c r="J38" s="97"/>
      <c r="K38" s="97"/>
      <c r="L38" s="97"/>
      <c r="M38" s="97"/>
      <c r="N38" s="97"/>
      <c r="O38" s="97"/>
    </row>
    <row r="39" spans="5:16" x14ac:dyDescent="0.25">
      <c r="F39" s="258" t="s">
        <v>200</v>
      </c>
      <c r="G39" s="101" t="s">
        <v>562</v>
      </c>
      <c r="H39" s="259">
        <v>20.983739461932394</v>
      </c>
      <c r="J39" s="97"/>
      <c r="K39" s="97"/>
      <c r="L39" s="97"/>
      <c r="M39" s="97"/>
      <c r="N39" s="97"/>
      <c r="O39" s="97"/>
    </row>
    <row r="40" spans="5:16" x14ac:dyDescent="0.25">
      <c r="G40" s="94"/>
      <c r="H40" s="106"/>
      <c r="J40" s="97"/>
      <c r="K40" s="97"/>
      <c r="L40" s="97"/>
      <c r="M40" s="97"/>
      <c r="N40" s="97"/>
      <c r="O40" s="97"/>
    </row>
    <row r="41" spans="5:16" x14ac:dyDescent="0.25">
      <c r="E41" s="75" t="s">
        <v>575</v>
      </c>
      <c r="F41" s="75"/>
      <c r="H41" s="174"/>
      <c r="I41" s="3"/>
      <c r="J41" s="97"/>
      <c r="K41" s="97"/>
      <c r="L41" s="97"/>
      <c r="M41" s="97"/>
      <c r="N41" s="97"/>
      <c r="O41" s="97"/>
      <c r="P41" s="3"/>
    </row>
    <row r="42" spans="5:16" x14ac:dyDescent="0.25">
      <c r="E42" s="86" t="s">
        <v>576</v>
      </c>
      <c r="F42" s="86"/>
      <c r="H42" s="174"/>
      <c r="I42" s="3"/>
      <c r="J42" s="97"/>
      <c r="K42" s="97"/>
      <c r="L42" s="97"/>
      <c r="M42" s="97"/>
      <c r="N42" s="97"/>
      <c r="O42" s="97"/>
      <c r="P42" s="3"/>
    </row>
    <row r="43" spans="5:16" x14ac:dyDescent="0.25">
      <c r="F43" s="95" t="s">
        <v>190</v>
      </c>
      <c r="G43" s="95" t="s">
        <v>284</v>
      </c>
      <c r="H43" s="171">
        <f t="array" ref="H43:H52">TRANSPOSE('Load &amp; loss characteristics'!J29:S29)</f>
        <v>1</v>
      </c>
      <c r="I43" s="3"/>
      <c r="J43" s="97"/>
      <c r="K43" s="97"/>
      <c r="L43" s="97"/>
      <c r="M43" s="97"/>
      <c r="N43" s="97"/>
      <c r="O43" s="97"/>
    </row>
    <row r="44" spans="5:16" x14ac:dyDescent="0.25">
      <c r="F44" t="s">
        <v>192</v>
      </c>
      <c r="G44" t="s">
        <v>284</v>
      </c>
      <c r="H44" s="167">
        <v>1</v>
      </c>
      <c r="I44" s="3"/>
      <c r="J44" s="97"/>
      <c r="K44" s="97"/>
      <c r="L44" s="97"/>
      <c r="M44" s="97"/>
      <c r="N44" s="97"/>
      <c r="O44" s="97"/>
    </row>
    <row r="45" spans="5:16" x14ac:dyDescent="0.25">
      <c r="F45" t="s">
        <v>193</v>
      </c>
      <c r="G45" t="s">
        <v>284</v>
      </c>
      <c r="H45" s="167">
        <v>1.0009999999999999</v>
      </c>
      <c r="I45" s="3"/>
      <c r="J45" s="97"/>
      <c r="K45" s="97"/>
      <c r="L45" s="97"/>
      <c r="M45" s="97"/>
      <c r="N45" s="97"/>
      <c r="O45" s="97"/>
    </row>
    <row r="46" spans="5:16" x14ac:dyDescent="0.25">
      <c r="F46" t="s">
        <v>194</v>
      </c>
      <c r="G46" t="s">
        <v>284</v>
      </c>
      <c r="H46" s="167">
        <v>1.0049999999999999</v>
      </c>
      <c r="J46" s="97"/>
      <c r="K46" s="97"/>
      <c r="L46" s="97"/>
      <c r="M46" s="97"/>
      <c r="N46" s="97"/>
      <c r="O46" s="97"/>
    </row>
    <row r="47" spans="5:16" x14ac:dyDescent="0.25">
      <c r="F47" t="s">
        <v>195</v>
      </c>
      <c r="G47" t="s">
        <v>284</v>
      </c>
      <c r="H47" s="167">
        <v>1.012</v>
      </c>
      <c r="I47" s="3"/>
      <c r="J47" s="97"/>
      <c r="K47" s="97"/>
      <c r="L47" s="97"/>
      <c r="M47" s="97"/>
      <c r="N47" s="97"/>
      <c r="O47" s="97"/>
    </row>
    <row r="48" spans="5:16" x14ac:dyDescent="0.25">
      <c r="F48" t="s">
        <v>196</v>
      </c>
      <c r="G48" t="s">
        <v>284</v>
      </c>
      <c r="H48" s="167">
        <v>1.018</v>
      </c>
      <c r="I48" s="3"/>
      <c r="J48" s="97"/>
      <c r="K48" s="97"/>
      <c r="L48" s="97"/>
      <c r="M48" s="97"/>
      <c r="N48" s="97"/>
      <c r="O48" s="97"/>
    </row>
    <row r="49" spans="4:25" x14ac:dyDescent="0.25">
      <c r="F49" t="s">
        <v>197</v>
      </c>
      <c r="G49" t="s">
        <v>284</v>
      </c>
      <c r="H49" s="167">
        <v>1.018</v>
      </c>
      <c r="I49" s="3"/>
      <c r="J49" s="97"/>
      <c r="K49" s="97"/>
      <c r="L49" s="97"/>
      <c r="M49" s="97"/>
      <c r="N49" s="97"/>
      <c r="O49" s="97"/>
    </row>
    <row r="50" spans="4:25" x14ac:dyDescent="0.25">
      <c r="F50" t="s">
        <v>198</v>
      </c>
      <c r="G50" t="s">
        <v>284</v>
      </c>
      <c r="H50" s="167">
        <v>1.034</v>
      </c>
      <c r="J50" s="97"/>
      <c r="K50" s="97"/>
      <c r="L50" s="97"/>
      <c r="M50" s="97"/>
      <c r="N50" s="97"/>
      <c r="O50" s="97"/>
    </row>
    <row r="51" spans="4:25" x14ac:dyDescent="0.25">
      <c r="F51" t="s">
        <v>199</v>
      </c>
      <c r="G51" t="s">
        <v>284</v>
      </c>
      <c r="H51" s="167">
        <v>1.048</v>
      </c>
      <c r="I51" s="3"/>
      <c r="J51" s="97"/>
      <c r="K51" s="97"/>
      <c r="L51" s="97"/>
      <c r="M51" s="97"/>
      <c r="N51" s="97"/>
      <c r="O51" s="97"/>
    </row>
    <row r="52" spans="4:25" x14ac:dyDescent="0.25">
      <c r="F52" s="96" t="s">
        <v>200</v>
      </c>
      <c r="G52" s="96" t="s">
        <v>284</v>
      </c>
      <c r="H52" s="172">
        <v>1.0620000000000001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367</v>
      </c>
      <c r="F54" s="75"/>
      <c r="J54" s="97"/>
      <c r="L54" s="97"/>
    </row>
    <row r="55" spans="4:25" x14ac:dyDescent="0.25">
      <c r="D55" s="75"/>
      <c r="E55" s="75"/>
      <c r="F55" s="255" t="s">
        <v>190</v>
      </c>
      <c r="G55" s="95" t="s">
        <v>284</v>
      </c>
      <c r="H55" s="95"/>
      <c r="I55" s="95"/>
      <c r="J55" s="260">
        <f t="array" ref="J55:Y64">TRANSPOSE('Load &amp; loss characteristics'!J145:S160)</f>
        <v>1.0620000000000001</v>
      </c>
      <c r="K55" s="260">
        <v>1.0620000000000001</v>
      </c>
      <c r="L55" s="260">
        <v>1.0620000000000001</v>
      </c>
      <c r="M55" s="260">
        <v>1.0620000000000001</v>
      </c>
      <c r="N55" s="260">
        <v>1.0620000000000001</v>
      </c>
      <c r="O55" s="260">
        <v>1.048</v>
      </c>
      <c r="P55" s="260">
        <v>1.034</v>
      </c>
      <c r="Q55" s="260">
        <v>1.0620000000000001</v>
      </c>
      <c r="R55" s="260">
        <v>-1.0620000000000001</v>
      </c>
      <c r="S55" s="260">
        <v>-1.048</v>
      </c>
      <c r="T55" s="260">
        <v>-1.0620000000000001</v>
      </c>
      <c r="U55" s="260">
        <v>-1.0620000000000001</v>
      </c>
      <c r="V55" s="260">
        <v>-1.048</v>
      </c>
      <c r="W55" s="260">
        <v>-1.048</v>
      </c>
      <c r="X55" s="260">
        <v>-1.034</v>
      </c>
      <c r="Y55" s="260">
        <v>-1.034</v>
      </c>
    </row>
    <row r="56" spans="4:25" x14ac:dyDescent="0.25">
      <c r="D56" s="75"/>
      <c r="E56" s="75"/>
      <c r="F56" s="256" t="s">
        <v>192</v>
      </c>
      <c r="G56" t="s">
        <v>284</v>
      </c>
      <c r="J56" s="257">
        <v>1.0620000000000001</v>
      </c>
      <c r="K56" s="257">
        <v>1.0620000000000001</v>
      </c>
      <c r="L56" s="257">
        <v>1.0620000000000001</v>
      </c>
      <c r="M56" s="257">
        <v>1.0620000000000001</v>
      </c>
      <c r="N56" s="257">
        <v>1.0620000000000001</v>
      </c>
      <c r="O56" s="257">
        <v>1.048</v>
      </c>
      <c r="P56" s="257">
        <v>1.034</v>
      </c>
      <c r="Q56" s="257">
        <v>1.0620000000000001</v>
      </c>
      <c r="R56" s="257">
        <v>-1.0620000000000001</v>
      </c>
      <c r="S56" s="257">
        <v>-1.048</v>
      </c>
      <c r="T56" s="257">
        <v>-1.0620000000000001</v>
      </c>
      <c r="U56" s="257">
        <v>-1.0620000000000001</v>
      </c>
      <c r="V56" s="257">
        <v>-1.048</v>
      </c>
      <c r="W56" s="257">
        <v>-1.048</v>
      </c>
      <c r="X56" s="257">
        <v>-1.034</v>
      </c>
      <c r="Y56" s="257">
        <v>-1.034</v>
      </c>
    </row>
    <row r="57" spans="4:25" x14ac:dyDescent="0.25">
      <c r="D57" s="75"/>
      <c r="E57" s="75"/>
      <c r="F57" s="256" t="s">
        <v>193</v>
      </c>
      <c r="G57" t="s">
        <v>284</v>
      </c>
      <c r="J57" s="257">
        <v>1.0620000000000001</v>
      </c>
      <c r="K57" s="257">
        <v>1.0620000000000001</v>
      </c>
      <c r="L57" s="257">
        <v>1.0620000000000001</v>
      </c>
      <c r="M57" s="257">
        <v>1.0620000000000001</v>
      </c>
      <c r="N57" s="257">
        <v>1.0620000000000001</v>
      </c>
      <c r="O57" s="257">
        <v>1.048</v>
      </c>
      <c r="P57" s="257">
        <v>1.034</v>
      </c>
      <c r="Q57" s="257">
        <v>1.0620000000000001</v>
      </c>
      <c r="R57" s="257">
        <v>-1.0620000000000001</v>
      </c>
      <c r="S57" s="257">
        <v>-1.048</v>
      </c>
      <c r="T57" s="257">
        <v>-1.0620000000000001</v>
      </c>
      <c r="U57" s="257">
        <v>-1.0620000000000001</v>
      </c>
      <c r="V57" s="257">
        <v>-1.048</v>
      </c>
      <c r="W57" s="257">
        <v>-1.048</v>
      </c>
      <c r="X57" s="257">
        <v>-1.034</v>
      </c>
      <c r="Y57" s="257">
        <v>-1.034</v>
      </c>
    </row>
    <row r="58" spans="4:25" x14ac:dyDescent="0.25">
      <c r="D58" s="75"/>
      <c r="E58" s="75"/>
      <c r="F58" s="256" t="s">
        <v>194</v>
      </c>
      <c r="G58" t="s">
        <v>284</v>
      </c>
      <c r="J58" s="257">
        <v>1.0620000000000001</v>
      </c>
      <c r="K58" s="257">
        <v>1.0620000000000001</v>
      </c>
      <c r="L58" s="257">
        <v>1.0620000000000001</v>
      </c>
      <c r="M58" s="257">
        <v>1.0620000000000001</v>
      </c>
      <c r="N58" s="257">
        <v>1.0620000000000001</v>
      </c>
      <c r="O58" s="257">
        <v>1.048</v>
      </c>
      <c r="P58" s="257">
        <v>1.034</v>
      </c>
      <c r="Q58" s="257">
        <v>1.0620000000000001</v>
      </c>
      <c r="R58" s="257">
        <v>-1.0620000000000001</v>
      </c>
      <c r="S58" s="257">
        <v>-1.048</v>
      </c>
      <c r="T58" s="257">
        <v>-1.0620000000000001</v>
      </c>
      <c r="U58" s="257">
        <v>-1.0620000000000001</v>
      </c>
      <c r="V58" s="257">
        <v>-1.048</v>
      </c>
      <c r="W58" s="257">
        <v>-1.048</v>
      </c>
      <c r="X58" s="257">
        <v>-1.034</v>
      </c>
      <c r="Y58" s="257">
        <v>-1.034</v>
      </c>
    </row>
    <row r="59" spans="4:25" x14ac:dyDescent="0.25">
      <c r="D59" s="75"/>
      <c r="E59" s="75"/>
      <c r="F59" s="256" t="s">
        <v>195</v>
      </c>
      <c r="G59" t="s">
        <v>284</v>
      </c>
      <c r="J59" s="257">
        <v>1.0620000000000001</v>
      </c>
      <c r="K59" s="257">
        <v>1.0620000000000001</v>
      </c>
      <c r="L59" s="257">
        <v>1.0620000000000001</v>
      </c>
      <c r="M59" s="257">
        <v>1.0620000000000001</v>
      </c>
      <c r="N59" s="257">
        <v>1.0620000000000001</v>
      </c>
      <c r="O59" s="257">
        <v>1.048</v>
      </c>
      <c r="P59" s="257">
        <v>1.034</v>
      </c>
      <c r="Q59" s="257">
        <v>1.0620000000000001</v>
      </c>
      <c r="R59" s="257">
        <v>-1.0620000000000001</v>
      </c>
      <c r="S59" s="257">
        <v>-1.048</v>
      </c>
      <c r="T59" s="257">
        <v>-1.0620000000000001</v>
      </c>
      <c r="U59" s="257">
        <v>-1.0620000000000001</v>
      </c>
      <c r="V59" s="257">
        <v>-1.048</v>
      </c>
      <c r="W59" s="257">
        <v>-1.048</v>
      </c>
      <c r="X59" s="257">
        <v>-1.034</v>
      </c>
      <c r="Y59" s="257">
        <v>-1.034</v>
      </c>
    </row>
    <row r="60" spans="4:25" x14ac:dyDescent="0.25">
      <c r="D60" s="75"/>
      <c r="E60" s="75"/>
      <c r="F60" s="256" t="s">
        <v>196</v>
      </c>
      <c r="G60" t="s">
        <v>284</v>
      </c>
      <c r="J60" s="257">
        <v>1.0620000000000001</v>
      </c>
      <c r="K60" s="257">
        <v>1.0620000000000001</v>
      </c>
      <c r="L60" s="257">
        <v>1.0620000000000001</v>
      </c>
      <c r="M60" s="257">
        <v>1.0620000000000001</v>
      </c>
      <c r="N60" s="257">
        <v>1.0620000000000001</v>
      </c>
      <c r="O60" s="257">
        <v>1.048</v>
      </c>
      <c r="P60" s="257">
        <v>1.034</v>
      </c>
      <c r="Q60" s="257">
        <v>1.0620000000000001</v>
      </c>
      <c r="R60" s="257">
        <v>-1.0620000000000001</v>
      </c>
      <c r="S60" s="257">
        <v>-1.048</v>
      </c>
      <c r="T60" s="257">
        <v>-1.0620000000000001</v>
      </c>
      <c r="U60" s="257">
        <v>-1.0620000000000001</v>
      </c>
      <c r="V60" s="257">
        <v>-1.048</v>
      </c>
      <c r="W60" s="257">
        <v>-1.048</v>
      </c>
      <c r="X60" s="257">
        <v>-1.034</v>
      </c>
      <c r="Y60" s="257">
        <v>-1.034</v>
      </c>
    </row>
    <row r="61" spans="4:25" x14ac:dyDescent="0.25">
      <c r="D61" s="75"/>
      <c r="E61" s="75"/>
      <c r="F61" s="256" t="s">
        <v>197</v>
      </c>
      <c r="G61" t="s">
        <v>284</v>
      </c>
      <c r="J61" s="257">
        <v>0</v>
      </c>
      <c r="K61" s="257">
        <v>0</v>
      </c>
      <c r="L61" s="257">
        <v>0</v>
      </c>
      <c r="M61" s="257">
        <v>0</v>
      </c>
      <c r="N61" s="257">
        <v>0</v>
      </c>
      <c r="O61" s="257">
        <v>0</v>
      </c>
      <c r="P61" s="257">
        <v>0</v>
      </c>
      <c r="Q61" s="257">
        <v>0</v>
      </c>
      <c r="R61" s="257">
        <v>0</v>
      </c>
      <c r="S61" s="257">
        <v>0</v>
      </c>
      <c r="T61" s="257">
        <v>0</v>
      </c>
      <c r="U61" s="257">
        <v>0</v>
      </c>
      <c r="V61" s="257">
        <v>0</v>
      </c>
      <c r="W61" s="257">
        <v>0</v>
      </c>
      <c r="X61" s="257">
        <v>0</v>
      </c>
      <c r="Y61" s="257">
        <v>0</v>
      </c>
    </row>
    <row r="62" spans="4:25" x14ac:dyDescent="0.25">
      <c r="D62" s="75"/>
      <c r="E62" s="75"/>
      <c r="F62" s="256" t="s">
        <v>198</v>
      </c>
      <c r="G62" t="s">
        <v>284</v>
      </c>
      <c r="J62" s="257">
        <v>1.0620000000000001</v>
      </c>
      <c r="K62" s="257">
        <v>1.0620000000000001</v>
      </c>
      <c r="L62" s="257">
        <v>1.0620000000000001</v>
      </c>
      <c r="M62" s="257">
        <v>1.0620000000000001</v>
      </c>
      <c r="N62" s="257">
        <v>1.0620000000000001</v>
      </c>
      <c r="O62" s="257">
        <v>1.048</v>
      </c>
      <c r="P62" s="257">
        <v>1.034</v>
      </c>
      <c r="Q62" s="257">
        <v>1.0620000000000001</v>
      </c>
      <c r="R62" s="257">
        <v>-1.0620000000000001</v>
      </c>
      <c r="S62" s="257">
        <v>-1.048</v>
      </c>
      <c r="T62" s="257">
        <v>-1.0620000000000001</v>
      </c>
      <c r="U62" s="257">
        <v>-1.0620000000000001</v>
      </c>
      <c r="V62" s="257">
        <v>-1.048</v>
      </c>
      <c r="W62" s="257">
        <v>-1.048</v>
      </c>
      <c r="X62" s="257">
        <v>0</v>
      </c>
      <c r="Y62" s="257">
        <v>0</v>
      </c>
    </row>
    <row r="63" spans="4:25" x14ac:dyDescent="0.25">
      <c r="D63" s="75"/>
      <c r="E63" s="75"/>
      <c r="F63" s="256" t="s">
        <v>199</v>
      </c>
      <c r="G63" t="s">
        <v>284</v>
      </c>
      <c r="J63" s="257">
        <v>1.0620000000000001</v>
      </c>
      <c r="K63" s="257">
        <v>1.0620000000000001</v>
      </c>
      <c r="L63" s="257">
        <v>1.0620000000000001</v>
      </c>
      <c r="M63" s="257">
        <v>1.0620000000000001</v>
      </c>
      <c r="N63" s="257">
        <v>1.0620000000000001</v>
      </c>
      <c r="O63" s="257">
        <v>1.048</v>
      </c>
      <c r="P63" s="257">
        <v>0</v>
      </c>
      <c r="Q63" s="257">
        <v>1.0620000000000001</v>
      </c>
      <c r="R63" s="257">
        <v>-1.0620000000000001</v>
      </c>
      <c r="S63" s="257">
        <v>0</v>
      </c>
      <c r="T63" s="257">
        <v>-1.0620000000000001</v>
      </c>
      <c r="U63" s="257">
        <v>-1.0620000000000001</v>
      </c>
      <c r="V63" s="257">
        <v>0</v>
      </c>
      <c r="W63" s="257">
        <v>0</v>
      </c>
      <c r="X63" s="257">
        <v>0</v>
      </c>
      <c r="Y63" s="257">
        <v>0</v>
      </c>
    </row>
    <row r="64" spans="4:25" x14ac:dyDescent="0.25">
      <c r="D64" s="75"/>
      <c r="E64" s="75"/>
      <c r="F64" s="258" t="s">
        <v>200</v>
      </c>
      <c r="G64" s="96" t="s">
        <v>284</v>
      </c>
      <c r="H64" s="96"/>
      <c r="I64" s="96"/>
      <c r="J64" s="259">
        <v>1.0620000000000001</v>
      </c>
      <c r="K64" s="259">
        <v>1.0620000000000001</v>
      </c>
      <c r="L64" s="259">
        <v>1.0620000000000001</v>
      </c>
      <c r="M64" s="259">
        <v>1.0620000000000001</v>
      </c>
      <c r="N64" s="259">
        <v>1.0620000000000001</v>
      </c>
      <c r="O64" s="259">
        <v>0</v>
      </c>
      <c r="P64" s="259">
        <v>0</v>
      </c>
      <c r="Q64" s="259">
        <v>1.0620000000000001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374</v>
      </c>
      <c r="J66" s="261"/>
      <c r="K66" s="261"/>
      <c r="L66" s="261"/>
      <c r="M66" s="261"/>
      <c r="N66" s="261"/>
      <c r="O66" s="261"/>
      <c r="P66" s="261"/>
      <c r="Q66" s="261"/>
      <c r="R66" s="261"/>
      <c r="S66" s="261"/>
      <c r="T66" s="261"/>
      <c r="U66" s="261"/>
      <c r="V66" s="261"/>
      <c r="W66" s="261"/>
      <c r="X66" s="261"/>
      <c r="Y66" s="261"/>
    </row>
    <row r="67" spans="3:25" x14ac:dyDescent="0.25">
      <c r="D67" s="75"/>
      <c r="E67" s="75"/>
      <c r="F67" s="255" t="s">
        <v>190</v>
      </c>
      <c r="G67" s="98" t="s">
        <v>168</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192</v>
      </c>
      <c r="G68" s="94" t="s">
        <v>168</v>
      </c>
      <c r="J68" s="263"/>
      <c r="K68" s="263"/>
      <c r="L68" s="263"/>
      <c r="M68" s="263"/>
      <c r="N68" s="263"/>
      <c r="O68" s="263"/>
      <c r="P68" s="263"/>
      <c r="Q68" s="263"/>
      <c r="R68" s="263"/>
      <c r="S68" s="263"/>
      <c r="T68" s="263"/>
      <c r="U68" s="263"/>
      <c r="V68" s="263"/>
      <c r="W68" s="263"/>
      <c r="X68" s="263"/>
      <c r="Y68" s="263"/>
    </row>
    <row r="69" spans="3:25" x14ac:dyDescent="0.25">
      <c r="D69" s="75"/>
      <c r="E69" s="75"/>
      <c r="F69" s="256" t="s">
        <v>193</v>
      </c>
      <c r="G69" s="94" t="s">
        <v>168</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194</v>
      </c>
      <c r="G70" s="94" t="s">
        <v>168</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195</v>
      </c>
      <c r="G71" s="94" t="s">
        <v>168</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196</v>
      </c>
      <c r="G72" s="94" t="s">
        <v>168</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197</v>
      </c>
      <c r="G73" s="94" t="s">
        <v>168</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198</v>
      </c>
      <c r="G74" s="94" t="s">
        <v>168</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199</v>
      </c>
      <c r="G75" s="94" t="s">
        <v>168</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200</v>
      </c>
      <c r="G76" s="101" t="s">
        <v>168</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430</v>
      </c>
      <c r="F78" s="94"/>
      <c r="G78" s="94" t="s">
        <v>284</v>
      </c>
      <c r="J78" s="257">
        <f>'Pseudo-load coefficients'!J267</f>
        <v>2.2002726686835845</v>
      </c>
      <c r="K78" s="257">
        <f>'Pseudo-load coefficients'!K267</f>
        <v>2.2002726686835845</v>
      </c>
      <c r="L78" s="257">
        <f>'Pseudo-load coefficients'!L267</f>
        <v>1.6684599292766422</v>
      </c>
      <c r="M78" s="257">
        <f>'Pseudo-load coefficients'!M267</f>
        <v>1.6684599292766422</v>
      </c>
      <c r="N78" s="257">
        <f>'Pseudo-load coefficients'!N267</f>
        <v>1.4389213197475446</v>
      </c>
      <c r="O78" s="257">
        <f>'Pseudo-load coefficients'!O267</f>
        <v>1.2984118985263626</v>
      </c>
      <c r="P78" s="257">
        <f>'Pseudo-load coefficients'!P267</f>
        <v>1.1633898937261677</v>
      </c>
      <c r="Q78" s="257">
        <f>'Pseudo-load coefficients'!Q267</f>
        <v>1.9810980858278973</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465</v>
      </c>
      <c r="J80" s="261"/>
      <c r="K80" s="261"/>
      <c r="L80" s="261"/>
      <c r="M80" s="261"/>
      <c r="N80" s="261"/>
      <c r="O80" s="261"/>
      <c r="P80" s="261"/>
      <c r="Q80" s="261"/>
      <c r="R80" s="261"/>
      <c r="S80" s="261"/>
      <c r="T80" s="261"/>
      <c r="U80" s="261"/>
      <c r="V80" s="261"/>
      <c r="W80" s="261"/>
      <c r="X80" s="261"/>
      <c r="Y80" s="261"/>
    </row>
    <row r="81" spans="5:25" x14ac:dyDescent="0.25">
      <c r="E81" s="75"/>
      <c r="F81" s="255" t="s">
        <v>190</v>
      </c>
      <c r="G81" s="98" t="s">
        <v>284</v>
      </c>
      <c r="H81" s="95"/>
      <c r="I81" s="95"/>
      <c r="J81" s="264">
        <f>'Pseudo-load coefficients'!J272</f>
        <v>26.252532118322382</v>
      </c>
      <c r="K81" s="264">
        <f>'Pseudo-load coefficients'!K272</f>
        <v>26.252532118322382</v>
      </c>
      <c r="L81" s="264">
        <f>'Pseudo-load coefficients'!L272</f>
        <v>25.683280914057626</v>
      </c>
      <c r="M81" s="264">
        <f>'Pseudo-load coefficients'!M272</f>
        <v>25.683280914057626</v>
      </c>
      <c r="N81" s="264">
        <f>'Pseudo-load coefficients'!N272</f>
        <v>19.797283154448994</v>
      </c>
      <c r="O81" s="264">
        <f>'Pseudo-load coefficients'!O272</f>
        <v>18.674788578853466</v>
      </c>
      <c r="P81" s="264">
        <f>'Pseudo-load coefficients'!P272</f>
        <v>17.15181159346</v>
      </c>
      <c r="Q81" s="264">
        <f>'Pseudo-load coefficients'!Q272</f>
        <v>61.608236378792107</v>
      </c>
      <c r="R81" s="264">
        <f>'Pseudo-load coefficients'!R272</f>
        <v>15.796325905441332</v>
      </c>
      <c r="S81" s="264">
        <f>'Pseudo-load coefficients'!S272</f>
        <v>15.796325905441332</v>
      </c>
      <c r="T81" s="264">
        <f>'Pseudo-load coefficients'!T272</f>
        <v>15.796325905441332</v>
      </c>
      <c r="U81" s="264">
        <f>'Pseudo-load coefficients'!U272</f>
        <v>15.796325905441332</v>
      </c>
      <c r="V81" s="264">
        <f>'Pseudo-load coefficients'!V272</f>
        <v>15.796325905441332</v>
      </c>
      <c r="W81" s="264">
        <f>'Pseudo-load coefficients'!W272</f>
        <v>15.796325905441332</v>
      </c>
      <c r="X81" s="264">
        <f>'Pseudo-load coefficients'!X272</f>
        <v>15.796325905441332</v>
      </c>
      <c r="Y81" s="264">
        <f>'Pseudo-load coefficients'!Y272</f>
        <v>15.796325905441332</v>
      </c>
    </row>
    <row r="82" spans="5:25" x14ac:dyDescent="0.25">
      <c r="E82" s="75"/>
      <c r="F82" s="256" t="s">
        <v>192</v>
      </c>
      <c r="G82" s="94" t="s">
        <v>284</v>
      </c>
      <c r="J82" s="257">
        <f>'Pseudo-load coefficients'!J272</f>
        <v>26.252532118322382</v>
      </c>
      <c r="K82" s="257">
        <f>'Pseudo-load coefficients'!K272</f>
        <v>26.252532118322382</v>
      </c>
      <c r="L82" s="257">
        <f>'Pseudo-load coefficients'!L272</f>
        <v>25.683280914057626</v>
      </c>
      <c r="M82" s="257">
        <f>'Pseudo-load coefficients'!M272</f>
        <v>25.683280914057626</v>
      </c>
      <c r="N82" s="257">
        <f>'Pseudo-load coefficients'!N272</f>
        <v>19.797283154448994</v>
      </c>
      <c r="O82" s="257">
        <f>'Pseudo-load coefficients'!O272</f>
        <v>18.674788578853466</v>
      </c>
      <c r="P82" s="257">
        <f>'Pseudo-load coefficients'!P272</f>
        <v>17.15181159346</v>
      </c>
      <c r="Q82" s="257">
        <f>'Pseudo-load coefficients'!Q272</f>
        <v>61.608236378792107</v>
      </c>
      <c r="R82" s="257">
        <f>'Pseudo-load coefficients'!R272</f>
        <v>15.796325905441332</v>
      </c>
      <c r="S82" s="257">
        <f>'Pseudo-load coefficients'!S272</f>
        <v>15.796325905441332</v>
      </c>
      <c r="T82" s="257">
        <f>'Pseudo-load coefficients'!T272</f>
        <v>15.796325905441332</v>
      </c>
      <c r="U82" s="257">
        <f>'Pseudo-load coefficients'!U272</f>
        <v>15.796325905441332</v>
      </c>
      <c r="V82" s="257">
        <f>'Pseudo-load coefficients'!V272</f>
        <v>15.796325905441332</v>
      </c>
      <c r="W82" s="257">
        <f>'Pseudo-load coefficients'!W272</f>
        <v>15.796325905441332</v>
      </c>
      <c r="X82" s="257">
        <f>'Pseudo-load coefficients'!X272</f>
        <v>15.796325905441332</v>
      </c>
      <c r="Y82" s="257">
        <f>'Pseudo-load coefficients'!Y272</f>
        <v>15.796325905441332</v>
      </c>
    </row>
    <row r="83" spans="5:25" x14ac:dyDescent="0.25">
      <c r="E83" s="75"/>
      <c r="F83" s="256" t="s">
        <v>193</v>
      </c>
      <c r="G83" s="94" t="s">
        <v>284</v>
      </c>
      <c r="J83" s="257">
        <f>'Pseudo-load coefficients'!J273</f>
        <v>22.906645910706104</v>
      </c>
      <c r="K83" s="257">
        <f>'Pseudo-load coefficients'!K273</f>
        <v>22.906645910706104</v>
      </c>
      <c r="L83" s="257">
        <f>'Pseudo-load coefficients'!L273</f>
        <v>22.409945793872989</v>
      </c>
      <c r="M83" s="257">
        <f>'Pseudo-load coefficients'!M273</f>
        <v>22.409945793872989</v>
      </c>
      <c r="N83" s="257">
        <f>'Pseudo-load coefficients'!N273</f>
        <v>17.274118670497572</v>
      </c>
      <c r="O83" s="257">
        <f>'Pseudo-load coefficients'!O273</f>
        <v>16.294686070854755</v>
      </c>
      <c r="P83" s="257">
        <f>'Pseudo-load coefficients'!P273</f>
        <v>14.965812559632019</v>
      </c>
      <c r="Q83" s="257">
        <f>'Pseudo-load coefficients'!Q273</f>
        <v>49.885377430246677</v>
      </c>
      <c r="R83" s="257">
        <f>'Pseudo-load coefficients'!R273</f>
        <v>13.783083573622967</v>
      </c>
      <c r="S83" s="257">
        <f>'Pseudo-load coefficients'!S273</f>
        <v>13.783083573622967</v>
      </c>
      <c r="T83" s="257">
        <f>'Pseudo-load coefficients'!T273</f>
        <v>13.783083573622967</v>
      </c>
      <c r="U83" s="257">
        <f>'Pseudo-load coefficients'!U273</f>
        <v>13.783083573622967</v>
      </c>
      <c r="V83" s="257">
        <f>'Pseudo-load coefficients'!V273</f>
        <v>13.783083573622967</v>
      </c>
      <c r="W83" s="257">
        <f>'Pseudo-load coefficients'!W273</f>
        <v>13.783083573622967</v>
      </c>
      <c r="X83" s="257">
        <f>'Pseudo-load coefficients'!X273</f>
        <v>13.783083573622967</v>
      </c>
      <c r="Y83" s="257">
        <f>'Pseudo-load coefficients'!Y273</f>
        <v>13.783083573622967</v>
      </c>
    </row>
    <row r="84" spans="5:25" x14ac:dyDescent="0.25">
      <c r="E84" s="75"/>
      <c r="F84" s="256" t="s">
        <v>194</v>
      </c>
      <c r="G84" s="94" t="s">
        <v>284</v>
      </c>
      <c r="J84" s="257">
        <f>'Pseudo-load coefficients'!J274</f>
        <v>22.906645910706104</v>
      </c>
      <c r="K84" s="257">
        <f>'Pseudo-load coefficients'!K274</f>
        <v>22.906645910706104</v>
      </c>
      <c r="L84" s="257">
        <f>'Pseudo-load coefficients'!L274</f>
        <v>22.409945793872989</v>
      </c>
      <c r="M84" s="257">
        <f>'Pseudo-load coefficients'!M274</f>
        <v>22.409945793872989</v>
      </c>
      <c r="N84" s="257">
        <f>'Pseudo-load coefficients'!N274</f>
        <v>17.274118670497572</v>
      </c>
      <c r="O84" s="257">
        <f>'Pseudo-load coefficients'!O274</f>
        <v>16.294686070854755</v>
      </c>
      <c r="P84" s="257">
        <f>'Pseudo-load coefficients'!P274</f>
        <v>14.965812559632019</v>
      </c>
      <c r="Q84" s="257">
        <f>'Pseudo-load coefficients'!Q274</f>
        <v>49.885377430246677</v>
      </c>
      <c r="R84" s="257">
        <f>'Pseudo-load coefficients'!R274</f>
        <v>13.783083573622967</v>
      </c>
      <c r="S84" s="257">
        <f>'Pseudo-load coefficients'!S274</f>
        <v>13.783083573622967</v>
      </c>
      <c r="T84" s="257">
        <f>'Pseudo-load coefficients'!T274</f>
        <v>13.783083573622967</v>
      </c>
      <c r="U84" s="257">
        <f>'Pseudo-load coefficients'!U274</f>
        <v>13.783083573622967</v>
      </c>
      <c r="V84" s="257">
        <f>'Pseudo-load coefficients'!V274</f>
        <v>13.783083573622967</v>
      </c>
      <c r="W84" s="257">
        <f>'Pseudo-load coefficients'!W274</f>
        <v>13.783083573622967</v>
      </c>
      <c r="X84" s="257">
        <f>'Pseudo-load coefficients'!X274</f>
        <v>13.783083573622967</v>
      </c>
      <c r="Y84" s="257">
        <f>'Pseudo-load coefficients'!Y274</f>
        <v>13.783083573622967</v>
      </c>
    </row>
    <row r="85" spans="5:25" x14ac:dyDescent="0.25">
      <c r="E85" s="75"/>
      <c r="F85" s="256" t="s">
        <v>195</v>
      </c>
      <c r="G85" s="94" t="s">
        <v>284</v>
      </c>
      <c r="J85" s="257">
        <f>'Pseudo-load coefficients'!J275</f>
        <v>14.957389736758207</v>
      </c>
      <c r="K85" s="257">
        <f>'Pseudo-load coefficients'!K275</f>
        <v>14.957389736758207</v>
      </c>
      <c r="L85" s="257">
        <f>'Pseudo-load coefficients'!L275</f>
        <v>14.633058655781664</v>
      </c>
      <c r="M85" s="257">
        <f>'Pseudo-load coefficients'!M275</f>
        <v>14.633058655781664</v>
      </c>
      <c r="N85" s="257">
        <f>'Pseudo-load coefficients'!N275</f>
        <v>11.279509288301529</v>
      </c>
      <c r="O85" s="257">
        <f>'Pseudo-load coefficients'!O275</f>
        <v>10.639967594993349</v>
      </c>
      <c r="P85" s="257">
        <f>'Pseudo-load coefficients'!P275</f>
        <v>9.7722509028292226</v>
      </c>
      <c r="Q85" s="257">
        <f>'Pseudo-load coefficients'!Q275</f>
        <v>32.930440929445119</v>
      </c>
      <c r="R85" s="257">
        <f>'Pseudo-load coefficients'!R275</f>
        <v>8.9999624383521937</v>
      </c>
      <c r="S85" s="257">
        <f>'Pseudo-load coefficients'!S275</f>
        <v>8.9999624383521937</v>
      </c>
      <c r="T85" s="257">
        <f>'Pseudo-load coefficients'!T275</f>
        <v>8.9999624383521937</v>
      </c>
      <c r="U85" s="257">
        <f>'Pseudo-load coefficients'!U275</f>
        <v>8.9999624383521937</v>
      </c>
      <c r="V85" s="257">
        <f>'Pseudo-load coefficients'!V275</f>
        <v>8.9999624383521937</v>
      </c>
      <c r="W85" s="257">
        <f>'Pseudo-load coefficients'!W275</f>
        <v>8.9999624383521937</v>
      </c>
      <c r="X85" s="257">
        <f>'Pseudo-load coefficients'!X275</f>
        <v>8.9999624383521937</v>
      </c>
      <c r="Y85" s="257">
        <f>'Pseudo-load coefficients'!Y275</f>
        <v>8.9999624383521937</v>
      </c>
    </row>
    <row r="86" spans="5:25" x14ac:dyDescent="0.25">
      <c r="E86" s="75"/>
      <c r="F86" s="256" t="s">
        <v>196</v>
      </c>
      <c r="G86" s="94" t="s">
        <v>284</v>
      </c>
      <c r="J86" s="257">
        <f>'Pseudo-load coefficients'!J276</f>
        <v>14.957389736758207</v>
      </c>
      <c r="K86" s="257">
        <f>'Pseudo-load coefficients'!K276</f>
        <v>14.957389736758207</v>
      </c>
      <c r="L86" s="257">
        <f>'Pseudo-load coefficients'!L276</f>
        <v>14.633058655781664</v>
      </c>
      <c r="M86" s="257">
        <f>'Pseudo-load coefficients'!M276</f>
        <v>14.633058655781664</v>
      </c>
      <c r="N86" s="257">
        <f>'Pseudo-load coefficients'!N276</f>
        <v>11.279509288301529</v>
      </c>
      <c r="O86" s="257">
        <f>'Pseudo-load coefficients'!O276</f>
        <v>10.639967594993349</v>
      </c>
      <c r="P86" s="257">
        <f>'Pseudo-load coefficients'!P276</f>
        <v>9.7722509028292226</v>
      </c>
      <c r="Q86" s="257">
        <f>'Pseudo-load coefficients'!Q276</f>
        <v>32.930440929445119</v>
      </c>
      <c r="R86" s="257">
        <f>'Pseudo-load coefficients'!R276</f>
        <v>8.9999624383521937</v>
      </c>
      <c r="S86" s="257">
        <f>'Pseudo-load coefficients'!S276</f>
        <v>8.9999624383521937</v>
      </c>
      <c r="T86" s="257">
        <f>'Pseudo-load coefficients'!T276</f>
        <v>8.9999624383521937</v>
      </c>
      <c r="U86" s="257">
        <f>'Pseudo-load coefficients'!U276</f>
        <v>8.9999624383521937</v>
      </c>
      <c r="V86" s="257">
        <f>'Pseudo-load coefficients'!V276</f>
        <v>8.9999624383521937</v>
      </c>
      <c r="W86" s="257">
        <f>'Pseudo-load coefficients'!W276</f>
        <v>8.9999624383521937</v>
      </c>
      <c r="X86" s="257">
        <f>'Pseudo-load coefficients'!X276</f>
        <v>8.9999624383521937</v>
      </c>
      <c r="Y86" s="257">
        <f>'Pseudo-load coefficients'!Y276</f>
        <v>8.9999624383521937</v>
      </c>
    </row>
    <row r="87" spans="5:25" x14ac:dyDescent="0.25">
      <c r="E87" s="75"/>
      <c r="F87" s="256" t="s">
        <v>197</v>
      </c>
      <c r="G87" s="94" t="s">
        <v>284</v>
      </c>
      <c r="J87" s="257">
        <f>'Pseudo-load coefficients'!J277</f>
        <v>22.906645910706104</v>
      </c>
      <c r="K87" s="257">
        <f>'Pseudo-load coefficients'!K277</f>
        <v>22.906645910706104</v>
      </c>
      <c r="L87" s="257">
        <f>'Pseudo-load coefficients'!L277</f>
        <v>22.409945793872989</v>
      </c>
      <c r="M87" s="257">
        <f>'Pseudo-load coefficients'!M277</f>
        <v>22.409945793872989</v>
      </c>
      <c r="N87" s="257">
        <f>'Pseudo-load coefficients'!N277</f>
        <v>17.274118670497572</v>
      </c>
      <c r="O87" s="257">
        <f>'Pseudo-load coefficients'!O277</f>
        <v>16.294686070854755</v>
      </c>
      <c r="P87" s="257">
        <f>'Pseudo-load coefficients'!P277</f>
        <v>14.965812559632019</v>
      </c>
      <c r="Q87" s="257">
        <f>'Pseudo-load coefficients'!Q277</f>
        <v>49.885377430246677</v>
      </c>
      <c r="R87" s="257">
        <f>'Pseudo-load coefficients'!R277</f>
        <v>13.783083573622967</v>
      </c>
      <c r="S87" s="257">
        <f>'Pseudo-load coefficients'!S277</f>
        <v>13.783083573622967</v>
      </c>
      <c r="T87" s="257">
        <f>'Pseudo-load coefficients'!T277</f>
        <v>13.783083573622967</v>
      </c>
      <c r="U87" s="257">
        <f>'Pseudo-load coefficients'!U277</f>
        <v>13.783083573622967</v>
      </c>
      <c r="V87" s="257">
        <f>'Pseudo-load coefficients'!V277</f>
        <v>13.783083573622967</v>
      </c>
      <c r="W87" s="257">
        <f>'Pseudo-load coefficients'!W277</f>
        <v>13.783083573622967</v>
      </c>
      <c r="X87" s="257">
        <f>'Pseudo-load coefficients'!X277</f>
        <v>13.783083573622967</v>
      </c>
      <c r="Y87" s="257">
        <f>'Pseudo-load coefficients'!Y277</f>
        <v>13.783083573622967</v>
      </c>
    </row>
    <row r="88" spans="5:25" x14ac:dyDescent="0.25">
      <c r="E88" s="75"/>
      <c r="F88" s="256" t="s">
        <v>198</v>
      </c>
      <c r="G88" s="94" t="s">
        <v>284</v>
      </c>
      <c r="J88" s="257">
        <f>'Pseudo-load coefficients'!J278</f>
        <v>14.957389736758207</v>
      </c>
      <c r="K88" s="257">
        <f>'Pseudo-load coefficients'!K278</f>
        <v>14.957389736758207</v>
      </c>
      <c r="L88" s="257">
        <f>'Pseudo-load coefficients'!L278</f>
        <v>14.633058655781664</v>
      </c>
      <c r="M88" s="257">
        <f>'Pseudo-load coefficients'!M278</f>
        <v>14.633058655781664</v>
      </c>
      <c r="N88" s="257">
        <f>'Pseudo-load coefficients'!N278</f>
        <v>11.279509288301529</v>
      </c>
      <c r="O88" s="257">
        <f>'Pseudo-load coefficients'!O278</f>
        <v>10.639967594993349</v>
      </c>
      <c r="P88" s="257">
        <f>'Pseudo-load coefficients'!P278</f>
        <v>9.7722509028292226</v>
      </c>
      <c r="Q88" s="257">
        <f>'Pseudo-load coefficients'!Q278</f>
        <v>32.930440929445119</v>
      </c>
      <c r="R88" s="257">
        <f>'Pseudo-load coefficients'!R278</f>
        <v>8.9999624383521937</v>
      </c>
      <c r="S88" s="257">
        <f>'Pseudo-load coefficients'!S278</f>
        <v>8.9999624383521937</v>
      </c>
      <c r="T88" s="257">
        <f>'Pseudo-load coefficients'!T278</f>
        <v>8.9999624383521937</v>
      </c>
      <c r="U88" s="257">
        <f>'Pseudo-load coefficients'!U278</f>
        <v>8.9999624383521937</v>
      </c>
      <c r="V88" s="257">
        <f>'Pseudo-load coefficients'!V278</f>
        <v>8.9999624383521937</v>
      </c>
      <c r="W88" s="257">
        <f>'Pseudo-load coefficients'!W278</f>
        <v>8.9999624383521937</v>
      </c>
      <c r="X88" s="257">
        <f>'Pseudo-load coefficients'!X278</f>
        <v>8.9999624383521937</v>
      </c>
      <c r="Y88" s="257">
        <f>'Pseudo-load coefficients'!Y278</f>
        <v>8.9999624383521937</v>
      </c>
    </row>
    <row r="89" spans="5:25" x14ac:dyDescent="0.25">
      <c r="E89" s="75"/>
      <c r="F89" s="256" t="s">
        <v>199</v>
      </c>
      <c r="G89" s="94" t="s">
        <v>284</v>
      </c>
      <c r="J89" s="257">
        <f>'Pseudo-load coefficients'!J279</f>
        <v>14.957389736758207</v>
      </c>
      <c r="K89" s="257">
        <f>'Pseudo-load coefficients'!K279</f>
        <v>14.957389736758207</v>
      </c>
      <c r="L89" s="257">
        <f>'Pseudo-load coefficients'!L279</f>
        <v>14.633058655781664</v>
      </c>
      <c r="M89" s="257">
        <f>'Pseudo-load coefficients'!M279</f>
        <v>14.633058655781664</v>
      </c>
      <c r="N89" s="257">
        <f>'Pseudo-load coefficients'!N279</f>
        <v>11.279509288301529</v>
      </c>
      <c r="O89" s="257">
        <f>'Pseudo-load coefficients'!O279</f>
        <v>10.639967594993349</v>
      </c>
      <c r="P89" s="257">
        <f>'Pseudo-load coefficients'!P279</f>
        <v>9.7722509028292226</v>
      </c>
      <c r="Q89" s="257">
        <f>'Pseudo-load coefficients'!Q279</f>
        <v>32.930440929445119</v>
      </c>
      <c r="R89" s="257">
        <f>'Pseudo-load coefficients'!R279</f>
        <v>8.9999624383521937</v>
      </c>
      <c r="S89" s="257">
        <f>'Pseudo-load coefficients'!S279</f>
        <v>8.9999624383521937</v>
      </c>
      <c r="T89" s="257">
        <f>'Pseudo-load coefficients'!T279</f>
        <v>8.9999624383521937</v>
      </c>
      <c r="U89" s="257">
        <f>'Pseudo-load coefficients'!U279</f>
        <v>8.9999624383521937</v>
      </c>
      <c r="V89" s="257">
        <f>'Pseudo-load coefficients'!V279</f>
        <v>8.9999624383521937</v>
      </c>
      <c r="W89" s="257">
        <f>'Pseudo-load coefficients'!W279</f>
        <v>8.9999624383521937</v>
      </c>
      <c r="X89" s="257">
        <f>'Pseudo-load coefficients'!X279</f>
        <v>8.9999624383521937</v>
      </c>
      <c r="Y89" s="257">
        <f>'Pseudo-load coefficients'!Y279</f>
        <v>8.9999624383521937</v>
      </c>
    </row>
    <row r="90" spans="5:25" x14ac:dyDescent="0.25">
      <c r="E90" s="75"/>
      <c r="F90" s="258" t="s">
        <v>200</v>
      </c>
      <c r="G90" s="101" t="s">
        <v>284</v>
      </c>
      <c r="H90" s="96"/>
      <c r="I90" s="96"/>
      <c r="J90" s="259">
        <f>'Pseudo-load coefficients'!J280</f>
        <v>14.957389736758207</v>
      </c>
      <c r="K90" s="259">
        <f>'Pseudo-load coefficients'!K280</f>
        <v>14.957389736758207</v>
      </c>
      <c r="L90" s="259">
        <f>'Pseudo-load coefficients'!L280</f>
        <v>14.633058655781664</v>
      </c>
      <c r="M90" s="259">
        <f>'Pseudo-load coefficients'!M280</f>
        <v>14.633058655781664</v>
      </c>
      <c r="N90" s="259">
        <f>'Pseudo-load coefficients'!N280</f>
        <v>11.279509288301529</v>
      </c>
      <c r="O90" s="259">
        <f>'Pseudo-load coefficients'!O280</f>
        <v>10.639967594993349</v>
      </c>
      <c r="P90" s="259">
        <f>'Pseudo-load coefficients'!P280</f>
        <v>9.7722509028292226</v>
      </c>
      <c r="Q90" s="259">
        <f>'Pseudo-load coefficients'!Q280</f>
        <v>32.930440929445119</v>
      </c>
      <c r="R90" s="259">
        <f>'Pseudo-load coefficients'!R280</f>
        <v>8.9999624383521937</v>
      </c>
      <c r="S90" s="259">
        <f>'Pseudo-load coefficients'!S280</f>
        <v>8.9999624383521937</v>
      </c>
      <c r="T90" s="259">
        <f>'Pseudo-load coefficients'!T280</f>
        <v>8.9999624383521937</v>
      </c>
      <c r="U90" s="259">
        <f>'Pseudo-load coefficients'!U280</f>
        <v>8.9999624383521937</v>
      </c>
      <c r="V90" s="259">
        <f>'Pseudo-load coefficients'!V280</f>
        <v>8.9999624383521937</v>
      </c>
      <c r="W90" s="259">
        <f>'Pseudo-load coefficients'!W280</f>
        <v>8.9999624383521937</v>
      </c>
      <c r="X90" s="259">
        <f>'Pseudo-load coefficients'!X280</f>
        <v>8.9999624383521937</v>
      </c>
      <c r="Y90" s="259">
        <f>'Pseudo-load coefficients'!Y280</f>
        <v>8.9999624383521937</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468</v>
      </c>
      <c r="J92" s="261"/>
      <c r="K92" s="261"/>
      <c r="L92" s="261"/>
      <c r="M92" s="261"/>
      <c r="N92" s="261"/>
      <c r="O92" s="261"/>
      <c r="P92" s="261"/>
      <c r="Q92" s="261"/>
      <c r="R92" s="261"/>
      <c r="S92" s="261"/>
      <c r="T92" s="261"/>
      <c r="U92" s="261"/>
      <c r="V92" s="261"/>
      <c r="W92" s="261"/>
      <c r="X92" s="261"/>
      <c r="Y92" s="261"/>
    </row>
    <row r="93" spans="5:25" x14ac:dyDescent="0.25">
      <c r="E93" s="75"/>
      <c r="F93" s="255" t="s">
        <v>190</v>
      </c>
      <c r="G93" s="98" t="s">
        <v>284</v>
      </c>
      <c r="H93" s="95"/>
      <c r="I93" s="95"/>
      <c r="J93" s="264">
        <f>'Pseudo-load coefficients'!J283</f>
        <v>0.24367664353101637</v>
      </c>
      <c r="K93" s="264">
        <f>'Pseudo-load coefficients'!K283</f>
        <v>0.24367664353101637</v>
      </c>
      <c r="L93" s="264">
        <f>'Pseudo-load coefficients'!L283</f>
        <v>0.23839283996661989</v>
      </c>
      <c r="M93" s="264">
        <f>'Pseudo-load coefficients'!M283</f>
        <v>0.23839283996661989</v>
      </c>
      <c r="N93" s="264">
        <f>'Pseudo-load coefficients'!N283</f>
        <v>0.18375886517789888</v>
      </c>
      <c r="O93" s="264">
        <f>'Pseudo-load coefficients'!O283</f>
        <v>0.173339843144897</v>
      </c>
      <c r="P93" s="264">
        <f>'Pseudo-load coefficients'!P283</f>
        <v>0.1592035336147144</v>
      </c>
      <c r="Q93" s="264">
        <f>'Pseudo-load coefficients'!Q283</f>
        <v>0.28282792635188153</v>
      </c>
      <c r="R93" s="264">
        <f>'Pseudo-load coefficients'!R283</f>
        <v>0.14662188239257595</v>
      </c>
      <c r="S93" s="264">
        <f>'Pseudo-load coefficients'!S283</f>
        <v>0.14662188239257595</v>
      </c>
      <c r="T93" s="264">
        <f>'Pseudo-load coefficients'!T283</f>
        <v>0.14662188239257595</v>
      </c>
      <c r="U93" s="264">
        <f>'Pseudo-load coefficients'!U283</f>
        <v>0.14662188239257595</v>
      </c>
      <c r="V93" s="264">
        <f>'Pseudo-load coefficients'!V283</f>
        <v>0.14662188239257595</v>
      </c>
      <c r="W93" s="264">
        <f>'Pseudo-load coefficients'!W283</f>
        <v>0.14662188239257595</v>
      </c>
      <c r="X93" s="264">
        <f>'Pseudo-load coefficients'!X283</f>
        <v>0.14662188239257595</v>
      </c>
      <c r="Y93" s="264">
        <f>'Pseudo-load coefficients'!Y283</f>
        <v>0.14662188239257595</v>
      </c>
    </row>
    <row r="94" spans="5:25" x14ac:dyDescent="0.25">
      <c r="E94" s="75"/>
      <c r="F94" s="256" t="s">
        <v>192</v>
      </c>
      <c r="G94" s="94" t="s">
        <v>284</v>
      </c>
      <c r="J94" s="257">
        <f>'Pseudo-load coefficients'!J283</f>
        <v>0.24367664353101637</v>
      </c>
      <c r="K94" s="257">
        <f>'Pseudo-load coefficients'!K283</f>
        <v>0.24367664353101637</v>
      </c>
      <c r="L94" s="257">
        <f>'Pseudo-load coefficients'!L283</f>
        <v>0.23839283996661989</v>
      </c>
      <c r="M94" s="257">
        <f>'Pseudo-load coefficients'!M283</f>
        <v>0.23839283996661989</v>
      </c>
      <c r="N94" s="257">
        <f>'Pseudo-load coefficients'!N283</f>
        <v>0.18375886517789888</v>
      </c>
      <c r="O94" s="257">
        <f>'Pseudo-load coefficients'!O283</f>
        <v>0.173339843144897</v>
      </c>
      <c r="P94" s="257">
        <f>'Pseudo-load coefficients'!P283</f>
        <v>0.1592035336147144</v>
      </c>
      <c r="Q94" s="257">
        <f>'Pseudo-load coefficients'!Q283</f>
        <v>0.28282792635188153</v>
      </c>
      <c r="R94" s="257">
        <f>'Pseudo-load coefficients'!R283</f>
        <v>0.14662188239257595</v>
      </c>
      <c r="S94" s="257">
        <f>'Pseudo-load coefficients'!S283</f>
        <v>0.14662188239257595</v>
      </c>
      <c r="T94" s="257">
        <f>'Pseudo-load coefficients'!T283</f>
        <v>0.14662188239257595</v>
      </c>
      <c r="U94" s="257">
        <f>'Pseudo-load coefficients'!U283</f>
        <v>0.14662188239257595</v>
      </c>
      <c r="V94" s="257">
        <f>'Pseudo-load coefficients'!V283</f>
        <v>0.14662188239257595</v>
      </c>
      <c r="W94" s="257">
        <f>'Pseudo-load coefficients'!W283</f>
        <v>0.14662188239257595</v>
      </c>
      <c r="X94" s="257">
        <f>'Pseudo-load coefficients'!X283</f>
        <v>0.14662188239257595</v>
      </c>
      <c r="Y94" s="257">
        <f>'Pseudo-load coefficients'!Y283</f>
        <v>0.14662188239257595</v>
      </c>
    </row>
    <row r="95" spans="5:25" x14ac:dyDescent="0.25">
      <c r="E95" s="75"/>
      <c r="F95" s="256" t="s">
        <v>193</v>
      </c>
      <c r="G95" s="94" t="s">
        <v>284</v>
      </c>
      <c r="J95" s="257">
        <f>'Pseudo-load coefficients'!J284</f>
        <v>0.62724577919494018</v>
      </c>
      <c r="K95" s="257">
        <f>'Pseudo-load coefficients'!K284</f>
        <v>0.62724577919494018</v>
      </c>
      <c r="L95" s="257">
        <f>'Pseudo-load coefficients'!L284</f>
        <v>0.61364478963829849</v>
      </c>
      <c r="M95" s="257">
        <f>'Pseudo-load coefficients'!M284</f>
        <v>0.61364478963829849</v>
      </c>
      <c r="N95" s="257">
        <f>'Pseudo-load coefficients'!N284</f>
        <v>0.47301198384168502</v>
      </c>
      <c r="O95" s="257">
        <f>'Pseudo-load coefficients'!O284</f>
        <v>0.44619247623997399</v>
      </c>
      <c r="P95" s="257">
        <f>'Pseudo-load coefficients'!P284</f>
        <v>0.40980433350412077</v>
      </c>
      <c r="Q95" s="257">
        <f>'Pseudo-load coefficients'!Q284</f>
        <v>0.67375910700832731</v>
      </c>
      <c r="R95" s="257">
        <f>'Pseudo-load coefficients'!R284</f>
        <v>0.37741802224329329</v>
      </c>
      <c r="S95" s="257">
        <f>'Pseudo-load coefficients'!S284</f>
        <v>0.37741802224329329</v>
      </c>
      <c r="T95" s="257">
        <f>'Pseudo-load coefficients'!T284</f>
        <v>0.37741802224329329</v>
      </c>
      <c r="U95" s="257">
        <f>'Pseudo-load coefficients'!U284</f>
        <v>0.37741802224329329</v>
      </c>
      <c r="V95" s="257">
        <f>'Pseudo-load coefficients'!V284</f>
        <v>0.37741802224329329</v>
      </c>
      <c r="W95" s="257">
        <f>'Pseudo-load coefficients'!W284</f>
        <v>0.37741802224329329</v>
      </c>
      <c r="X95" s="257">
        <f>'Pseudo-load coefficients'!X284</f>
        <v>0.37741802224329329</v>
      </c>
      <c r="Y95" s="257">
        <f>'Pseudo-load coefficients'!Y284</f>
        <v>0.37741802224329329</v>
      </c>
    </row>
    <row r="96" spans="5:25" x14ac:dyDescent="0.25">
      <c r="E96" s="75"/>
      <c r="F96" s="256" t="s">
        <v>194</v>
      </c>
      <c r="G96" s="94" t="s">
        <v>284</v>
      </c>
      <c r="J96" s="257">
        <f>'Pseudo-load coefficients'!J285</f>
        <v>0.62724577919494018</v>
      </c>
      <c r="K96" s="257">
        <f>'Pseudo-load coefficients'!K285</f>
        <v>0.62724577919494018</v>
      </c>
      <c r="L96" s="257">
        <f>'Pseudo-load coefficients'!L285</f>
        <v>0.61364478963829849</v>
      </c>
      <c r="M96" s="257">
        <f>'Pseudo-load coefficients'!M285</f>
        <v>0.61364478963829849</v>
      </c>
      <c r="N96" s="257">
        <f>'Pseudo-load coefficients'!N285</f>
        <v>0.47301198384168502</v>
      </c>
      <c r="O96" s="257">
        <f>'Pseudo-load coefficients'!O285</f>
        <v>0.44619247623997399</v>
      </c>
      <c r="P96" s="257">
        <f>'Pseudo-load coefficients'!P285</f>
        <v>0.40980433350412077</v>
      </c>
      <c r="Q96" s="257">
        <f>'Pseudo-load coefficients'!Q285</f>
        <v>0.67375910700832731</v>
      </c>
      <c r="R96" s="257">
        <f>'Pseudo-load coefficients'!R285</f>
        <v>0.37741802224329329</v>
      </c>
      <c r="S96" s="257">
        <f>'Pseudo-load coefficients'!S285</f>
        <v>0.37741802224329329</v>
      </c>
      <c r="T96" s="257">
        <f>'Pseudo-load coefficients'!T285</f>
        <v>0.37741802224329329</v>
      </c>
      <c r="U96" s="257">
        <f>'Pseudo-load coefficients'!U285</f>
        <v>0.37741802224329329</v>
      </c>
      <c r="V96" s="257">
        <f>'Pseudo-load coefficients'!V285</f>
        <v>0.37741802224329329</v>
      </c>
      <c r="W96" s="257">
        <f>'Pseudo-load coefficients'!W285</f>
        <v>0.37741802224329329</v>
      </c>
      <c r="X96" s="257">
        <f>'Pseudo-load coefficients'!X285</f>
        <v>0.37741802224329329</v>
      </c>
      <c r="Y96" s="257">
        <f>'Pseudo-load coefficients'!Y285</f>
        <v>0.37741802224329329</v>
      </c>
    </row>
    <row r="97" spans="3:25" x14ac:dyDescent="0.25">
      <c r="E97" s="75"/>
      <c r="F97" s="256" t="s">
        <v>195</v>
      </c>
      <c r="G97" s="94" t="s">
        <v>284</v>
      </c>
      <c r="J97" s="257">
        <f>'Pseudo-load coefficients'!J286</f>
        <v>1.7300813910720054</v>
      </c>
      <c r="K97" s="257">
        <f>'Pseudo-load coefficients'!K286</f>
        <v>1.7300813910720054</v>
      </c>
      <c r="L97" s="257">
        <f>'Pseudo-load coefficients'!L286</f>
        <v>1.692566879675353</v>
      </c>
      <c r="M97" s="257">
        <f>'Pseudo-load coefficients'!M286</f>
        <v>1.692566879675353</v>
      </c>
      <c r="N97" s="257">
        <f>'Pseudo-load coefficients'!N286</f>
        <v>1.3046707656588608</v>
      </c>
      <c r="O97" s="257">
        <f>'Pseudo-load coefficients'!O286</f>
        <v>1.2306966831564834</v>
      </c>
      <c r="P97" s="257">
        <f>'Pseudo-load coefficients'!P286</f>
        <v>1.1303302069025138</v>
      </c>
      <c r="Q97" s="257">
        <f>'Pseudo-load coefficients'!Q286</f>
        <v>1.2892178735875566</v>
      </c>
      <c r="R97" s="257">
        <f>'Pseudo-load coefficients'!R286</f>
        <v>1.0410016593119056</v>
      </c>
      <c r="S97" s="257">
        <f>'Pseudo-load coefficients'!S286</f>
        <v>1.0410016593119056</v>
      </c>
      <c r="T97" s="257">
        <f>'Pseudo-load coefficients'!T286</f>
        <v>1.0410016593119056</v>
      </c>
      <c r="U97" s="257">
        <f>'Pseudo-load coefficients'!U286</f>
        <v>1.0410016593119056</v>
      </c>
      <c r="V97" s="257">
        <f>'Pseudo-load coefficients'!V286</f>
        <v>1.0410016593119056</v>
      </c>
      <c r="W97" s="257">
        <f>'Pseudo-load coefficients'!W286</f>
        <v>1.0410016593119056</v>
      </c>
      <c r="X97" s="257">
        <f>'Pseudo-load coefficients'!X286</f>
        <v>1.0410016593119056</v>
      </c>
      <c r="Y97" s="257">
        <f>'Pseudo-load coefficients'!Y286</f>
        <v>1.0410016593119056</v>
      </c>
    </row>
    <row r="98" spans="3:25" x14ac:dyDescent="0.25">
      <c r="E98" s="75"/>
      <c r="F98" s="256" t="s">
        <v>196</v>
      </c>
      <c r="G98" s="94" t="s">
        <v>284</v>
      </c>
      <c r="J98" s="257">
        <f>'Pseudo-load coefficients'!J287</f>
        <v>1.7300813910720054</v>
      </c>
      <c r="K98" s="257">
        <f>'Pseudo-load coefficients'!K287</f>
        <v>1.7300813910720054</v>
      </c>
      <c r="L98" s="257">
        <f>'Pseudo-load coefficients'!L287</f>
        <v>1.692566879675353</v>
      </c>
      <c r="M98" s="257">
        <f>'Pseudo-load coefficients'!M287</f>
        <v>1.692566879675353</v>
      </c>
      <c r="N98" s="257">
        <f>'Pseudo-load coefficients'!N287</f>
        <v>1.3046707656588608</v>
      </c>
      <c r="O98" s="257">
        <f>'Pseudo-load coefficients'!O287</f>
        <v>1.2306966831564834</v>
      </c>
      <c r="P98" s="257">
        <f>'Pseudo-load coefficients'!P287</f>
        <v>1.1303302069025138</v>
      </c>
      <c r="Q98" s="257">
        <f>'Pseudo-load coefficients'!Q287</f>
        <v>1.2892178735875566</v>
      </c>
      <c r="R98" s="257">
        <f>'Pseudo-load coefficients'!R287</f>
        <v>1.0410016593119056</v>
      </c>
      <c r="S98" s="257">
        <f>'Pseudo-load coefficients'!S287</f>
        <v>1.0410016593119056</v>
      </c>
      <c r="T98" s="257">
        <f>'Pseudo-load coefficients'!T287</f>
        <v>1.0410016593119056</v>
      </c>
      <c r="U98" s="257">
        <f>'Pseudo-load coefficients'!U287</f>
        <v>1.0410016593119056</v>
      </c>
      <c r="V98" s="257">
        <f>'Pseudo-load coefficients'!V287</f>
        <v>1.0410016593119056</v>
      </c>
      <c r="W98" s="257">
        <f>'Pseudo-load coefficients'!W287</f>
        <v>1.0410016593119056</v>
      </c>
      <c r="X98" s="257">
        <f>'Pseudo-load coefficients'!X287</f>
        <v>1.0410016593119056</v>
      </c>
      <c r="Y98" s="257">
        <f>'Pseudo-load coefficients'!Y287</f>
        <v>1.0410016593119056</v>
      </c>
    </row>
    <row r="99" spans="3:25" x14ac:dyDescent="0.25">
      <c r="E99" s="75"/>
      <c r="F99" s="256" t="s">
        <v>197</v>
      </c>
      <c r="G99" s="94" t="s">
        <v>284</v>
      </c>
      <c r="J99" s="257">
        <f>'Pseudo-load coefficients'!J288</f>
        <v>0.62724577919494018</v>
      </c>
      <c r="K99" s="257">
        <f>'Pseudo-load coefficients'!K288</f>
        <v>0.62724577919494018</v>
      </c>
      <c r="L99" s="257">
        <f>'Pseudo-load coefficients'!L288</f>
        <v>0.61364478963829849</v>
      </c>
      <c r="M99" s="257">
        <f>'Pseudo-load coefficients'!M288</f>
        <v>0.61364478963829849</v>
      </c>
      <c r="N99" s="257">
        <f>'Pseudo-load coefficients'!N288</f>
        <v>0.47301198384168502</v>
      </c>
      <c r="O99" s="257">
        <f>'Pseudo-load coefficients'!O288</f>
        <v>0.44619247623997399</v>
      </c>
      <c r="P99" s="257">
        <f>'Pseudo-load coefficients'!P288</f>
        <v>0.40980433350412077</v>
      </c>
      <c r="Q99" s="257">
        <f>'Pseudo-load coefficients'!Q288</f>
        <v>0.67375910700832731</v>
      </c>
      <c r="R99" s="257">
        <f>'Pseudo-load coefficients'!R288</f>
        <v>0.37741802224329329</v>
      </c>
      <c r="S99" s="257">
        <f>'Pseudo-load coefficients'!S288</f>
        <v>0.37741802224329329</v>
      </c>
      <c r="T99" s="257">
        <f>'Pseudo-load coefficients'!T288</f>
        <v>0.37741802224329329</v>
      </c>
      <c r="U99" s="257">
        <f>'Pseudo-load coefficients'!U288</f>
        <v>0.37741802224329329</v>
      </c>
      <c r="V99" s="257">
        <f>'Pseudo-load coefficients'!V288</f>
        <v>0.37741802224329329</v>
      </c>
      <c r="W99" s="257">
        <f>'Pseudo-load coefficients'!W288</f>
        <v>0.37741802224329329</v>
      </c>
      <c r="X99" s="257">
        <f>'Pseudo-load coefficients'!X288</f>
        <v>0.37741802224329329</v>
      </c>
      <c r="Y99" s="257">
        <f>'Pseudo-load coefficients'!Y288</f>
        <v>0.37741802224329329</v>
      </c>
    </row>
    <row r="100" spans="3:25" x14ac:dyDescent="0.25">
      <c r="E100" s="75"/>
      <c r="F100" s="256" t="s">
        <v>198</v>
      </c>
      <c r="G100" s="94" t="s">
        <v>284</v>
      </c>
      <c r="J100" s="257">
        <f>'Pseudo-load coefficients'!J289</f>
        <v>1.7300813910720054</v>
      </c>
      <c r="K100" s="257">
        <f>'Pseudo-load coefficients'!K289</f>
        <v>1.7300813910720054</v>
      </c>
      <c r="L100" s="257">
        <f>'Pseudo-load coefficients'!L289</f>
        <v>1.692566879675353</v>
      </c>
      <c r="M100" s="257">
        <f>'Pseudo-load coefficients'!M289</f>
        <v>1.692566879675353</v>
      </c>
      <c r="N100" s="257">
        <f>'Pseudo-load coefficients'!N289</f>
        <v>1.3046707656588608</v>
      </c>
      <c r="O100" s="257">
        <f>'Pseudo-load coefficients'!O289</f>
        <v>1.2306966831564834</v>
      </c>
      <c r="P100" s="257">
        <f>'Pseudo-load coefficients'!P289</f>
        <v>1.1303302069025138</v>
      </c>
      <c r="Q100" s="257">
        <f>'Pseudo-load coefficients'!Q289</f>
        <v>1.2892178735875566</v>
      </c>
      <c r="R100" s="257">
        <f>'Pseudo-load coefficients'!R289</f>
        <v>1.0410016593119056</v>
      </c>
      <c r="S100" s="257">
        <f>'Pseudo-load coefficients'!S289</f>
        <v>1.0410016593119056</v>
      </c>
      <c r="T100" s="257">
        <f>'Pseudo-load coefficients'!T289</f>
        <v>1.0410016593119056</v>
      </c>
      <c r="U100" s="257">
        <f>'Pseudo-load coefficients'!U289</f>
        <v>1.0410016593119056</v>
      </c>
      <c r="V100" s="257">
        <f>'Pseudo-load coefficients'!V289</f>
        <v>1.0410016593119056</v>
      </c>
      <c r="W100" s="257">
        <f>'Pseudo-load coefficients'!W289</f>
        <v>1.0410016593119056</v>
      </c>
      <c r="X100" s="257">
        <f>'Pseudo-load coefficients'!X289</f>
        <v>1.0410016593119056</v>
      </c>
      <c r="Y100" s="257">
        <f>'Pseudo-load coefficients'!Y289</f>
        <v>1.0410016593119056</v>
      </c>
    </row>
    <row r="101" spans="3:25" x14ac:dyDescent="0.25">
      <c r="E101" s="75"/>
      <c r="F101" s="256" t="s">
        <v>199</v>
      </c>
      <c r="G101" s="94" t="s">
        <v>284</v>
      </c>
      <c r="J101" s="257">
        <f>'Pseudo-load coefficients'!J290</f>
        <v>1.7300813910720054</v>
      </c>
      <c r="K101" s="257">
        <f>'Pseudo-load coefficients'!K290</f>
        <v>1.7300813910720054</v>
      </c>
      <c r="L101" s="257">
        <f>'Pseudo-load coefficients'!L290</f>
        <v>1.692566879675353</v>
      </c>
      <c r="M101" s="257">
        <f>'Pseudo-load coefficients'!M290</f>
        <v>1.692566879675353</v>
      </c>
      <c r="N101" s="257">
        <f>'Pseudo-load coefficients'!N290</f>
        <v>1.3046707656588608</v>
      </c>
      <c r="O101" s="257">
        <f>'Pseudo-load coefficients'!O290</f>
        <v>1.2306966831564834</v>
      </c>
      <c r="P101" s="257">
        <f>'Pseudo-load coefficients'!P290</f>
        <v>1.1303302069025138</v>
      </c>
      <c r="Q101" s="257">
        <f>'Pseudo-load coefficients'!Q290</f>
        <v>1.2892178735875566</v>
      </c>
      <c r="R101" s="257">
        <f>'Pseudo-load coefficients'!R290</f>
        <v>1.0410016593119056</v>
      </c>
      <c r="S101" s="257">
        <f>'Pseudo-load coefficients'!S290</f>
        <v>1.0410016593119056</v>
      </c>
      <c r="T101" s="257">
        <f>'Pseudo-load coefficients'!T290</f>
        <v>1.0410016593119056</v>
      </c>
      <c r="U101" s="257">
        <f>'Pseudo-load coefficients'!U290</f>
        <v>1.0410016593119056</v>
      </c>
      <c r="V101" s="257">
        <f>'Pseudo-load coefficients'!V290</f>
        <v>1.0410016593119056</v>
      </c>
      <c r="W101" s="257">
        <f>'Pseudo-load coefficients'!W290</f>
        <v>1.0410016593119056</v>
      </c>
      <c r="X101" s="257">
        <f>'Pseudo-load coefficients'!X290</f>
        <v>1.0410016593119056</v>
      </c>
      <c r="Y101" s="257">
        <f>'Pseudo-load coefficients'!Y290</f>
        <v>1.0410016593119056</v>
      </c>
    </row>
    <row r="102" spans="3:25" x14ac:dyDescent="0.25">
      <c r="E102" s="75"/>
      <c r="F102" s="258" t="s">
        <v>200</v>
      </c>
      <c r="G102" s="101" t="s">
        <v>284</v>
      </c>
      <c r="H102" s="96"/>
      <c r="I102" s="96"/>
      <c r="J102" s="259">
        <f>'Pseudo-load coefficients'!J291</f>
        <v>1.7300813910720054</v>
      </c>
      <c r="K102" s="259">
        <f>'Pseudo-load coefficients'!K291</f>
        <v>1.7300813910720054</v>
      </c>
      <c r="L102" s="259">
        <f>'Pseudo-load coefficients'!L291</f>
        <v>1.692566879675353</v>
      </c>
      <c r="M102" s="259">
        <f>'Pseudo-load coefficients'!M291</f>
        <v>1.692566879675353</v>
      </c>
      <c r="N102" s="259">
        <f>'Pseudo-load coefficients'!N291</f>
        <v>1.3046707656588608</v>
      </c>
      <c r="O102" s="259">
        <f>'Pseudo-load coefficients'!O291</f>
        <v>1.2306966831564834</v>
      </c>
      <c r="P102" s="259">
        <f>'Pseudo-load coefficients'!P291</f>
        <v>1.1303302069025138</v>
      </c>
      <c r="Q102" s="259">
        <f>'Pseudo-load coefficients'!Q291</f>
        <v>1.2892178735875566</v>
      </c>
      <c r="R102" s="259">
        <f>'Pseudo-load coefficients'!R291</f>
        <v>1.0410016593119056</v>
      </c>
      <c r="S102" s="259">
        <f>'Pseudo-load coefficients'!S291</f>
        <v>1.0410016593119056</v>
      </c>
      <c r="T102" s="259">
        <f>'Pseudo-load coefficients'!T291</f>
        <v>1.0410016593119056</v>
      </c>
      <c r="U102" s="259">
        <f>'Pseudo-load coefficients'!U291</f>
        <v>1.0410016593119056</v>
      </c>
      <c r="V102" s="259">
        <f>'Pseudo-load coefficients'!V291</f>
        <v>1.0410016593119056</v>
      </c>
      <c r="W102" s="259">
        <f>'Pseudo-load coefficients'!W291</f>
        <v>1.0410016593119056</v>
      </c>
      <c r="X102" s="259">
        <f>'Pseudo-load coefficients'!X291</f>
        <v>1.0410016593119056</v>
      </c>
      <c r="Y102" s="259">
        <f>'Pseudo-load coefficients'!Y291</f>
        <v>1.0410016593119056</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471</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190</v>
      </c>
      <c r="G105" s="98" t="s">
        <v>284</v>
      </c>
      <c r="H105" s="95"/>
      <c r="I105" s="95"/>
      <c r="J105" s="264">
        <f>'Pseudo-load coefficients'!J294</f>
        <v>0</v>
      </c>
      <c r="K105" s="264">
        <f>'Pseudo-load coefficients'!K294</f>
        <v>0</v>
      </c>
      <c r="L105" s="264">
        <f>'Pseudo-load coefficients'!L294</f>
        <v>0</v>
      </c>
      <c r="M105" s="264">
        <f>'Pseudo-load coefficients'!M294</f>
        <v>0</v>
      </c>
      <c r="N105" s="264">
        <f>'Pseudo-load coefficients'!N294</f>
        <v>0</v>
      </c>
      <c r="O105" s="264">
        <f>'Pseudo-load coefficients'!O294</f>
        <v>0</v>
      </c>
      <c r="P105" s="264">
        <f>'Pseudo-load coefficients'!P294</f>
        <v>0</v>
      </c>
      <c r="Q105" s="264">
        <f>'Pseudo-load coefficients'!Q294</f>
        <v>0</v>
      </c>
      <c r="R105" s="264">
        <f>'Pseudo-load coefficients'!R294</f>
        <v>0</v>
      </c>
      <c r="S105" s="264">
        <f>'Pseudo-load coefficients'!S294</f>
        <v>0</v>
      </c>
      <c r="T105" s="264">
        <f>'Pseudo-load coefficients'!T294</f>
        <v>0</v>
      </c>
      <c r="U105" s="264">
        <f>'Pseudo-load coefficients'!U294</f>
        <v>0</v>
      </c>
      <c r="V105" s="264">
        <f>'Pseudo-load coefficients'!V294</f>
        <v>0</v>
      </c>
      <c r="W105" s="264">
        <f>'Pseudo-load coefficients'!W294</f>
        <v>0</v>
      </c>
      <c r="X105" s="264">
        <f>'Pseudo-load coefficients'!X294</f>
        <v>0</v>
      </c>
      <c r="Y105" s="264">
        <f>'Pseudo-load coefficients'!Y294</f>
        <v>0</v>
      </c>
    </row>
    <row r="106" spans="3:25" x14ac:dyDescent="0.25">
      <c r="C106" s="75"/>
      <c r="E106" s="75"/>
      <c r="F106" s="256" t="s">
        <v>192</v>
      </c>
      <c r="G106" s="94" t="s">
        <v>284</v>
      </c>
      <c r="J106" s="257">
        <f>'Pseudo-load coefficients'!J294</f>
        <v>0</v>
      </c>
      <c r="K106" s="257">
        <f>'Pseudo-load coefficients'!K294</f>
        <v>0</v>
      </c>
      <c r="L106" s="257">
        <f>'Pseudo-load coefficients'!L294</f>
        <v>0</v>
      </c>
      <c r="M106" s="257">
        <f>'Pseudo-load coefficients'!M294</f>
        <v>0</v>
      </c>
      <c r="N106" s="257">
        <f>'Pseudo-load coefficients'!N294</f>
        <v>0</v>
      </c>
      <c r="O106" s="257">
        <f>'Pseudo-load coefficients'!O294</f>
        <v>0</v>
      </c>
      <c r="P106" s="257">
        <f>'Pseudo-load coefficients'!P294</f>
        <v>0</v>
      </c>
      <c r="Q106" s="257">
        <f>'Pseudo-load coefficients'!Q294</f>
        <v>0</v>
      </c>
      <c r="R106" s="257">
        <f>'Pseudo-load coefficients'!R294</f>
        <v>0</v>
      </c>
      <c r="S106" s="257">
        <f>'Pseudo-load coefficients'!S294</f>
        <v>0</v>
      </c>
      <c r="T106" s="257">
        <f>'Pseudo-load coefficients'!T294</f>
        <v>0</v>
      </c>
      <c r="U106" s="257">
        <f>'Pseudo-load coefficients'!U294</f>
        <v>0</v>
      </c>
      <c r="V106" s="257">
        <f>'Pseudo-load coefficients'!V294</f>
        <v>0</v>
      </c>
      <c r="W106" s="257">
        <f>'Pseudo-load coefficients'!W294</f>
        <v>0</v>
      </c>
      <c r="X106" s="257">
        <f>'Pseudo-load coefficients'!X294</f>
        <v>0</v>
      </c>
      <c r="Y106" s="257">
        <f>'Pseudo-load coefficients'!Y294</f>
        <v>0</v>
      </c>
    </row>
    <row r="107" spans="3:25" x14ac:dyDescent="0.25">
      <c r="C107" s="75"/>
      <c r="E107" s="75"/>
      <c r="F107" s="256" t="s">
        <v>193</v>
      </c>
      <c r="G107" s="94" t="s">
        <v>284</v>
      </c>
      <c r="J107" s="257">
        <f>'Pseudo-load coefficients'!J295</f>
        <v>8.9015287247378935E-2</v>
      </c>
      <c r="K107" s="257">
        <f>'Pseudo-load coefficients'!K295</f>
        <v>8.9015287247378935E-2</v>
      </c>
      <c r="L107" s="257">
        <f>'Pseudo-load coefficients'!L295</f>
        <v>8.708510926549283E-2</v>
      </c>
      <c r="M107" s="257">
        <f>'Pseudo-load coefficients'!M295</f>
        <v>8.708510926549283E-2</v>
      </c>
      <c r="N107" s="257">
        <f>'Pseudo-load coefficients'!N295</f>
        <v>6.7127271333992267E-2</v>
      </c>
      <c r="O107" s="257">
        <f>'Pseudo-load coefficients'!O295</f>
        <v>6.3321193633375947E-2</v>
      </c>
      <c r="P107" s="257">
        <f>'Pseudo-load coefficients'!P295</f>
        <v>5.8157187616168567E-2</v>
      </c>
      <c r="Q107" s="257">
        <f>'Pseudo-load coefficients'!Q295</f>
        <v>6.4449954388933417E-2</v>
      </c>
      <c r="R107" s="257">
        <f>'Pseudo-load coefficients'!R295</f>
        <v>5.3561099614642747E-2</v>
      </c>
      <c r="S107" s="257">
        <f>'Pseudo-load coefficients'!S295</f>
        <v>5.3561099614642747E-2</v>
      </c>
      <c r="T107" s="257">
        <f>'Pseudo-load coefficients'!T295</f>
        <v>5.3561099614642747E-2</v>
      </c>
      <c r="U107" s="257">
        <f>'Pseudo-load coefficients'!U295</f>
        <v>5.3561099614642747E-2</v>
      </c>
      <c r="V107" s="257">
        <f>'Pseudo-load coefficients'!V295</f>
        <v>5.3561099614642747E-2</v>
      </c>
      <c r="W107" s="257">
        <f>'Pseudo-load coefficients'!W295</f>
        <v>5.3561099614642747E-2</v>
      </c>
      <c r="X107" s="257">
        <f>'Pseudo-load coefficients'!X295</f>
        <v>5.3561099614642747E-2</v>
      </c>
      <c r="Y107" s="257">
        <f>'Pseudo-load coefficients'!Y295</f>
        <v>5.3561099614642747E-2</v>
      </c>
    </row>
    <row r="108" spans="3:25" x14ac:dyDescent="0.25">
      <c r="C108" s="75"/>
      <c r="E108" s="75"/>
      <c r="F108" s="256" t="s">
        <v>194</v>
      </c>
      <c r="G108" s="94" t="s">
        <v>284</v>
      </c>
      <c r="J108" s="257">
        <f>'Pseudo-load coefficients'!J296</f>
        <v>8.9015287247378935E-2</v>
      </c>
      <c r="K108" s="257">
        <f>'Pseudo-load coefficients'!K296</f>
        <v>8.9015287247378935E-2</v>
      </c>
      <c r="L108" s="257">
        <f>'Pseudo-load coefficients'!L296</f>
        <v>8.708510926549283E-2</v>
      </c>
      <c r="M108" s="257">
        <f>'Pseudo-load coefficients'!M296</f>
        <v>8.708510926549283E-2</v>
      </c>
      <c r="N108" s="257">
        <f>'Pseudo-load coefficients'!N296</f>
        <v>6.7127271333992267E-2</v>
      </c>
      <c r="O108" s="257">
        <f>'Pseudo-load coefficients'!O296</f>
        <v>6.3321193633375947E-2</v>
      </c>
      <c r="P108" s="257">
        <f>'Pseudo-load coefficients'!P296</f>
        <v>5.8157187616168567E-2</v>
      </c>
      <c r="Q108" s="257">
        <f>'Pseudo-load coefficients'!Q296</f>
        <v>6.4449954388933417E-2</v>
      </c>
      <c r="R108" s="257">
        <f>'Pseudo-load coefficients'!R296</f>
        <v>5.3561099614642747E-2</v>
      </c>
      <c r="S108" s="257">
        <f>'Pseudo-load coefficients'!S296</f>
        <v>5.3561099614642747E-2</v>
      </c>
      <c r="T108" s="257">
        <f>'Pseudo-load coefficients'!T296</f>
        <v>5.3561099614642747E-2</v>
      </c>
      <c r="U108" s="257">
        <f>'Pseudo-load coefficients'!U296</f>
        <v>5.3561099614642747E-2</v>
      </c>
      <c r="V108" s="257">
        <f>'Pseudo-load coefficients'!V296</f>
        <v>5.3561099614642747E-2</v>
      </c>
      <c r="W108" s="257">
        <f>'Pseudo-load coefficients'!W296</f>
        <v>5.3561099614642747E-2</v>
      </c>
      <c r="X108" s="257">
        <f>'Pseudo-load coefficients'!X296</f>
        <v>5.3561099614642747E-2</v>
      </c>
      <c r="Y108" s="257">
        <f>'Pseudo-load coefficients'!Y296</f>
        <v>5.3561099614642747E-2</v>
      </c>
    </row>
    <row r="109" spans="3:25" x14ac:dyDescent="0.25">
      <c r="C109" s="75"/>
      <c r="E109" s="75"/>
      <c r="F109" s="256" t="s">
        <v>195</v>
      </c>
      <c r="G109" s="94" t="s">
        <v>284</v>
      </c>
      <c r="J109" s="257">
        <f>'Pseudo-load coefficients'!J297</f>
        <v>0.16270603672730427</v>
      </c>
      <c r="K109" s="257">
        <f>'Pseudo-load coefficients'!K297</f>
        <v>0.16270603672730427</v>
      </c>
      <c r="L109" s="257">
        <f>'Pseudo-load coefficients'!L297</f>
        <v>0.15917797296070399</v>
      </c>
      <c r="M109" s="257">
        <f>'Pseudo-load coefficients'!M297</f>
        <v>0.15917797296070399</v>
      </c>
      <c r="N109" s="257">
        <f>'Pseudo-load coefficients'!N297</f>
        <v>0.12269816357182924</v>
      </c>
      <c r="O109" s="257">
        <f>'Pseudo-load coefficients'!O297</f>
        <v>0.11574124822286834</v>
      </c>
      <c r="P109" s="257">
        <f>'Pseudo-load coefficients'!P297</f>
        <v>0.10630225208324173</v>
      </c>
      <c r="Q109" s="257">
        <f>'Pseudo-load coefficients'!Q297</f>
        <v>0.11780444651868109</v>
      </c>
      <c r="R109" s="257">
        <f>'Pseudo-load coefficients'!R297</f>
        <v>9.7901321340862962E-2</v>
      </c>
      <c r="S109" s="257">
        <f>'Pseudo-load coefficients'!S297</f>
        <v>9.7901321340862962E-2</v>
      </c>
      <c r="T109" s="257">
        <f>'Pseudo-load coefficients'!T297</f>
        <v>9.7901321340862962E-2</v>
      </c>
      <c r="U109" s="257">
        <f>'Pseudo-load coefficients'!U297</f>
        <v>9.7901321340862962E-2</v>
      </c>
      <c r="V109" s="257">
        <f>'Pseudo-load coefficients'!V297</f>
        <v>9.7901321340862962E-2</v>
      </c>
      <c r="W109" s="257">
        <f>'Pseudo-load coefficients'!W297</f>
        <v>9.7901321340862962E-2</v>
      </c>
      <c r="X109" s="257">
        <f>'Pseudo-load coefficients'!X297</f>
        <v>9.7901321340862962E-2</v>
      </c>
      <c r="Y109" s="257">
        <f>'Pseudo-load coefficients'!Y297</f>
        <v>9.7901321340862962E-2</v>
      </c>
    </row>
    <row r="110" spans="3:25" x14ac:dyDescent="0.25">
      <c r="C110" s="75"/>
      <c r="E110" s="75"/>
      <c r="F110" s="256" t="s">
        <v>196</v>
      </c>
      <c r="G110" s="94" t="s">
        <v>284</v>
      </c>
      <c r="J110" s="257">
        <f>'Pseudo-load coefficients'!J298</f>
        <v>0.16270603672730427</v>
      </c>
      <c r="K110" s="257">
        <f>'Pseudo-load coefficients'!K298</f>
        <v>0.16270603672730427</v>
      </c>
      <c r="L110" s="257">
        <f>'Pseudo-load coefficients'!L298</f>
        <v>0.15917797296070399</v>
      </c>
      <c r="M110" s="257">
        <f>'Pseudo-load coefficients'!M298</f>
        <v>0.15917797296070399</v>
      </c>
      <c r="N110" s="257">
        <f>'Pseudo-load coefficients'!N298</f>
        <v>0.12269816357182924</v>
      </c>
      <c r="O110" s="257">
        <f>'Pseudo-load coefficients'!O298</f>
        <v>0.11574124822286834</v>
      </c>
      <c r="P110" s="257">
        <f>'Pseudo-load coefficients'!P298</f>
        <v>0.10630225208324173</v>
      </c>
      <c r="Q110" s="257">
        <f>'Pseudo-load coefficients'!Q298</f>
        <v>0.11780444651868109</v>
      </c>
      <c r="R110" s="257">
        <f>'Pseudo-load coefficients'!R298</f>
        <v>9.7901321340862962E-2</v>
      </c>
      <c r="S110" s="257">
        <f>'Pseudo-load coefficients'!S298</f>
        <v>9.7901321340862962E-2</v>
      </c>
      <c r="T110" s="257">
        <f>'Pseudo-load coefficients'!T298</f>
        <v>9.7901321340862962E-2</v>
      </c>
      <c r="U110" s="257">
        <f>'Pseudo-load coefficients'!U298</f>
        <v>9.7901321340862962E-2</v>
      </c>
      <c r="V110" s="257">
        <f>'Pseudo-load coefficients'!V298</f>
        <v>9.7901321340862962E-2</v>
      </c>
      <c r="W110" s="257">
        <f>'Pseudo-load coefficients'!W298</f>
        <v>9.7901321340862962E-2</v>
      </c>
      <c r="X110" s="257">
        <f>'Pseudo-load coefficients'!X298</f>
        <v>9.7901321340862962E-2</v>
      </c>
      <c r="Y110" s="257">
        <f>'Pseudo-load coefficients'!Y298</f>
        <v>9.7901321340862962E-2</v>
      </c>
    </row>
    <row r="111" spans="3:25" x14ac:dyDescent="0.25">
      <c r="C111" s="75"/>
      <c r="E111" s="75"/>
      <c r="F111" s="256" t="s">
        <v>197</v>
      </c>
      <c r="G111" s="94" t="s">
        <v>284</v>
      </c>
      <c r="J111" s="257">
        <f>'Pseudo-load coefficients'!J299</f>
        <v>8.9015287247378935E-2</v>
      </c>
      <c r="K111" s="257">
        <f>'Pseudo-load coefficients'!K299</f>
        <v>8.9015287247378935E-2</v>
      </c>
      <c r="L111" s="257">
        <f>'Pseudo-load coefficients'!L299</f>
        <v>8.708510926549283E-2</v>
      </c>
      <c r="M111" s="257">
        <f>'Pseudo-load coefficients'!M299</f>
        <v>8.708510926549283E-2</v>
      </c>
      <c r="N111" s="257">
        <f>'Pseudo-load coefficients'!N299</f>
        <v>6.7127271333992267E-2</v>
      </c>
      <c r="O111" s="257">
        <f>'Pseudo-load coefficients'!O299</f>
        <v>6.3321193633375947E-2</v>
      </c>
      <c r="P111" s="257">
        <f>'Pseudo-load coefficients'!P299</f>
        <v>5.8157187616168567E-2</v>
      </c>
      <c r="Q111" s="257">
        <f>'Pseudo-load coefficients'!Q299</f>
        <v>6.4449954388933417E-2</v>
      </c>
      <c r="R111" s="257">
        <f>'Pseudo-load coefficients'!R299</f>
        <v>5.3561099614642747E-2</v>
      </c>
      <c r="S111" s="257">
        <f>'Pseudo-load coefficients'!S299</f>
        <v>5.3561099614642747E-2</v>
      </c>
      <c r="T111" s="257">
        <f>'Pseudo-load coefficients'!T299</f>
        <v>5.3561099614642747E-2</v>
      </c>
      <c r="U111" s="257">
        <f>'Pseudo-load coefficients'!U299</f>
        <v>5.3561099614642747E-2</v>
      </c>
      <c r="V111" s="257">
        <f>'Pseudo-load coefficients'!V299</f>
        <v>5.3561099614642747E-2</v>
      </c>
      <c r="W111" s="257">
        <f>'Pseudo-load coefficients'!W299</f>
        <v>5.3561099614642747E-2</v>
      </c>
      <c r="X111" s="257">
        <f>'Pseudo-load coefficients'!X299</f>
        <v>5.3561099614642747E-2</v>
      </c>
      <c r="Y111" s="257">
        <f>'Pseudo-load coefficients'!Y299</f>
        <v>5.3561099614642747E-2</v>
      </c>
    </row>
    <row r="112" spans="3:25" x14ac:dyDescent="0.25">
      <c r="C112" s="75"/>
      <c r="E112" s="75"/>
      <c r="F112" s="256" t="s">
        <v>198</v>
      </c>
      <c r="G112" s="94" t="s">
        <v>284</v>
      </c>
      <c r="J112" s="257">
        <f>'Pseudo-load coefficients'!J300</f>
        <v>0.16270603672730427</v>
      </c>
      <c r="K112" s="257">
        <f>'Pseudo-load coefficients'!K300</f>
        <v>0.16270603672730427</v>
      </c>
      <c r="L112" s="257">
        <f>'Pseudo-load coefficients'!L300</f>
        <v>0.15917797296070399</v>
      </c>
      <c r="M112" s="257">
        <f>'Pseudo-load coefficients'!M300</f>
        <v>0.15917797296070399</v>
      </c>
      <c r="N112" s="257">
        <f>'Pseudo-load coefficients'!N300</f>
        <v>0.12269816357182924</v>
      </c>
      <c r="O112" s="257">
        <f>'Pseudo-load coefficients'!O300</f>
        <v>0.11574124822286834</v>
      </c>
      <c r="P112" s="257">
        <f>'Pseudo-load coefficients'!P300</f>
        <v>0.10630225208324173</v>
      </c>
      <c r="Q112" s="257">
        <f>'Pseudo-load coefficients'!Q300</f>
        <v>0.11780444651868109</v>
      </c>
      <c r="R112" s="257">
        <f>'Pseudo-load coefficients'!R300</f>
        <v>9.7901321340862962E-2</v>
      </c>
      <c r="S112" s="257">
        <f>'Pseudo-load coefficients'!S300</f>
        <v>9.7901321340862962E-2</v>
      </c>
      <c r="T112" s="257">
        <f>'Pseudo-load coefficients'!T300</f>
        <v>9.7901321340862962E-2</v>
      </c>
      <c r="U112" s="257">
        <f>'Pseudo-load coefficients'!U300</f>
        <v>9.7901321340862962E-2</v>
      </c>
      <c r="V112" s="257">
        <f>'Pseudo-load coefficients'!V300</f>
        <v>9.7901321340862962E-2</v>
      </c>
      <c r="W112" s="257">
        <f>'Pseudo-load coefficients'!W300</f>
        <v>9.7901321340862962E-2</v>
      </c>
      <c r="X112" s="257">
        <f>'Pseudo-load coefficients'!X300</f>
        <v>9.7901321340862962E-2</v>
      </c>
      <c r="Y112" s="257">
        <f>'Pseudo-load coefficients'!Y300</f>
        <v>9.7901321340862962E-2</v>
      </c>
    </row>
    <row r="113" spans="2:27" x14ac:dyDescent="0.25">
      <c r="C113" s="75"/>
      <c r="E113" s="75"/>
      <c r="F113" s="256" t="s">
        <v>199</v>
      </c>
      <c r="G113" s="94" t="s">
        <v>284</v>
      </c>
      <c r="J113" s="257">
        <f>'Pseudo-load coefficients'!J301</f>
        <v>0.16270603672730427</v>
      </c>
      <c r="K113" s="257">
        <f>'Pseudo-load coefficients'!K301</f>
        <v>0.16270603672730427</v>
      </c>
      <c r="L113" s="257">
        <f>'Pseudo-load coefficients'!L301</f>
        <v>0.15917797296070399</v>
      </c>
      <c r="M113" s="257">
        <f>'Pseudo-load coefficients'!M301</f>
        <v>0.15917797296070399</v>
      </c>
      <c r="N113" s="257">
        <f>'Pseudo-load coefficients'!N301</f>
        <v>0.12269816357182924</v>
      </c>
      <c r="O113" s="257">
        <f>'Pseudo-load coefficients'!O301</f>
        <v>0.11574124822286834</v>
      </c>
      <c r="P113" s="257">
        <f>'Pseudo-load coefficients'!P301</f>
        <v>0.10630225208324173</v>
      </c>
      <c r="Q113" s="257">
        <f>'Pseudo-load coefficients'!Q301</f>
        <v>0.11780444651868109</v>
      </c>
      <c r="R113" s="257">
        <f>'Pseudo-load coefficients'!R301</f>
        <v>9.7901321340862962E-2</v>
      </c>
      <c r="S113" s="257">
        <f>'Pseudo-load coefficients'!S301</f>
        <v>9.7901321340862962E-2</v>
      </c>
      <c r="T113" s="257">
        <f>'Pseudo-load coefficients'!T301</f>
        <v>9.7901321340862962E-2</v>
      </c>
      <c r="U113" s="257">
        <f>'Pseudo-load coefficients'!U301</f>
        <v>9.7901321340862962E-2</v>
      </c>
      <c r="V113" s="257">
        <f>'Pseudo-load coefficients'!V301</f>
        <v>9.7901321340862962E-2</v>
      </c>
      <c r="W113" s="257">
        <f>'Pseudo-load coefficients'!W301</f>
        <v>9.7901321340862962E-2</v>
      </c>
      <c r="X113" s="257">
        <f>'Pseudo-load coefficients'!X301</f>
        <v>9.7901321340862962E-2</v>
      </c>
      <c r="Y113" s="257">
        <f>'Pseudo-load coefficients'!Y301</f>
        <v>9.7901321340862962E-2</v>
      </c>
    </row>
    <row r="114" spans="2:27" x14ac:dyDescent="0.25">
      <c r="C114" s="75"/>
      <c r="E114" s="75"/>
      <c r="F114" s="258" t="s">
        <v>200</v>
      </c>
      <c r="G114" s="101" t="s">
        <v>284</v>
      </c>
      <c r="H114" s="96"/>
      <c r="I114" s="96"/>
      <c r="J114" s="259">
        <f>'Pseudo-load coefficients'!J302</f>
        <v>0.16270603672730427</v>
      </c>
      <c r="K114" s="259">
        <f>'Pseudo-load coefficients'!K302</f>
        <v>0.16270603672730427</v>
      </c>
      <c r="L114" s="259">
        <f>'Pseudo-load coefficients'!L302</f>
        <v>0.15917797296070399</v>
      </c>
      <c r="M114" s="259">
        <f>'Pseudo-load coefficients'!M302</f>
        <v>0.15917797296070399</v>
      </c>
      <c r="N114" s="259">
        <f>'Pseudo-load coefficients'!N302</f>
        <v>0.12269816357182924</v>
      </c>
      <c r="O114" s="259">
        <f>'Pseudo-load coefficients'!O302</f>
        <v>0.11574124822286834</v>
      </c>
      <c r="P114" s="259">
        <f>'Pseudo-load coefficients'!P302</f>
        <v>0.10630225208324173</v>
      </c>
      <c r="Q114" s="259">
        <f>'Pseudo-load coefficients'!Q302</f>
        <v>0.11780444651868109</v>
      </c>
      <c r="R114" s="259">
        <f>'Pseudo-load coefficients'!R302</f>
        <v>9.7901321340862962E-2</v>
      </c>
      <c r="S114" s="259">
        <f>'Pseudo-load coefficients'!S302</f>
        <v>9.7901321340862962E-2</v>
      </c>
      <c r="T114" s="259">
        <f>'Pseudo-load coefficients'!T302</f>
        <v>9.7901321340862962E-2</v>
      </c>
      <c r="U114" s="259">
        <f>'Pseudo-load coefficients'!U302</f>
        <v>9.7901321340862962E-2</v>
      </c>
      <c r="V114" s="259">
        <f>'Pseudo-load coefficients'!V302</f>
        <v>9.7901321340862962E-2</v>
      </c>
      <c r="W114" s="259">
        <f>'Pseudo-load coefficients'!W302</f>
        <v>9.7901321340862962E-2</v>
      </c>
      <c r="X114" s="259">
        <f>'Pseudo-load coefficients'!X302</f>
        <v>9.7901321340862962E-2</v>
      </c>
      <c r="Y114" s="259">
        <f>'Pseudo-load coefficients'!Y302</f>
        <v>9.7901321340862962E-2</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577</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control'!$H$42:$H$65,MATCH($A$1,'Version control'!$F$42:$F$65,0),1)&amp;"-B: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578</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155</v>
      </c>
      <c r="J121" s="261"/>
      <c r="K121" s="261"/>
      <c r="L121" s="261"/>
      <c r="M121" s="261"/>
      <c r="N121" s="261"/>
      <c r="O121" s="261"/>
      <c r="P121" s="261"/>
      <c r="Q121" s="261"/>
      <c r="R121" s="261"/>
      <c r="S121" s="261"/>
      <c r="T121" s="261"/>
      <c r="U121" s="261"/>
      <c r="V121" s="261"/>
      <c r="W121" s="261"/>
      <c r="X121" s="261"/>
      <c r="Y121" s="261"/>
      <c r="AA121" t="s">
        <v>573</v>
      </c>
    </row>
    <row r="122" spans="2:27" x14ac:dyDescent="0.25">
      <c r="E122" s="75" t="s">
        <v>579</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190</v>
      </c>
      <c r="G123" s="95" t="s">
        <v>270</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192</v>
      </c>
      <c r="G124" t="s">
        <v>270</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193</v>
      </c>
      <c r="G125" t="s">
        <v>270</v>
      </c>
      <c r="H125" s="268"/>
      <c r="I125" s="268"/>
      <c r="J125" s="269">
        <f t="shared" ref="J125:Y125" si="2">hundred * $H20 * J57 / $H45 * J$78 * (1 - J69) / hours_in_year</f>
        <v>0.40184770040784767</v>
      </c>
      <c r="K125" s="269">
        <f t="shared" si="2"/>
        <v>0.40184770040784767</v>
      </c>
      <c r="L125" s="269">
        <f t="shared" si="2"/>
        <v>0.30471986283572605</v>
      </c>
      <c r="M125" s="269">
        <f t="shared" si="2"/>
        <v>0.30471986283572605</v>
      </c>
      <c r="N125" s="269">
        <f t="shared" si="2"/>
        <v>0.26279798483081979</v>
      </c>
      <c r="O125" s="269">
        <f t="shared" si="2"/>
        <v>0.23400990262681123</v>
      </c>
      <c r="P125" s="269">
        <f t="shared" si="2"/>
        <v>0.206874181165947</v>
      </c>
      <c r="Q125" s="269">
        <f t="shared" si="2"/>
        <v>0.36181866066110474</v>
      </c>
      <c r="R125" s="269">
        <f t="shared" si="2"/>
        <v>-0.18263540975049775</v>
      </c>
      <c r="S125" s="269">
        <f t="shared" si="2"/>
        <v>-0.18022778664644218</v>
      </c>
      <c r="T125" s="269">
        <f t="shared" si="2"/>
        <v>-0.18263540975049775</v>
      </c>
      <c r="U125" s="269">
        <f t="shared" si="2"/>
        <v>-0.18263540975049775</v>
      </c>
      <c r="V125" s="269">
        <f t="shared" si="2"/>
        <v>-0.18022778664644218</v>
      </c>
      <c r="W125" s="269">
        <f t="shared" si="2"/>
        <v>-0.18022778664644218</v>
      </c>
      <c r="X125" s="269">
        <f t="shared" si="2"/>
        <v>-0.17782016354238667</v>
      </c>
      <c r="Y125" s="269">
        <f t="shared" si="2"/>
        <v>-0.17782016354238667</v>
      </c>
      <c r="Z125" s="268"/>
      <c r="AA125" s="268"/>
    </row>
    <row r="126" spans="2:27" x14ac:dyDescent="0.25">
      <c r="E126" s="75"/>
      <c r="F126" s="256" t="s">
        <v>194</v>
      </c>
      <c r="G126" t="s">
        <v>270</v>
      </c>
      <c r="H126" s="268"/>
      <c r="I126" s="268"/>
      <c r="J126" s="269">
        <f t="shared" ref="J126:Y126" si="3">hundred * $H21 * J58 / $H46 * J$78 * (1 - J70) / hours_in_year</f>
        <v>5.7561258608103634E-2</v>
      </c>
      <c r="K126" s="269">
        <f t="shared" si="3"/>
        <v>5.7561258608103634E-2</v>
      </c>
      <c r="L126" s="269">
        <f t="shared" si="3"/>
        <v>4.3648523582220704E-2</v>
      </c>
      <c r="M126" s="269">
        <f t="shared" si="3"/>
        <v>4.3648523582220704E-2</v>
      </c>
      <c r="N126" s="269">
        <f t="shared" si="3"/>
        <v>3.7643571808878028E-2</v>
      </c>
      <c r="O126" s="269">
        <f t="shared" si="3"/>
        <v>3.3519924360119552E-2</v>
      </c>
      <c r="P126" s="269">
        <f t="shared" si="3"/>
        <v>2.9632963506689293E-2</v>
      </c>
      <c r="Q126" s="269">
        <f t="shared" si="3"/>
        <v>5.1827439784808638E-2</v>
      </c>
      <c r="R126" s="269">
        <f t="shared" si="3"/>
        <v>-2.6160966059966713E-2</v>
      </c>
      <c r="S126" s="269">
        <f t="shared" si="3"/>
        <v>-2.5816094567650768E-2</v>
      </c>
      <c r="T126" s="269">
        <f t="shared" si="3"/>
        <v>-2.6160966059966713E-2</v>
      </c>
      <c r="U126" s="269">
        <f t="shared" si="3"/>
        <v>-2.6160966059966713E-2</v>
      </c>
      <c r="V126" s="269">
        <f t="shared" si="3"/>
        <v>-2.5816094567650768E-2</v>
      </c>
      <c r="W126" s="269">
        <f t="shared" si="3"/>
        <v>-2.5816094567650768E-2</v>
      </c>
      <c r="X126" s="269">
        <f t="shared" si="3"/>
        <v>-2.5471223075334819E-2</v>
      </c>
      <c r="Y126" s="269">
        <f t="shared" si="3"/>
        <v>-2.5471223075334819E-2</v>
      </c>
      <c r="Z126" s="268"/>
      <c r="AA126" s="268"/>
    </row>
    <row r="127" spans="2:27" x14ac:dyDescent="0.25">
      <c r="E127" s="75"/>
      <c r="F127" s="256" t="s">
        <v>195</v>
      </c>
      <c r="G127" t="s">
        <v>270</v>
      </c>
      <c r="H127" s="268"/>
      <c r="I127" s="268"/>
      <c r="J127" s="269">
        <f t="shared" ref="J127:Y127" si="4">hundred * $H22 * J59 / $H47 * J$78 * (1 - J71) / hours_in_year</f>
        <v>0.18406022773715963</v>
      </c>
      <c r="K127" s="269">
        <f t="shared" si="4"/>
        <v>0.18406022773715963</v>
      </c>
      <c r="L127" s="269">
        <f t="shared" si="4"/>
        <v>0.13957229888999129</v>
      </c>
      <c r="M127" s="269">
        <f t="shared" si="4"/>
        <v>0.13957229888999129</v>
      </c>
      <c r="N127" s="269">
        <f t="shared" si="4"/>
        <v>0.12037062023183021</v>
      </c>
      <c r="O127" s="269">
        <f t="shared" si="4"/>
        <v>0.10718467699709719</v>
      </c>
      <c r="P127" s="269">
        <f t="shared" si="4"/>
        <v>9.4755572471104832E-2</v>
      </c>
      <c r="Q127" s="269">
        <f t="shared" si="4"/>
        <v>0.16572553485623101</v>
      </c>
      <c r="R127" s="269">
        <f t="shared" si="4"/>
        <v>-8.3653371855626518E-2</v>
      </c>
      <c r="S127" s="269">
        <f t="shared" si="4"/>
        <v>-8.2550596708753851E-2</v>
      </c>
      <c r="T127" s="269">
        <f t="shared" si="4"/>
        <v>-8.3653371855626518E-2</v>
      </c>
      <c r="U127" s="269">
        <f t="shared" si="4"/>
        <v>-8.3653371855626518E-2</v>
      </c>
      <c r="V127" s="269">
        <f t="shared" si="4"/>
        <v>-8.2550596708753851E-2</v>
      </c>
      <c r="W127" s="269">
        <f t="shared" si="4"/>
        <v>-8.2550596708753851E-2</v>
      </c>
      <c r="X127" s="269">
        <f t="shared" si="4"/>
        <v>-8.1447821561881184E-2</v>
      </c>
      <c r="Y127" s="269">
        <f t="shared" si="4"/>
        <v>-8.1447821561881184E-2</v>
      </c>
      <c r="Z127" s="268"/>
      <c r="AA127" s="268"/>
    </row>
    <row r="128" spans="2:27" x14ac:dyDescent="0.25">
      <c r="E128" s="75"/>
      <c r="F128" s="256" t="s">
        <v>196</v>
      </c>
      <c r="G128" t="s">
        <v>270</v>
      </c>
      <c r="H128" s="268"/>
      <c r="I128" s="268"/>
      <c r="J128" s="269">
        <f t="shared" ref="J128:Y128" si="5">hundred * $H23 * J60 / $H48 * J$78 * (1 - J72) / hours_in_year</f>
        <v>0.14558412219986142</v>
      </c>
      <c r="K128" s="269">
        <f t="shared" si="5"/>
        <v>0.14558412219986142</v>
      </c>
      <c r="L128" s="269">
        <f t="shared" si="5"/>
        <v>0.11039598759126058</v>
      </c>
      <c r="M128" s="269">
        <f t="shared" si="5"/>
        <v>0.11039598759126058</v>
      </c>
      <c r="N128" s="269">
        <f t="shared" si="5"/>
        <v>9.5208244065243974E-2</v>
      </c>
      <c r="O128" s="269">
        <f t="shared" si="5"/>
        <v>8.4778701546438032E-2</v>
      </c>
      <c r="P128" s="269">
        <f t="shared" si="5"/>
        <v>7.494778753316797E-2</v>
      </c>
      <c r="Q128" s="269">
        <f t="shared" si="5"/>
        <v>0.13108212901160049</v>
      </c>
      <c r="R128" s="269">
        <f t="shared" si="5"/>
        <v>-6.6166400315722643E-2</v>
      </c>
      <c r="S128" s="269">
        <f t="shared" si="5"/>
        <v>-6.5294150217398608E-2</v>
      </c>
      <c r="T128" s="269">
        <f t="shared" si="5"/>
        <v>-6.6166400315722643E-2</v>
      </c>
      <c r="U128" s="269">
        <f t="shared" si="5"/>
        <v>-6.6166400315722643E-2</v>
      </c>
      <c r="V128" s="269">
        <f t="shared" si="5"/>
        <v>-6.5294150217398608E-2</v>
      </c>
      <c r="W128" s="269">
        <f t="shared" si="5"/>
        <v>-6.5294150217398608E-2</v>
      </c>
      <c r="X128" s="269">
        <f t="shared" si="5"/>
        <v>-6.4421900119074588E-2</v>
      </c>
      <c r="Y128" s="269">
        <f t="shared" si="5"/>
        <v>-6.4421900119074588E-2</v>
      </c>
      <c r="Z128" s="268"/>
      <c r="AA128" s="268"/>
    </row>
    <row r="129" spans="4:27" x14ac:dyDescent="0.25">
      <c r="E129" s="75"/>
      <c r="F129" s="256" t="s">
        <v>197</v>
      </c>
      <c r="G129" t="s">
        <v>270</v>
      </c>
      <c r="H129" s="268"/>
      <c r="I129" s="268"/>
      <c r="J129" s="269">
        <f t="shared" ref="J129:Y129" si="6">hundred * $H24 * J61 / $H49 * J$78 * (1 - J73) / hours_in_year</f>
        <v>0</v>
      </c>
      <c r="K129" s="269">
        <f t="shared" si="6"/>
        <v>0</v>
      </c>
      <c r="L129" s="269">
        <f t="shared" si="6"/>
        <v>0</v>
      </c>
      <c r="M129" s="269">
        <f t="shared" si="6"/>
        <v>0</v>
      </c>
      <c r="N129" s="269">
        <f t="shared" si="6"/>
        <v>0</v>
      </c>
      <c r="O129" s="269">
        <f t="shared" si="6"/>
        <v>0</v>
      </c>
      <c r="P129" s="269">
        <f t="shared" si="6"/>
        <v>0</v>
      </c>
      <c r="Q129" s="269">
        <f t="shared" si="6"/>
        <v>0</v>
      </c>
      <c r="R129" s="269">
        <f t="shared" si="6"/>
        <v>0</v>
      </c>
      <c r="S129" s="269">
        <f t="shared" si="6"/>
        <v>0</v>
      </c>
      <c r="T129" s="269">
        <f t="shared" si="6"/>
        <v>0</v>
      </c>
      <c r="U129" s="269">
        <f t="shared" si="6"/>
        <v>0</v>
      </c>
      <c r="V129" s="269">
        <f t="shared" si="6"/>
        <v>0</v>
      </c>
      <c r="W129" s="269">
        <f t="shared" si="6"/>
        <v>0</v>
      </c>
      <c r="X129" s="269">
        <f t="shared" si="6"/>
        <v>0</v>
      </c>
      <c r="Y129" s="269">
        <f t="shared" si="6"/>
        <v>0</v>
      </c>
      <c r="Z129" s="268"/>
      <c r="AA129" s="268"/>
    </row>
    <row r="130" spans="4:27" x14ac:dyDescent="0.25">
      <c r="E130" s="75"/>
      <c r="F130" s="256" t="s">
        <v>198</v>
      </c>
      <c r="G130" t="s">
        <v>270</v>
      </c>
      <c r="H130" s="268"/>
      <c r="I130" s="268"/>
      <c r="J130" s="269">
        <f t="shared" ref="J130:Y130" si="7">hundred * $H25 * J62 / $H50 * J$78 * (1 - J74) / hours_in_year</f>
        <v>0.67041615225696927</v>
      </c>
      <c r="K130" s="269">
        <f t="shared" si="7"/>
        <v>0.67041615225696927</v>
      </c>
      <c r="L130" s="269">
        <f t="shared" si="7"/>
        <v>0.50837448553583753</v>
      </c>
      <c r="M130" s="269">
        <f t="shared" si="7"/>
        <v>0.50837448553583753</v>
      </c>
      <c r="N130" s="269">
        <f t="shared" si="7"/>
        <v>0.43843479415795827</v>
      </c>
      <c r="O130" s="269">
        <f t="shared" si="7"/>
        <v>0.3904066599108777</v>
      </c>
      <c r="P130" s="269">
        <f t="shared" si="7"/>
        <v>0.34513521515196632</v>
      </c>
      <c r="Q130" s="269">
        <f t="shared" si="7"/>
        <v>0.60363434716435371</v>
      </c>
      <c r="R130" s="269">
        <f t="shared" si="7"/>
        <v>-0.30469685043993977</v>
      </c>
      <c r="S130" s="269">
        <f t="shared" si="7"/>
        <v>-0.30068013113093867</v>
      </c>
      <c r="T130" s="269">
        <f t="shared" si="7"/>
        <v>-0.30469685043993977</v>
      </c>
      <c r="U130" s="269">
        <f t="shared" si="7"/>
        <v>-0.30469685043993977</v>
      </c>
      <c r="V130" s="269">
        <f t="shared" si="7"/>
        <v>-0.30068013113093867</v>
      </c>
      <c r="W130" s="269">
        <f t="shared" si="7"/>
        <v>-0.30068013113093867</v>
      </c>
      <c r="X130" s="269">
        <f t="shared" si="7"/>
        <v>0</v>
      </c>
      <c r="Y130" s="269">
        <f t="shared" si="7"/>
        <v>0</v>
      </c>
      <c r="Z130" s="268"/>
      <c r="AA130" s="268"/>
    </row>
    <row r="131" spans="4:27" x14ac:dyDescent="0.25">
      <c r="E131" s="75"/>
      <c r="F131" s="256" t="s">
        <v>199</v>
      </c>
      <c r="G131" t="s">
        <v>270</v>
      </c>
      <c r="H131" s="268"/>
      <c r="I131" s="268"/>
      <c r="J131" s="269">
        <f t="shared" ref="J131:Y131" si="8">hundred * $H26 * J63 / $H51 * J$78 * (1 - J75) / hours_in_year</f>
        <v>0.27506170480808989</v>
      </c>
      <c r="K131" s="269">
        <f t="shared" si="8"/>
        <v>0.27506170480808989</v>
      </c>
      <c r="L131" s="269">
        <f t="shared" si="8"/>
        <v>0.20857843624690123</v>
      </c>
      <c r="M131" s="269">
        <f t="shared" si="8"/>
        <v>0.20857843624690123</v>
      </c>
      <c r="N131" s="269">
        <f t="shared" si="8"/>
        <v>0.1798832285324288</v>
      </c>
      <c r="O131" s="269">
        <f t="shared" si="8"/>
        <v>0.16017800448572334</v>
      </c>
      <c r="P131" s="269">
        <f t="shared" si="8"/>
        <v>0</v>
      </c>
      <c r="Q131" s="269">
        <f t="shared" si="8"/>
        <v>0.24766213053307218</v>
      </c>
      <c r="R131" s="269">
        <f t="shared" si="8"/>
        <v>-0.12501255354531052</v>
      </c>
      <c r="S131" s="269">
        <f t="shared" si="8"/>
        <v>0</v>
      </c>
      <c r="T131" s="269">
        <f t="shared" si="8"/>
        <v>-0.12501255354531052</v>
      </c>
      <c r="U131" s="269">
        <f t="shared" si="8"/>
        <v>-0.12501255354531052</v>
      </c>
      <c r="V131" s="269">
        <f t="shared" si="8"/>
        <v>0</v>
      </c>
      <c r="W131" s="269">
        <f t="shared" si="8"/>
        <v>0</v>
      </c>
      <c r="X131" s="269">
        <f t="shared" si="8"/>
        <v>0</v>
      </c>
      <c r="Y131" s="269">
        <f t="shared" si="8"/>
        <v>0</v>
      </c>
      <c r="Z131" s="268"/>
      <c r="AA131" s="268"/>
    </row>
    <row r="132" spans="4:27" x14ac:dyDescent="0.25">
      <c r="E132" s="75"/>
      <c r="F132" s="258" t="s">
        <v>200</v>
      </c>
      <c r="G132" s="96" t="s">
        <v>270</v>
      </c>
      <c r="H132" s="270"/>
      <c r="I132" s="270"/>
      <c r="J132" s="271">
        <f t="shared" ref="J132:Y132" si="9">hundred * $H27 * J64 / $H52 * J$78 * (1 - J76) / hours_in_year</f>
        <v>0.67879866597258887</v>
      </c>
      <c r="K132" s="271">
        <f t="shared" si="9"/>
        <v>0.67879866597258887</v>
      </c>
      <c r="L132" s="271">
        <f t="shared" si="9"/>
        <v>0.51473091964520223</v>
      </c>
      <c r="M132" s="271">
        <f t="shared" si="9"/>
        <v>0.51473091964520223</v>
      </c>
      <c r="N132" s="271">
        <f t="shared" si="9"/>
        <v>0.44391674095035183</v>
      </c>
      <c r="O132" s="271">
        <f t="shared" si="9"/>
        <v>0</v>
      </c>
      <c r="P132" s="271">
        <f t="shared" si="9"/>
        <v>0</v>
      </c>
      <c r="Q132" s="271">
        <f t="shared" si="9"/>
        <v>0.61118185803098457</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580</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190</v>
      </c>
      <c r="G135" s="95" t="s">
        <v>270</v>
      </c>
      <c r="H135" s="266"/>
      <c r="I135" s="266"/>
      <c r="J135" s="267">
        <f t="shared" ref="J135:Y135" si="10">hundred * $H30 * J55 / $H43 * J$78 / hours_in_year</f>
        <v>0.12810660654697523</v>
      </c>
      <c r="K135" s="267">
        <f t="shared" si="10"/>
        <v>0.12810660654697523</v>
      </c>
      <c r="L135" s="267">
        <f t="shared" si="10"/>
        <v>9.7142841767478422E-2</v>
      </c>
      <c r="M135" s="267">
        <f t="shared" si="10"/>
        <v>9.7142841767478422E-2</v>
      </c>
      <c r="N135" s="267">
        <f t="shared" si="10"/>
        <v>8.3778401642938288E-2</v>
      </c>
      <c r="O135" s="267">
        <f t="shared" si="10"/>
        <v>7.460093586073302E-2</v>
      </c>
      <c r="P135" s="267">
        <f t="shared" si="10"/>
        <v>6.5950232648976231E-2</v>
      </c>
      <c r="Q135" s="267">
        <f t="shared" si="10"/>
        <v>0.11534559176429843</v>
      </c>
      <c r="R135" s="267">
        <f t="shared" si="10"/>
        <v>-5.822305951908268E-2</v>
      </c>
      <c r="S135" s="267">
        <f t="shared" si="10"/>
        <v>-5.7455523894537341E-2</v>
      </c>
      <c r="T135" s="267">
        <f t="shared" si="10"/>
        <v>-5.822305951908268E-2</v>
      </c>
      <c r="U135" s="267">
        <f t="shared" si="10"/>
        <v>-5.822305951908268E-2</v>
      </c>
      <c r="V135" s="267">
        <f t="shared" si="10"/>
        <v>-5.7455523894537341E-2</v>
      </c>
      <c r="W135" s="267">
        <f t="shared" si="10"/>
        <v>-5.7455523894537341E-2</v>
      </c>
      <c r="X135" s="267">
        <f t="shared" si="10"/>
        <v>-5.6687988269991989E-2</v>
      </c>
      <c r="Y135" s="267">
        <f t="shared" si="10"/>
        <v>-5.6687988269991989E-2</v>
      </c>
      <c r="Z135" s="268"/>
      <c r="AA135" s="268"/>
    </row>
    <row r="136" spans="4:27" x14ac:dyDescent="0.25">
      <c r="D136" s="75"/>
      <c r="E136" s="75"/>
      <c r="F136" s="256" t="s">
        <v>192</v>
      </c>
      <c r="G136" t="s">
        <v>270</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193</v>
      </c>
      <c r="G137" t="s">
        <v>270</v>
      </c>
      <c r="H137" s="268"/>
      <c r="I137" s="268"/>
      <c r="J137" s="269">
        <f t="shared" ref="J137:Y137" si="12">hundred * $H32 * J57 / $H45 * J$78 / hours_in_year</f>
        <v>0.31116272744572165</v>
      </c>
      <c r="K137" s="269">
        <f t="shared" si="12"/>
        <v>0.31116272744572165</v>
      </c>
      <c r="L137" s="269">
        <f t="shared" si="12"/>
        <v>0.23595372956126795</v>
      </c>
      <c r="M137" s="269">
        <f t="shared" si="12"/>
        <v>0.23595372956126795</v>
      </c>
      <c r="N137" s="269">
        <f t="shared" si="12"/>
        <v>0.20349236201726023</v>
      </c>
      <c r="O137" s="269">
        <f t="shared" si="12"/>
        <v>0.18120088649695884</v>
      </c>
      <c r="P137" s="269">
        <f t="shared" si="12"/>
        <v>0.16018888346098223</v>
      </c>
      <c r="Q137" s="269">
        <f t="shared" si="12"/>
        <v>0.28016704133880055</v>
      </c>
      <c r="R137" s="269">
        <f t="shared" si="12"/>
        <v>-0.14142007573629009</v>
      </c>
      <c r="S137" s="269">
        <f t="shared" si="12"/>
        <v>-0.13955578095257251</v>
      </c>
      <c r="T137" s="269">
        <f t="shared" si="12"/>
        <v>-0.14142007573629009</v>
      </c>
      <c r="U137" s="269">
        <f t="shared" si="12"/>
        <v>-0.14142007573629009</v>
      </c>
      <c r="V137" s="269">
        <f t="shared" si="12"/>
        <v>-0.13955578095257251</v>
      </c>
      <c r="W137" s="269">
        <f t="shared" si="12"/>
        <v>-0.13955578095257251</v>
      </c>
      <c r="X137" s="269">
        <f t="shared" si="12"/>
        <v>-0.13769148616885493</v>
      </c>
      <c r="Y137" s="269">
        <f t="shared" si="12"/>
        <v>-0.13769148616885493</v>
      </c>
      <c r="Z137" s="268"/>
      <c r="AA137" s="268"/>
    </row>
    <row r="138" spans="4:27" x14ac:dyDescent="0.25">
      <c r="D138" s="75"/>
      <c r="E138" s="75"/>
      <c r="F138" s="256" t="s">
        <v>194</v>
      </c>
      <c r="G138" t="s">
        <v>270</v>
      </c>
      <c r="H138" s="268"/>
      <c r="I138" s="268"/>
      <c r="J138" s="269">
        <f t="shared" ref="J138:Y138" si="13">hundred * $H33 * J58 / $H46 * J$78 / hours_in_year</f>
        <v>4.4571409032645226E-2</v>
      </c>
      <c r="K138" s="269">
        <f t="shared" si="13"/>
        <v>4.4571409032645226E-2</v>
      </c>
      <c r="L138" s="269">
        <f t="shared" si="13"/>
        <v>3.3798361003529731E-2</v>
      </c>
      <c r="M138" s="269">
        <f t="shared" si="13"/>
        <v>3.3798361003529731E-2</v>
      </c>
      <c r="N138" s="269">
        <f t="shared" si="13"/>
        <v>2.9148546732907014E-2</v>
      </c>
      <c r="O138" s="269">
        <f t="shared" si="13"/>
        <v>2.595548282865176E-2</v>
      </c>
      <c r="P138" s="269">
        <f t="shared" si="13"/>
        <v>2.2945692454336881E-2</v>
      </c>
      <c r="Q138" s="269">
        <f t="shared" si="13"/>
        <v>4.0131541137606135E-2</v>
      </c>
      <c r="R138" s="269">
        <f t="shared" si="13"/>
        <v>-2.0257220692248178E-2</v>
      </c>
      <c r="S138" s="269">
        <f t="shared" si="13"/>
        <v>-1.9990176351672401E-2</v>
      </c>
      <c r="T138" s="269">
        <f t="shared" si="13"/>
        <v>-2.0257220692248178E-2</v>
      </c>
      <c r="U138" s="269">
        <f t="shared" si="13"/>
        <v>-2.0257220692248178E-2</v>
      </c>
      <c r="V138" s="269">
        <f t="shared" si="13"/>
        <v>-1.9990176351672401E-2</v>
      </c>
      <c r="W138" s="269">
        <f t="shared" si="13"/>
        <v>-1.9990176351672401E-2</v>
      </c>
      <c r="X138" s="269">
        <f t="shared" si="13"/>
        <v>-1.9723132011096624E-2</v>
      </c>
      <c r="Y138" s="269">
        <f t="shared" si="13"/>
        <v>-1.9723132011096624E-2</v>
      </c>
      <c r="Z138" s="268"/>
      <c r="AA138" s="268"/>
    </row>
    <row r="139" spans="4:27" x14ac:dyDescent="0.25">
      <c r="D139" s="75"/>
      <c r="E139" s="75"/>
      <c r="F139" s="256" t="s">
        <v>195</v>
      </c>
      <c r="G139" t="s">
        <v>270</v>
      </c>
      <c r="H139" s="268"/>
      <c r="I139" s="268"/>
      <c r="J139" s="269">
        <f t="shared" ref="J139:Y139" si="14">hundred * $H34 * J59 / $H47 * J$78 / hours_in_year</f>
        <v>0.14252335503935304</v>
      </c>
      <c r="K139" s="269">
        <f t="shared" si="14"/>
        <v>0.14252335503935304</v>
      </c>
      <c r="L139" s="269">
        <f t="shared" si="14"/>
        <v>0.10807501736205286</v>
      </c>
      <c r="M139" s="269">
        <f t="shared" si="14"/>
        <v>0.10807501736205286</v>
      </c>
      <c r="N139" s="269">
        <f t="shared" si="14"/>
        <v>9.3206581641889108E-2</v>
      </c>
      <c r="O139" s="269">
        <f t="shared" si="14"/>
        <v>8.2996310296054004E-2</v>
      </c>
      <c r="P139" s="269">
        <f t="shared" si="14"/>
        <v>7.3372081863016983E-2</v>
      </c>
      <c r="Q139" s="269">
        <f t="shared" si="14"/>
        <v>0.12832625241087178</v>
      </c>
      <c r="R139" s="269">
        <f t="shared" si="14"/>
        <v>-6.477531492704687E-2</v>
      </c>
      <c r="S139" s="269">
        <f t="shared" si="14"/>
        <v>-6.392140305418563E-2</v>
      </c>
      <c r="T139" s="269">
        <f t="shared" si="14"/>
        <v>-6.477531492704687E-2</v>
      </c>
      <c r="U139" s="269">
        <f t="shared" si="14"/>
        <v>-6.477531492704687E-2</v>
      </c>
      <c r="V139" s="269">
        <f t="shared" si="14"/>
        <v>-6.392140305418563E-2</v>
      </c>
      <c r="W139" s="269">
        <f t="shared" si="14"/>
        <v>-6.392140305418563E-2</v>
      </c>
      <c r="X139" s="269">
        <f t="shared" si="14"/>
        <v>-6.3067491181324375E-2</v>
      </c>
      <c r="Y139" s="269">
        <f t="shared" si="14"/>
        <v>-6.3067491181324375E-2</v>
      </c>
      <c r="Z139" s="268"/>
      <c r="AA139" s="268"/>
    </row>
    <row r="140" spans="4:27" x14ac:dyDescent="0.25">
      <c r="D140" s="75"/>
      <c r="E140" s="75"/>
      <c r="F140" s="256" t="s">
        <v>196</v>
      </c>
      <c r="G140" t="s">
        <v>270</v>
      </c>
      <c r="H140" s="268"/>
      <c r="I140" s="268"/>
      <c r="J140" s="269">
        <f t="shared" ref="J140:Y140" si="15">hundred * $H35 * J60 / $H48 * J$78 / hours_in_year</f>
        <v>0.11273015246951365</v>
      </c>
      <c r="K140" s="269">
        <f t="shared" si="15"/>
        <v>0.11273015246951365</v>
      </c>
      <c r="L140" s="269">
        <f t="shared" si="15"/>
        <v>8.5482924409164662E-2</v>
      </c>
      <c r="M140" s="269">
        <f t="shared" si="15"/>
        <v>8.5482924409164662E-2</v>
      </c>
      <c r="N140" s="269">
        <f t="shared" si="15"/>
        <v>7.3722599055790705E-2</v>
      </c>
      <c r="O140" s="269">
        <f t="shared" si="15"/>
        <v>6.5646691459780998E-2</v>
      </c>
      <c r="P140" s="269">
        <f t="shared" si="15"/>
        <v>5.8034319870871084E-2</v>
      </c>
      <c r="Q140" s="269">
        <f t="shared" si="15"/>
        <v>0.10150082417105956</v>
      </c>
      <c r="R140" s="269">
        <f t="shared" si="15"/>
        <v>-5.1234628359474975E-2</v>
      </c>
      <c r="S140" s="269">
        <f t="shared" si="15"/>
        <v>-5.0559218946073237E-2</v>
      </c>
      <c r="T140" s="269">
        <f t="shared" si="15"/>
        <v>-5.1234628359474975E-2</v>
      </c>
      <c r="U140" s="269">
        <f t="shared" si="15"/>
        <v>-5.1234628359474975E-2</v>
      </c>
      <c r="V140" s="269">
        <f t="shared" si="15"/>
        <v>-5.0559218946073237E-2</v>
      </c>
      <c r="W140" s="269">
        <f t="shared" si="15"/>
        <v>-5.0559218946073237E-2</v>
      </c>
      <c r="X140" s="269">
        <f t="shared" si="15"/>
        <v>-4.9883809532671491E-2</v>
      </c>
      <c r="Y140" s="269">
        <f t="shared" si="15"/>
        <v>-4.9883809532671491E-2</v>
      </c>
      <c r="Z140" s="268"/>
      <c r="AA140" s="268"/>
    </row>
    <row r="141" spans="4:27" x14ac:dyDescent="0.25">
      <c r="D141" s="75"/>
      <c r="E141" s="75"/>
      <c r="F141" s="256" t="s">
        <v>197</v>
      </c>
      <c r="G141" t="s">
        <v>270</v>
      </c>
      <c r="H141" s="268"/>
      <c r="I141" s="268"/>
      <c r="J141" s="269">
        <f t="shared" ref="J141:Y141" si="16">hundred * $H36 * J61 / $H49 * J$78 / hours_in_year</f>
        <v>0</v>
      </c>
      <c r="K141" s="269">
        <f t="shared" si="16"/>
        <v>0</v>
      </c>
      <c r="L141" s="269">
        <f t="shared" si="16"/>
        <v>0</v>
      </c>
      <c r="M141" s="269">
        <f t="shared" si="16"/>
        <v>0</v>
      </c>
      <c r="N141" s="269">
        <f t="shared" si="16"/>
        <v>0</v>
      </c>
      <c r="O141" s="269">
        <f t="shared" si="16"/>
        <v>0</v>
      </c>
      <c r="P141" s="269">
        <f t="shared" si="16"/>
        <v>0</v>
      </c>
      <c r="Q141" s="269">
        <f t="shared" si="16"/>
        <v>0</v>
      </c>
      <c r="R141" s="269">
        <f t="shared" si="16"/>
        <v>0</v>
      </c>
      <c r="S141" s="269">
        <f t="shared" si="16"/>
        <v>0</v>
      </c>
      <c r="T141" s="269">
        <f t="shared" si="16"/>
        <v>0</v>
      </c>
      <c r="U141" s="269">
        <f t="shared" si="16"/>
        <v>0</v>
      </c>
      <c r="V141" s="269">
        <f t="shared" si="16"/>
        <v>0</v>
      </c>
      <c r="W141" s="269">
        <f t="shared" si="16"/>
        <v>0</v>
      </c>
      <c r="X141" s="269">
        <f t="shared" si="16"/>
        <v>0</v>
      </c>
      <c r="Y141" s="269">
        <f t="shared" si="16"/>
        <v>0</v>
      </c>
      <c r="Z141" s="268"/>
      <c r="AA141" s="268"/>
    </row>
    <row r="142" spans="4:27" x14ac:dyDescent="0.25">
      <c r="D142" s="75"/>
      <c r="E142" s="75"/>
      <c r="F142" s="256" t="s">
        <v>198</v>
      </c>
      <c r="G142" t="s">
        <v>270</v>
      </c>
      <c r="H142" s="268"/>
      <c r="I142" s="268"/>
      <c r="J142" s="269">
        <f t="shared" ref="J142:Y142" si="17">hundred * $H37 * J62 / $H50 * J$78 / hours_in_year</f>
        <v>0.5191233351546406</v>
      </c>
      <c r="K142" s="269">
        <f t="shared" si="17"/>
        <v>0.5191233351546406</v>
      </c>
      <c r="L142" s="269">
        <f t="shared" si="17"/>
        <v>0.39364961233471701</v>
      </c>
      <c r="M142" s="269">
        <f t="shared" si="17"/>
        <v>0.39364961233471701</v>
      </c>
      <c r="N142" s="269">
        <f t="shared" si="17"/>
        <v>0.33949321152972217</v>
      </c>
      <c r="O142" s="269">
        <f t="shared" si="17"/>
        <v>0.30230358662634915</v>
      </c>
      <c r="P142" s="269">
        <f t="shared" si="17"/>
        <v>0.26724854907780998</v>
      </c>
      <c r="Q142" s="269">
        <f t="shared" si="17"/>
        <v>0.46741218041796667</v>
      </c>
      <c r="R142" s="269">
        <f t="shared" si="17"/>
        <v>-0.23593591037297679</v>
      </c>
      <c r="S142" s="269">
        <f t="shared" si="17"/>
        <v>-0.2328256441345383</v>
      </c>
      <c r="T142" s="269">
        <f t="shared" si="17"/>
        <v>-0.23593591037297679</v>
      </c>
      <c r="U142" s="269">
        <f t="shared" si="17"/>
        <v>-0.23593591037297679</v>
      </c>
      <c r="V142" s="269">
        <f t="shared" si="17"/>
        <v>-0.2328256441345383</v>
      </c>
      <c r="W142" s="269">
        <f t="shared" si="17"/>
        <v>-0.2328256441345383</v>
      </c>
      <c r="X142" s="269">
        <f t="shared" si="17"/>
        <v>0</v>
      </c>
      <c r="Y142" s="269">
        <f t="shared" si="17"/>
        <v>0</v>
      </c>
      <c r="Z142" s="268"/>
      <c r="AA142" s="268"/>
    </row>
    <row r="143" spans="4:27" x14ac:dyDescent="0.25">
      <c r="D143" s="75"/>
      <c r="E143" s="75"/>
      <c r="F143" s="256" t="s">
        <v>199</v>
      </c>
      <c r="G143" t="s">
        <v>270</v>
      </c>
      <c r="H143" s="268"/>
      <c r="I143" s="268"/>
      <c r="J143" s="269">
        <f t="shared" ref="J143:Y143" si="18">hundred * $H38 * J63 / $H51 * J$78 / hours_in_year</f>
        <v>0.21298852823367748</v>
      </c>
      <c r="K143" s="269">
        <f t="shared" si="18"/>
        <v>0.21298852823367748</v>
      </c>
      <c r="L143" s="269">
        <f t="shared" si="18"/>
        <v>0.16150853928759201</v>
      </c>
      <c r="M143" s="269">
        <f t="shared" si="18"/>
        <v>0.16150853928759201</v>
      </c>
      <c r="N143" s="269">
        <f t="shared" si="18"/>
        <v>0.13928897927021588</v>
      </c>
      <c r="O143" s="269">
        <f t="shared" si="18"/>
        <v>0.1240306332523618</v>
      </c>
      <c r="P143" s="269">
        <f t="shared" si="18"/>
        <v>0</v>
      </c>
      <c r="Q143" s="269">
        <f t="shared" si="18"/>
        <v>0.19177221604970054</v>
      </c>
      <c r="R143" s="269">
        <f t="shared" si="18"/>
        <v>-9.6800969836664738E-2</v>
      </c>
      <c r="S143" s="269">
        <f t="shared" si="18"/>
        <v>0</v>
      </c>
      <c r="T143" s="269">
        <f t="shared" si="18"/>
        <v>-9.6800969836664738E-2</v>
      </c>
      <c r="U143" s="269">
        <f t="shared" si="18"/>
        <v>-9.6800969836664738E-2</v>
      </c>
      <c r="V143" s="269">
        <f t="shared" si="18"/>
        <v>0</v>
      </c>
      <c r="W143" s="269">
        <f t="shared" si="18"/>
        <v>0</v>
      </c>
      <c r="X143" s="269">
        <f t="shared" si="18"/>
        <v>0</v>
      </c>
      <c r="Y143" s="269">
        <f t="shared" si="18"/>
        <v>0</v>
      </c>
      <c r="Z143" s="268"/>
      <c r="AA143" s="268"/>
    </row>
    <row r="144" spans="4:27" x14ac:dyDescent="0.25">
      <c r="D144" s="75"/>
      <c r="E144" s="75"/>
      <c r="F144" s="258" t="s">
        <v>200</v>
      </c>
      <c r="G144" s="96" t="s">
        <v>270</v>
      </c>
      <c r="H144" s="270"/>
      <c r="I144" s="270"/>
      <c r="J144" s="271">
        <f t="shared" ref="J144:Y144" si="19">hundred * $H39 * J64 / $H52 * J$78 / hours_in_year</f>
        <v>0.52561416694976126</v>
      </c>
      <c r="K144" s="271">
        <f t="shared" si="19"/>
        <v>0.52561416694976126</v>
      </c>
      <c r="L144" s="271">
        <f t="shared" si="19"/>
        <v>0.39857158992048286</v>
      </c>
      <c r="M144" s="271">
        <f t="shared" si="19"/>
        <v>0.39857158992048286</v>
      </c>
      <c r="N144" s="271">
        <f t="shared" si="19"/>
        <v>0.34373804735658464</v>
      </c>
      <c r="O144" s="271">
        <f t="shared" si="19"/>
        <v>0</v>
      </c>
      <c r="P144" s="271">
        <f t="shared" si="19"/>
        <v>0</v>
      </c>
      <c r="Q144" s="271">
        <f t="shared" si="19"/>
        <v>0.47325644446203985</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control'!$H$42:$H$65,MATCH($A$1,'Version control'!$F$42:$F$65,0),1)&amp;"-C: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581</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582</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155</v>
      </c>
      <c r="J150" s="261"/>
      <c r="K150" s="261"/>
      <c r="L150" s="261"/>
      <c r="M150" s="261"/>
      <c r="N150" s="261"/>
      <c r="O150" s="261"/>
      <c r="P150" s="261"/>
      <c r="Q150" s="261"/>
      <c r="R150" s="261"/>
      <c r="S150" s="261"/>
      <c r="T150" s="261"/>
      <c r="U150" s="261"/>
      <c r="V150" s="261"/>
      <c r="W150" s="261"/>
      <c r="X150" s="261"/>
      <c r="Y150" s="261"/>
      <c r="AA150" t="s">
        <v>583</v>
      </c>
    </row>
    <row r="151" spans="3:27" x14ac:dyDescent="0.25">
      <c r="E151" s="75" t="s">
        <v>579</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190</v>
      </c>
      <c r="G152" s="95" t="s">
        <v>270</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192</v>
      </c>
      <c r="G153" t="s">
        <v>270</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193</v>
      </c>
      <c r="G154" t="s">
        <v>270</v>
      </c>
      <c r="H154" s="268"/>
      <c r="I154" s="268"/>
      <c r="J154" s="269">
        <f t="shared" ref="J154:Y154" si="22">hundred * $H20 * J57 / $H45 * J83 * (1 - J69) / hours_in_year</f>
        <v>4.1835646619113733</v>
      </c>
      <c r="K154" s="269">
        <f t="shared" si="22"/>
        <v>4.1835646619113733</v>
      </c>
      <c r="L154" s="269">
        <f t="shared" si="22"/>
        <v>4.0928496325504371</v>
      </c>
      <c r="M154" s="269">
        <f t="shared" si="22"/>
        <v>4.0928496325504371</v>
      </c>
      <c r="N154" s="269">
        <f t="shared" si="22"/>
        <v>3.1548657414650472</v>
      </c>
      <c r="O154" s="269">
        <f t="shared" si="22"/>
        <v>2.9367552046487644</v>
      </c>
      <c r="P154" s="269">
        <f t="shared" si="22"/>
        <v>2.6612232368984698</v>
      </c>
      <c r="Q154" s="269">
        <f t="shared" si="22"/>
        <v>9.1108363475313343</v>
      </c>
      <c r="R154" s="269">
        <f t="shared" si="22"/>
        <v>-2.5172791160939854</v>
      </c>
      <c r="S154" s="269">
        <f t="shared" si="22"/>
        <v>-2.4840946456370019</v>
      </c>
      <c r="T154" s="269">
        <f t="shared" si="22"/>
        <v>-2.5172791160939854</v>
      </c>
      <c r="U154" s="269">
        <f t="shared" si="22"/>
        <v>-2.5172791160939854</v>
      </c>
      <c r="V154" s="269">
        <f t="shared" si="22"/>
        <v>-2.4840946456370019</v>
      </c>
      <c r="W154" s="269">
        <f t="shared" si="22"/>
        <v>-2.4840946456370019</v>
      </c>
      <c r="X154" s="269">
        <f t="shared" si="22"/>
        <v>-2.4509101751800193</v>
      </c>
      <c r="Y154" s="269">
        <f t="shared" si="22"/>
        <v>-2.4509101751800193</v>
      </c>
      <c r="Z154" s="268"/>
      <c r="AA154" s="268"/>
    </row>
    <row r="155" spans="3:27" x14ac:dyDescent="0.25">
      <c r="E155" s="75"/>
      <c r="F155" s="256" t="s">
        <v>194</v>
      </c>
      <c r="G155" t="s">
        <v>270</v>
      </c>
      <c r="H155" s="268"/>
      <c r="I155" s="268"/>
      <c r="J155" s="269">
        <f t="shared" ref="J155:Y155" si="23">hundred * $H21 * J58 / $H46 * J84 * (1 - J70) / hours_in_year</f>
        <v>0.59925998621765775</v>
      </c>
      <c r="K155" s="269">
        <f t="shared" si="23"/>
        <v>0.59925998621765775</v>
      </c>
      <c r="L155" s="269">
        <f t="shared" si="23"/>
        <v>0.58626583131920507</v>
      </c>
      <c r="M155" s="269">
        <f t="shared" si="23"/>
        <v>0.58626583131920507</v>
      </c>
      <c r="N155" s="269">
        <f t="shared" si="23"/>
        <v>0.4519076322547243</v>
      </c>
      <c r="O155" s="269">
        <f t="shared" si="23"/>
        <v>0.42066515655536807</v>
      </c>
      <c r="P155" s="269">
        <f t="shared" si="23"/>
        <v>0.38119755021003476</v>
      </c>
      <c r="Q155" s="269">
        <f t="shared" si="23"/>
        <v>1.3050496658413129</v>
      </c>
      <c r="R155" s="269">
        <f t="shared" si="23"/>
        <v>-0.36057878157123513</v>
      </c>
      <c r="S155" s="269">
        <f t="shared" si="23"/>
        <v>-0.35582538897048444</v>
      </c>
      <c r="T155" s="269">
        <f t="shared" si="23"/>
        <v>-0.36057878157123513</v>
      </c>
      <c r="U155" s="269">
        <f t="shared" si="23"/>
        <v>-0.36057878157123513</v>
      </c>
      <c r="V155" s="269">
        <f t="shared" si="23"/>
        <v>-0.35582538897048444</v>
      </c>
      <c r="W155" s="269">
        <f t="shared" si="23"/>
        <v>-0.35582538897048444</v>
      </c>
      <c r="X155" s="269">
        <f t="shared" si="23"/>
        <v>-0.35107199636973363</v>
      </c>
      <c r="Y155" s="269">
        <f t="shared" si="23"/>
        <v>-0.35107199636973363</v>
      </c>
      <c r="Z155" s="268"/>
      <c r="AA155" s="268"/>
    </row>
    <row r="156" spans="3:27" x14ac:dyDescent="0.25">
      <c r="E156" s="75"/>
      <c r="F156" s="256" t="s">
        <v>195</v>
      </c>
      <c r="G156" t="s">
        <v>270</v>
      </c>
      <c r="H156" s="268"/>
      <c r="I156" s="268"/>
      <c r="J156" s="269">
        <f t="shared" ref="J156:Y156" si="24">hundred * $H22 * J59 / $H47 * J85 * (1 - J71) / hours_in_year</f>
        <v>1.251236085638566</v>
      </c>
      <c r="K156" s="269">
        <f t="shared" si="24"/>
        <v>1.251236085638566</v>
      </c>
      <c r="L156" s="269">
        <f t="shared" si="24"/>
        <v>1.2241046971172977</v>
      </c>
      <c r="M156" s="269">
        <f t="shared" si="24"/>
        <v>1.2241046971172977</v>
      </c>
      <c r="N156" s="269">
        <f t="shared" si="24"/>
        <v>0.94356898484328111</v>
      </c>
      <c r="O156" s="269">
        <f t="shared" si="24"/>
        <v>0.87833567392850553</v>
      </c>
      <c r="P156" s="269">
        <f t="shared" si="24"/>
        <v>0.79592854779156674</v>
      </c>
      <c r="Q156" s="269">
        <f t="shared" si="24"/>
        <v>2.7547424204406159</v>
      </c>
      <c r="R156" s="269">
        <f t="shared" si="24"/>
        <v>-0.75287720454214724</v>
      </c>
      <c r="S156" s="269">
        <f t="shared" si="24"/>
        <v>-0.74295226964234495</v>
      </c>
      <c r="T156" s="269">
        <f t="shared" si="24"/>
        <v>-0.75287720454214724</v>
      </c>
      <c r="U156" s="269">
        <f t="shared" si="24"/>
        <v>-0.75287720454214724</v>
      </c>
      <c r="V156" s="269">
        <f t="shared" si="24"/>
        <v>-0.74295226964234495</v>
      </c>
      <c r="W156" s="269">
        <f t="shared" si="24"/>
        <v>-0.74295226964234495</v>
      </c>
      <c r="X156" s="269">
        <f t="shared" si="24"/>
        <v>-0.73302733474254256</v>
      </c>
      <c r="Y156" s="269">
        <f t="shared" si="24"/>
        <v>-0.73302733474254256</v>
      </c>
      <c r="Z156" s="268"/>
      <c r="AA156" s="268"/>
    </row>
    <row r="157" spans="3:27" x14ac:dyDescent="0.25">
      <c r="E157" s="75"/>
      <c r="F157" s="256" t="s">
        <v>196</v>
      </c>
      <c r="G157" t="s">
        <v>270</v>
      </c>
      <c r="H157" s="268"/>
      <c r="I157" s="268"/>
      <c r="J157" s="269">
        <f t="shared" ref="J157:Y157" si="25">hundred * $H23 * J60 / $H48 * J86 * (1 - J72) / hours_in_year</f>
        <v>0.9896766370006248</v>
      </c>
      <c r="K157" s="269">
        <f t="shared" si="25"/>
        <v>0.9896766370006248</v>
      </c>
      <c r="L157" s="269">
        <f t="shared" si="25"/>
        <v>0.96821681686189975</v>
      </c>
      <c r="M157" s="269">
        <f t="shared" si="25"/>
        <v>0.96821681686189975</v>
      </c>
      <c r="N157" s="269">
        <f t="shared" si="25"/>
        <v>0.74632452693467077</v>
      </c>
      <c r="O157" s="269">
        <f t="shared" si="25"/>
        <v>0.69472764245574914</v>
      </c>
      <c r="P157" s="269">
        <f t="shared" si="25"/>
        <v>0.62954697160060058</v>
      </c>
      <c r="Q157" s="269">
        <f t="shared" si="25"/>
        <v>2.1788887371109231</v>
      </c>
      <c r="R157" s="269">
        <f t="shared" si="25"/>
        <v>-0.59549511752247841</v>
      </c>
      <c r="S157" s="269">
        <f t="shared" si="25"/>
        <v>-0.58764489940071318</v>
      </c>
      <c r="T157" s="269">
        <f t="shared" si="25"/>
        <v>-0.59549511752247841</v>
      </c>
      <c r="U157" s="269">
        <f t="shared" si="25"/>
        <v>-0.59549511752247841</v>
      </c>
      <c r="V157" s="269">
        <f t="shared" si="25"/>
        <v>-0.58764489940071318</v>
      </c>
      <c r="W157" s="269">
        <f t="shared" si="25"/>
        <v>-0.58764489940071318</v>
      </c>
      <c r="X157" s="269">
        <f t="shared" si="25"/>
        <v>-0.57979468127894795</v>
      </c>
      <c r="Y157" s="269">
        <f t="shared" si="25"/>
        <v>-0.57979468127894795</v>
      </c>
      <c r="Z157" s="268"/>
      <c r="AA157" s="268"/>
    </row>
    <row r="158" spans="3:27" x14ac:dyDescent="0.25">
      <c r="E158" s="75"/>
      <c r="F158" s="256" t="s">
        <v>197</v>
      </c>
      <c r="G158" t="s">
        <v>270</v>
      </c>
      <c r="H158" s="268"/>
      <c r="I158" s="268"/>
      <c r="J158" s="269">
        <f t="shared" ref="J158:Y158" si="26">hundred * $H24 * J61 / $H49 * J87 * (1 - J73) / hours_in_year</f>
        <v>0</v>
      </c>
      <c r="K158" s="269">
        <f t="shared" si="26"/>
        <v>0</v>
      </c>
      <c r="L158" s="269">
        <f t="shared" si="26"/>
        <v>0</v>
      </c>
      <c r="M158" s="269">
        <f t="shared" si="26"/>
        <v>0</v>
      </c>
      <c r="N158" s="269">
        <f t="shared" si="26"/>
        <v>0</v>
      </c>
      <c r="O158" s="269">
        <f t="shared" si="26"/>
        <v>0</v>
      </c>
      <c r="P158" s="269">
        <f t="shared" si="26"/>
        <v>0</v>
      </c>
      <c r="Q158" s="269">
        <f t="shared" si="26"/>
        <v>0</v>
      </c>
      <c r="R158" s="269">
        <f t="shared" si="26"/>
        <v>0</v>
      </c>
      <c r="S158" s="269">
        <f t="shared" si="26"/>
        <v>0</v>
      </c>
      <c r="T158" s="269">
        <f t="shared" si="26"/>
        <v>0</v>
      </c>
      <c r="U158" s="269">
        <f t="shared" si="26"/>
        <v>0</v>
      </c>
      <c r="V158" s="269">
        <f t="shared" si="26"/>
        <v>0</v>
      </c>
      <c r="W158" s="269">
        <f t="shared" si="26"/>
        <v>0</v>
      </c>
      <c r="X158" s="269">
        <f t="shared" si="26"/>
        <v>0</v>
      </c>
      <c r="Y158" s="269">
        <f t="shared" si="26"/>
        <v>0</v>
      </c>
      <c r="Z158" s="268"/>
      <c r="AA158" s="268"/>
    </row>
    <row r="159" spans="3:27" x14ac:dyDescent="0.25">
      <c r="E159" s="75"/>
      <c r="F159" s="256" t="s">
        <v>198</v>
      </c>
      <c r="G159" t="s">
        <v>270</v>
      </c>
      <c r="H159" s="268"/>
      <c r="I159" s="268"/>
      <c r="J159" s="269">
        <f t="shared" ref="J159:Y159" si="27">hundred * $H25 * J62 / $H50 * J88 * (1 - J74) / hours_in_year</f>
        <v>4.5574695435929051</v>
      </c>
      <c r="K159" s="269">
        <f t="shared" si="27"/>
        <v>4.5574695435929051</v>
      </c>
      <c r="L159" s="269">
        <f t="shared" si="27"/>
        <v>4.4586468847195713</v>
      </c>
      <c r="M159" s="269">
        <f t="shared" si="27"/>
        <v>4.4586468847195713</v>
      </c>
      <c r="N159" s="269">
        <f t="shared" si="27"/>
        <v>3.4368309546535221</v>
      </c>
      <c r="O159" s="269">
        <f t="shared" si="27"/>
        <v>3.1992268516915381</v>
      </c>
      <c r="P159" s="269">
        <f t="shared" si="27"/>
        <v>2.8990692940133269</v>
      </c>
      <c r="Q159" s="269">
        <f t="shared" si="27"/>
        <v>10.03380163480041</v>
      </c>
      <c r="R159" s="269">
        <f t="shared" si="27"/>
        <v>-2.7422602090436738</v>
      </c>
      <c r="S159" s="269">
        <f t="shared" si="27"/>
        <v>-2.7061098861372597</v>
      </c>
      <c r="T159" s="269">
        <f t="shared" si="27"/>
        <v>-2.7422602090436738</v>
      </c>
      <c r="U159" s="269">
        <f t="shared" si="27"/>
        <v>-2.7422602090436738</v>
      </c>
      <c r="V159" s="269">
        <f t="shared" si="27"/>
        <v>-2.7061098861372597</v>
      </c>
      <c r="W159" s="269">
        <f t="shared" si="27"/>
        <v>-2.7061098861372597</v>
      </c>
      <c r="X159" s="269">
        <f t="shared" si="27"/>
        <v>0</v>
      </c>
      <c r="Y159" s="269">
        <f t="shared" si="27"/>
        <v>0</v>
      </c>
      <c r="Z159" s="268"/>
      <c r="AA159" s="268"/>
    </row>
    <row r="160" spans="3:27" x14ac:dyDescent="0.25">
      <c r="E160" s="75"/>
      <c r="F160" s="256" t="s">
        <v>199</v>
      </c>
      <c r="G160" t="s">
        <v>270</v>
      </c>
      <c r="H160" s="268"/>
      <c r="I160" s="268"/>
      <c r="J160" s="269">
        <f t="shared" ref="J160:Y160" si="28">hundred * $H26 * J63 / $H51 * J89 * (1 - J75) / hours_in_year</f>
        <v>1.8698614853645636</v>
      </c>
      <c r="K160" s="269">
        <f t="shared" si="28"/>
        <v>1.8698614853645636</v>
      </c>
      <c r="L160" s="269">
        <f t="shared" si="28"/>
        <v>1.8293160287375749</v>
      </c>
      <c r="M160" s="269">
        <f t="shared" si="28"/>
        <v>1.8293160287375749</v>
      </c>
      <c r="N160" s="269">
        <f t="shared" si="28"/>
        <v>1.4100802588686223</v>
      </c>
      <c r="O160" s="269">
        <f t="shared" si="28"/>
        <v>1.3125948546012896</v>
      </c>
      <c r="P160" s="269">
        <f t="shared" si="28"/>
        <v>0</v>
      </c>
      <c r="Q160" s="269">
        <f t="shared" si="28"/>
        <v>4.1167185099629435</v>
      </c>
      <c r="R160" s="269">
        <f t="shared" si="28"/>
        <v>-1.1251082862302872</v>
      </c>
      <c r="S160" s="269">
        <f t="shared" si="28"/>
        <v>0</v>
      </c>
      <c r="T160" s="269">
        <f t="shared" si="28"/>
        <v>-1.1251082862302872</v>
      </c>
      <c r="U160" s="269">
        <f t="shared" si="28"/>
        <v>-1.1251082862302872</v>
      </c>
      <c r="V160" s="269">
        <f t="shared" si="28"/>
        <v>0</v>
      </c>
      <c r="W160" s="269">
        <f t="shared" si="28"/>
        <v>0</v>
      </c>
      <c r="X160" s="269">
        <f t="shared" si="28"/>
        <v>0</v>
      </c>
      <c r="Y160" s="269">
        <f t="shared" si="28"/>
        <v>0</v>
      </c>
      <c r="Z160" s="268"/>
      <c r="AA160" s="268"/>
    </row>
    <row r="161" spans="3:27" x14ac:dyDescent="0.25">
      <c r="E161" s="75"/>
      <c r="F161" s="258" t="s">
        <v>200</v>
      </c>
      <c r="G161" s="96" t="s">
        <v>270</v>
      </c>
      <c r="H161" s="270"/>
      <c r="I161" s="270"/>
      <c r="J161" s="271">
        <f t="shared" ref="J161:Y161" si="29">hundred * $H27 * J64 / $H52 * J90 * (1 - J76) / hours_in_year</f>
        <v>4.6144536285214599</v>
      </c>
      <c r="K161" s="271">
        <f t="shared" si="29"/>
        <v>4.6144536285214599</v>
      </c>
      <c r="L161" s="271">
        <f t="shared" si="29"/>
        <v>4.5143953456396186</v>
      </c>
      <c r="M161" s="271">
        <f t="shared" si="29"/>
        <v>4.5143953456396186</v>
      </c>
      <c r="N161" s="271">
        <f t="shared" si="29"/>
        <v>3.479803192894892</v>
      </c>
      <c r="O161" s="271">
        <f t="shared" si="29"/>
        <v>0</v>
      </c>
      <c r="P161" s="271">
        <f t="shared" si="29"/>
        <v>0</v>
      </c>
      <c r="Q161" s="271">
        <f t="shared" si="29"/>
        <v>10.15925875503889</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580</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190</v>
      </c>
      <c r="G164" s="95" t="s">
        <v>270</v>
      </c>
      <c r="H164" s="266"/>
      <c r="I164" s="266"/>
      <c r="J164" s="267">
        <f t="shared" ref="J164:Y164" si="30">hundred * $H30 * J55 / $H43 * J81 / hours_in_year</f>
        <v>1.5285027400517139</v>
      </c>
      <c r="K164" s="267">
        <f t="shared" si="30"/>
        <v>1.5285027400517139</v>
      </c>
      <c r="L164" s="267">
        <f t="shared" si="30"/>
        <v>1.4953591933044974</v>
      </c>
      <c r="M164" s="267">
        <f t="shared" si="30"/>
        <v>1.4953591933044974</v>
      </c>
      <c r="N164" s="267">
        <f t="shared" si="30"/>
        <v>1.1526583954176166</v>
      </c>
      <c r="O164" s="267">
        <f t="shared" si="30"/>
        <v>1.0729697614177482</v>
      </c>
      <c r="P164" s="267">
        <f t="shared" si="30"/>
        <v>0.97230169441917325</v>
      </c>
      <c r="Q164" s="267">
        <f t="shared" si="30"/>
        <v>3.5870200135481278</v>
      </c>
      <c r="R164" s="267">
        <f t="shared" si="30"/>
        <v>-0.91971042337533826</v>
      </c>
      <c r="S164" s="267">
        <f t="shared" si="30"/>
        <v>-0.90758618050598361</v>
      </c>
      <c r="T164" s="267">
        <f t="shared" si="30"/>
        <v>-0.91971042337533826</v>
      </c>
      <c r="U164" s="267">
        <f t="shared" si="30"/>
        <v>-0.91971042337533826</v>
      </c>
      <c r="V164" s="267">
        <f t="shared" si="30"/>
        <v>-0.90758618050598361</v>
      </c>
      <c r="W164" s="267">
        <f t="shared" si="30"/>
        <v>-0.90758618050598361</v>
      </c>
      <c r="X164" s="267">
        <f t="shared" si="30"/>
        <v>-0.89546193763662885</v>
      </c>
      <c r="Y164" s="267">
        <f t="shared" si="30"/>
        <v>-0.89546193763662885</v>
      </c>
      <c r="Z164" s="268"/>
      <c r="AA164" s="268"/>
    </row>
    <row r="165" spans="3:27" x14ac:dyDescent="0.25">
      <c r="D165" s="75"/>
      <c r="E165" s="75"/>
      <c r="F165" s="256" t="s">
        <v>192</v>
      </c>
      <c r="G165" t="s">
        <v>270</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193</v>
      </c>
      <c r="G166" t="s">
        <v>270</v>
      </c>
      <c r="H166" s="268"/>
      <c r="I166" s="268"/>
      <c r="J166" s="269">
        <f t="shared" ref="J166:Y166" si="32">hundred * $H32 * J57 / $H45 * J83 / hours_in_year</f>
        <v>3.239459599556437</v>
      </c>
      <c r="K166" s="269">
        <f t="shared" si="32"/>
        <v>3.239459599556437</v>
      </c>
      <c r="L166" s="269">
        <f t="shared" si="32"/>
        <v>3.1692162314156738</v>
      </c>
      <c r="M166" s="269">
        <f t="shared" si="32"/>
        <v>3.1692162314156738</v>
      </c>
      <c r="N166" s="269">
        <f t="shared" si="32"/>
        <v>2.4429071706594292</v>
      </c>
      <c r="O166" s="269">
        <f t="shared" si="32"/>
        <v>2.2740176399951406</v>
      </c>
      <c r="P166" s="269">
        <f t="shared" si="32"/>
        <v>2.0606649730602475</v>
      </c>
      <c r="Q166" s="269">
        <f t="shared" si="32"/>
        <v>7.054793854318901</v>
      </c>
      <c r="R166" s="269">
        <f t="shared" si="32"/>
        <v>-1.949204722861376</v>
      </c>
      <c r="S166" s="269">
        <f t="shared" si="32"/>
        <v>-1.9235089920515269</v>
      </c>
      <c r="T166" s="269">
        <f t="shared" si="32"/>
        <v>-1.949204722861376</v>
      </c>
      <c r="U166" s="269">
        <f t="shared" si="32"/>
        <v>-1.949204722861376</v>
      </c>
      <c r="V166" s="269">
        <f t="shared" si="32"/>
        <v>-1.9235089920515269</v>
      </c>
      <c r="W166" s="269">
        <f t="shared" si="32"/>
        <v>-1.9235089920515269</v>
      </c>
      <c r="X166" s="269">
        <f t="shared" si="32"/>
        <v>-1.8978132612416783</v>
      </c>
      <c r="Y166" s="269">
        <f t="shared" si="32"/>
        <v>-1.8978132612416783</v>
      </c>
      <c r="Z166" s="268"/>
      <c r="AA166" s="268"/>
    </row>
    <row r="167" spans="3:27" x14ac:dyDescent="0.25">
      <c r="D167" s="75"/>
      <c r="E167" s="75"/>
      <c r="F167" s="256" t="s">
        <v>194</v>
      </c>
      <c r="G167" t="s">
        <v>270</v>
      </c>
      <c r="H167" s="268"/>
      <c r="I167" s="268"/>
      <c r="J167" s="269">
        <f t="shared" ref="J167:Y167" si="33">hundred * $H33 * J58 / $H46 * J84 / hours_in_year</f>
        <v>0.46402498153235783</v>
      </c>
      <c r="K167" s="269">
        <f t="shared" si="33"/>
        <v>0.46402498153235783</v>
      </c>
      <c r="L167" s="269">
        <f t="shared" si="33"/>
        <v>0.45396321764780395</v>
      </c>
      <c r="M167" s="269">
        <f t="shared" si="33"/>
        <v>0.45396321764780395</v>
      </c>
      <c r="N167" s="269">
        <f t="shared" si="33"/>
        <v>0.34992563417235401</v>
      </c>
      <c r="O167" s="269">
        <f t="shared" si="33"/>
        <v>0.32573364815152639</v>
      </c>
      <c r="P167" s="269">
        <f t="shared" si="33"/>
        <v>0.29517269676695018</v>
      </c>
      <c r="Q167" s="269">
        <f t="shared" si="33"/>
        <v>1.0105390999206032</v>
      </c>
      <c r="R167" s="269">
        <f t="shared" si="33"/>
        <v>-0.27920696577058113</v>
      </c>
      <c r="S167" s="269">
        <f t="shared" si="33"/>
        <v>-0.27552627130656215</v>
      </c>
      <c r="T167" s="269">
        <f t="shared" si="33"/>
        <v>-0.27920696577058113</v>
      </c>
      <c r="U167" s="269">
        <f t="shared" si="33"/>
        <v>-0.27920696577058113</v>
      </c>
      <c r="V167" s="269">
        <f t="shared" si="33"/>
        <v>-0.27552627130656215</v>
      </c>
      <c r="W167" s="269">
        <f t="shared" si="33"/>
        <v>-0.27552627130656215</v>
      </c>
      <c r="X167" s="269">
        <f t="shared" si="33"/>
        <v>-0.27184557684254324</v>
      </c>
      <c r="Y167" s="269">
        <f t="shared" si="33"/>
        <v>-0.27184557684254324</v>
      </c>
      <c r="Z167" s="268"/>
      <c r="AA167" s="268"/>
    </row>
    <row r="168" spans="3:27" x14ac:dyDescent="0.25">
      <c r="D168" s="75"/>
      <c r="E168" s="75"/>
      <c r="F168" s="256" t="s">
        <v>195</v>
      </c>
      <c r="G168" t="s">
        <v>270</v>
      </c>
      <c r="H168" s="268"/>
      <c r="I168" s="268"/>
      <c r="J168" s="269">
        <f t="shared" ref="J168:Y168" si="34">hundred * $H34 * J59 / $H47 * J85 / hours_in_year</f>
        <v>0.96886963068509169</v>
      </c>
      <c r="K168" s="269">
        <f t="shared" si="34"/>
        <v>0.96886963068509169</v>
      </c>
      <c r="L168" s="269">
        <f t="shared" si="34"/>
        <v>0.9478609827742065</v>
      </c>
      <c r="M168" s="269">
        <f t="shared" si="34"/>
        <v>0.9478609827742065</v>
      </c>
      <c r="N168" s="269">
        <f t="shared" si="34"/>
        <v>0.73063376637228183</v>
      </c>
      <c r="O168" s="269">
        <f t="shared" si="34"/>
        <v>0.68012165712304395</v>
      </c>
      <c r="P168" s="269">
        <f t="shared" si="34"/>
        <v>0.61631134763587103</v>
      </c>
      <c r="Q168" s="269">
        <f t="shared" si="34"/>
        <v>2.133079681891322</v>
      </c>
      <c r="R168" s="269">
        <f t="shared" si="34"/>
        <v>-0.58297540127585601</v>
      </c>
      <c r="S168" s="269">
        <f t="shared" si="34"/>
        <v>-0.57529022649444184</v>
      </c>
      <c r="T168" s="269">
        <f t="shared" si="34"/>
        <v>-0.58297540127585601</v>
      </c>
      <c r="U168" s="269">
        <f t="shared" si="34"/>
        <v>-0.58297540127585601</v>
      </c>
      <c r="V168" s="269">
        <f t="shared" si="34"/>
        <v>-0.57529022649444184</v>
      </c>
      <c r="W168" s="269">
        <f t="shared" si="34"/>
        <v>-0.57529022649444184</v>
      </c>
      <c r="X168" s="269">
        <f t="shared" si="34"/>
        <v>-0.56760505171302755</v>
      </c>
      <c r="Y168" s="269">
        <f t="shared" si="34"/>
        <v>-0.56760505171302755</v>
      </c>
      <c r="Z168" s="268"/>
      <c r="AA168" s="268"/>
    </row>
    <row r="169" spans="3:27" x14ac:dyDescent="0.25">
      <c r="D169" s="75"/>
      <c r="E169" s="75"/>
      <c r="F169" s="256" t="s">
        <v>196</v>
      </c>
      <c r="G169" t="s">
        <v>270</v>
      </c>
      <c r="H169" s="268"/>
      <c r="I169" s="268"/>
      <c r="J169" s="269">
        <f t="shared" ref="J169:Y169" si="35">hundred * $H35 * J60 / $H48 * J86 / hours_in_year</f>
        <v>0.76633630439063194</v>
      </c>
      <c r="K169" s="269">
        <f t="shared" si="35"/>
        <v>0.76633630439063194</v>
      </c>
      <c r="L169" s="269">
        <f t="shared" si="35"/>
        <v>0.74971932199137192</v>
      </c>
      <c r="M169" s="269">
        <f t="shared" si="35"/>
        <v>0.74971932199137192</v>
      </c>
      <c r="N169" s="269">
        <f t="shared" si="35"/>
        <v>0.57790146646337492</v>
      </c>
      <c r="O169" s="269">
        <f t="shared" si="35"/>
        <v>0.53794845121439294</v>
      </c>
      <c r="P169" s="269">
        <f t="shared" si="35"/>
        <v>0.48747710274220996</v>
      </c>
      <c r="Q169" s="269">
        <f t="shared" si="35"/>
        <v>1.6871789027337643</v>
      </c>
      <c r="R169" s="269">
        <f t="shared" si="35"/>
        <v>-0.46110973077820883</v>
      </c>
      <c r="S169" s="269">
        <f t="shared" si="35"/>
        <v>-0.45503107142708371</v>
      </c>
      <c r="T169" s="269">
        <f t="shared" si="35"/>
        <v>-0.46110973077820883</v>
      </c>
      <c r="U169" s="269">
        <f t="shared" si="35"/>
        <v>-0.46110973077820883</v>
      </c>
      <c r="V169" s="269">
        <f t="shared" si="35"/>
        <v>-0.45503107142708371</v>
      </c>
      <c r="W169" s="269">
        <f t="shared" si="35"/>
        <v>-0.45503107142708371</v>
      </c>
      <c r="X169" s="269">
        <f t="shared" si="35"/>
        <v>-0.44895241207595854</v>
      </c>
      <c r="Y169" s="269">
        <f t="shared" si="35"/>
        <v>-0.44895241207595854</v>
      </c>
      <c r="Z169" s="268"/>
      <c r="AA169" s="268"/>
    </row>
    <row r="170" spans="3:27" x14ac:dyDescent="0.25">
      <c r="D170" s="75"/>
      <c r="E170" s="75"/>
      <c r="F170" s="256" t="s">
        <v>197</v>
      </c>
      <c r="G170" t="s">
        <v>270</v>
      </c>
      <c r="H170" s="268"/>
      <c r="I170" s="268"/>
      <c r="J170" s="269">
        <f t="shared" ref="J170:Y170" si="36">hundred * $H36 * J61 / $H49 * J87 / hours_in_year</f>
        <v>0</v>
      </c>
      <c r="K170" s="269">
        <f t="shared" si="36"/>
        <v>0</v>
      </c>
      <c r="L170" s="269">
        <f t="shared" si="36"/>
        <v>0</v>
      </c>
      <c r="M170" s="269">
        <f t="shared" si="36"/>
        <v>0</v>
      </c>
      <c r="N170" s="269">
        <f t="shared" si="36"/>
        <v>0</v>
      </c>
      <c r="O170" s="269">
        <f t="shared" si="36"/>
        <v>0</v>
      </c>
      <c r="P170" s="269">
        <f t="shared" si="36"/>
        <v>0</v>
      </c>
      <c r="Q170" s="269">
        <f t="shared" si="36"/>
        <v>0</v>
      </c>
      <c r="R170" s="269">
        <f t="shared" si="36"/>
        <v>0</v>
      </c>
      <c r="S170" s="269">
        <f t="shared" si="36"/>
        <v>0</v>
      </c>
      <c r="T170" s="269">
        <f t="shared" si="36"/>
        <v>0</v>
      </c>
      <c r="U170" s="269">
        <f t="shared" si="36"/>
        <v>0</v>
      </c>
      <c r="V170" s="269">
        <f t="shared" si="36"/>
        <v>0</v>
      </c>
      <c r="W170" s="269">
        <f t="shared" si="36"/>
        <v>0</v>
      </c>
      <c r="X170" s="269">
        <f t="shared" si="36"/>
        <v>0</v>
      </c>
      <c r="Y170" s="269">
        <f t="shared" si="36"/>
        <v>0</v>
      </c>
      <c r="Z170" s="268"/>
      <c r="AA170" s="268"/>
    </row>
    <row r="171" spans="3:27" x14ac:dyDescent="0.25">
      <c r="D171" s="75"/>
      <c r="E171" s="75"/>
      <c r="F171" s="256" t="s">
        <v>198</v>
      </c>
      <c r="G171" t="s">
        <v>270</v>
      </c>
      <c r="H171" s="268"/>
      <c r="I171" s="268"/>
      <c r="J171" s="269">
        <f t="shared" ref="J171:Y171" si="37">hundred * $H37 * J62 / $H50 * J88 / hours_in_year</f>
        <v>3.5289853643454676</v>
      </c>
      <c r="K171" s="269">
        <f t="shared" si="37"/>
        <v>3.5289853643454676</v>
      </c>
      <c r="L171" s="269">
        <f t="shared" si="37"/>
        <v>3.4524640154930148</v>
      </c>
      <c r="M171" s="269">
        <f t="shared" si="37"/>
        <v>3.4524640154930148</v>
      </c>
      <c r="N171" s="269">
        <f t="shared" si="37"/>
        <v>2.6612412924958688</v>
      </c>
      <c r="O171" s="269">
        <f t="shared" si="37"/>
        <v>2.4772573088749406</v>
      </c>
      <c r="P171" s="269">
        <f t="shared" si="37"/>
        <v>2.244836309038917</v>
      </c>
      <c r="Q171" s="269">
        <f t="shared" si="37"/>
        <v>7.7694735596721705</v>
      </c>
      <c r="R171" s="269">
        <f t="shared" si="37"/>
        <v>-2.1234143312152209</v>
      </c>
      <c r="S171" s="269">
        <f t="shared" si="37"/>
        <v>-2.0954220518959992</v>
      </c>
      <c r="T171" s="269">
        <f t="shared" si="37"/>
        <v>-2.1234143312152209</v>
      </c>
      <c r="U171" s="269">
        <f t="shared" si="37"/>
        <v>-2.1234143312152209</v>
      </c>
      <c r="V171" s="269">
        <f t="shared" si="37"/>
        <v>-2.0954220518959992</v>
      </c>
      <c r="W171" s="269">
        <f t="shared" si="37"/>
        <v>-2.0954220518959992</v>
      </c>
      <c r="X171" s="269">
        <f t="shared" si="37"/>
        <v>0</v>
      </c>
      <c r="Y171" s="269">
        <f t="shared" si="37"/>
        <v>0</v>
      </c>
      <c r="Z171" s="268"/>
      <c r="AA171" s="268"/>
    </row>
    <row r="172" spans="3:27" x14ac:dyDescent="0.25">
      <c r="D172" s="75"/>
      <c r="E172" s="75"/>
      <c r="F172" s="256" t="s">
        <v>199</v>
      </c>
      <c r="G172" t="s">
        <v>270</v>
      </c>
      <c r="H172" s="268"/>
      <c r="I172" s="268"/>
      <c r="J172" s="269">
        <f t="shared" ref="J172:Y172" si="38">hundred * $H38 * J63 / $H51 * J89 / hours_in_year</f>
        <v>1.44788983274317</v>
      </c>
      <c r="K172" s="269">
        <f t="shared" si="38"/>
        <v>1.44788983274317</v>
      </c>
      <c r="L172" s="269">
        <f t="shared" si="38"/>
        <v>1.4164942695564668</v>
      </c>
      <c r="M172" s="269">
        <f t="shared" si="38"/>
        <v>1.4164942695564668</v>
      </c>
      <c r="N172" s="269">
        <f t="shared" si="38"/>
        <v>1.0918674383892559</v>
      </c>
      <c r="O172" s="269">
        <f t="shared" si="38"/>
        <v>1.0163815658878448</v>
      </c>
      <c r="P172" s="269">
        <f t="shared" si="38"/>
        <v>0</v>
      </c>
      <c r="Q172" s="269">
        <f t="shared" si="38"/>
        <v>3.1876986191192866</v>
      </c>
      <c r="R172" s="269">
        <f t="shared" si="38"/>
        <v>-0.87120509252604628</v>
      </c>
      <c r="S172" s="269">
        <f t="shared" si="38"/>
        <v>0</v>
      </c>
      <c r="T172" s="269">
        <f t="shared" si="38"/>
        <v>-0.87120509252604628</v>
      </c>
      <c r="U172" s="269">
        <f t="shared" si="38"/>
        <v>-0.87120509252604628</v>
      </c>
      <c r="V172" s="269">
        <f t="shared" si="38"/>
        <v>0</v>
      </c>
      <c r="W172" s="269">
        <f t="shared" si="38"/>
        <v>0</v>
      </c>
      <c r="X172" s="269">
        <f t="shared" si="38"/>
        <v>0</v>
      </c>
      <c r="Y172" s="269">
        <f t="shared" si="38"/>
        <v>0</v>
      </c>
      <c r="Z172" s="268"/>
      <c r="AA172" s="268"/>
    </row>
    <row r="173" spans="3:27" x14ac:dyDescent="0.25">
      <c r="D173" s="75"/>
      <c r="E173" s="75"/>
      <c r="F173" s="258" t="s">
        <v>200</v>
      </c>
      <c r="G173" s="96" t="s">
        <v>270</v>
      </c>
      <c r="H173" s="270"/>
      <c r="I173" s="270"/>
      <c r="J173" s="271">
        <f t="shared" ref="J173:Y173" si="39">hundred * $H39 * J64 / $H52 * J90 / hours_in_year</f>
        <v>3.5731098504862913</v>
      </c>
      <c r="K173" s="271">
        <f t="shared" si="39"/>
        <v>3.5731098504862913</v>
      </c>
      <c r="L173" s="271">
        <f t="shared" si="39"/>
        <v>3.495631720902745</v>
      </c>
      <c r="M173" s="271">
        <f t="shared" si="39"/>
        <v>3.495631720902745</v>
      </c>
      <c r="N173" s="271">
        <f t="shared" si="39"/>
        <v>2.6945159854754759</v>
      </c>
      <c r="O173" s="271">
        <f t="shared" si="39"/>
        <v>0</v>
      </c>
      <c r="P173" s="271">
        <f t="shared" si="39"/>
        <v>0</v>
      </c>
      <c r="Q173" s="271">
        <f t="shared" si="39"/>
        <v>7.8666187708336901</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control'!$H$42:$H$65,MATCH($A$1,'Version control'!$F$42:$F$65,0),1)&amp;"-D: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584</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582</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155</v>
      </c>
      <c r="J179" s="261"/>
      <c r="K179" s="261"/>
      <c r="L179" s="261"/>
      <c r="M179" s="261"/>
      <c r="N179" s="261"/>
      <c r="O179" s="261"/>
      <c r="P179" s="261"/>
      <c r="Q179" s="261"/>
      <c r="R179" s="261"/>
      <c r="S179" s="261"/>
      <c r="T179" s="261"/>
      <c r="U179" s="261"/>
      <c r="V179" s="261"/>
      <c r="W179" s="261"/>
      <c r="X179" s="261"/>
      <c r="Y179" s="261"/>
      <c r="AA179" t="s">
        <v>583</v>
      </c>
    </row>
    <row r="180" spans="4:27" x14ac:dyDescent="0.25">
      <c r="E180" s="75" t="s">
        <v>579</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190</v>
      </c>
      <c r="G181" s="95" t="s">
        <v>270</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192</v>
      </c>
      <c r="G182" t="s">
        <v>270</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193</v>
      </c>
      <c r="G183" t="s">
        <v>270</v>
      </c>
      <c r="H183" s="268"/>
      <c r="I183" s="268"/>
      <c r="J183" s="269">
        <f t="shared" ref="J183:Y183" si="42">hundred * $H20 * J57 / $H45 * J95 * (1 - J69) / hours_in_year</f>
        <v>0.11455728989753813</v>
      </c>
      <c r="K183" s="269">
        <f t="shared" si="42"/>
        <v>0.11455728989753813</v>
      </c>
      <c r="L183" s="269">
        <f t="shared" si="42"/>
        <v>0.11207326759684863</v>
      </c>
      <c r="M183" s="269">
        <f t="shared" si="42"/>
        <v>0.11207326759684863</v>
      </c>
      <c r="N183" s="269">
        <f t="shared" si="42"/>
        <v>8.6388737485821973E-2</v>
      </c>
      <c r="O183" s="269">
        <f t="shared" si="42"/>
        <v>8.0416282411025747E-2</v>
      </c>
      <c r="P183" s="269">
        <f t="shared" si="42"/>
        <v>7.2871473604081527E-2</v>
      </c>
      <c r="Q183" s="269">
        <f t="shared" si="42"/>
        <v>0.12305227058159532</v>
      </c>
      <c r="R183" s="269">
        <f t="shared" si="42"/>
        <v>-6.8929895139626343E-2</v>
      </c>
      <c r="S183" s="269">
        <f t="shared" si="42"/>
        <v>-6.8021214789386442E-2</v>
      </c>
      <c r="T183" s="269">
        <f t="shared" si="42"/>
        <v>-6.8929895139626343E-2</v>
      </c>
      <c r="U183" s="269">
        <f t="shared" si="42"/>
        <v>-6.8929895139626343E-2</v>
      </c>
      <c r="V183" s="269">
        <f t="shared" si="42"/>
        <v>-6.8021214789386442E-2</v>
      </c>
      <c r="W183" s="269">
        <f t="shared" si="42"/>
        <v>-6.8021214789386442E-2</v>
      </c>
      <c r="X183" s="269">
        <f t="shared" si="42"/>
        <v>-6.711253443914654E-2</v>
      </c>
      <c r="Y183" s="269">
        <f t="shared" si="42"/>
        <v>-6.711253443914654E-2</v>
      </c>
      <c r="Z183" s="268"/>
      <c r="AA183" s="268"/>
    </row>
    <row r="184" spans="4:27" x14ac:dyDescent="0.25">
      <c r="E184" s="75"/>
      <c r="F184" s="256" t="s">
        <v>194</v>
      </c>
      <c r="G184" t="s">
        <v>270</v>
      </c>
      <c r="H184" s="268"/>
      <c r="I184" s="268"/>
      <c r="J184" s="269">
        <f t="shared" ref="J184:Y184" si="43">hundred * $H21 * J58 / $H46 * J96 * (1 - J70) / hours_in_year</f>
        <v>1.6409355540776206E-2</v>
      </c>
      <c r="K184" s="269">
        <f t="shared" si="43"/>
        <v>1.6409355540776206E-2</v>
      </c>
      <c r="L184" s="269">
        <f t="shared" si="43"/>
        <v>1.6053540514602942E-2</v>
      </c>
      <c r="M184" s="269">
        <f t="shared" si="43"/>
        <v>1.6053540514602942E-2</v>
      </c>
      <c r="N184" s="269">
        <f t="shared" si="43"/>
        <v>1.2374450455239844E-2</v>
      </c>
      <c r="O184" s="269">
        <f t="shared" si="43"/>
        <v>1.1518947161985437E-2</v>
      </c>
      <c r="P184" s="269">
        <f t="shared" si="43"/>
        <v>1.0438217595922368E-2</v>
      </c>
      <c r="Q184" s="269">
        <f t="shared" si="43"/>
        <v>1.762618913103833E-2</v>
      </c>
      <c r="R184" s="269">
        <f t="shared" si="43"/>
        <v>-9.8736200703265584E-3</v>
      </c>
      <c r="S184" s="269">
        <f t="shared" si="43"/>
        <v>-9.7434593537685799E-3</v>
      </c>
      <c r="T184" s="269">
        <f t="shared" si="43"/>
        <v>-9.8736200703265584E-3</v>
      </c>
      <c r="U184" s="269">
        <f t="shared" si="43"/>
        <v>-9.8736200703265584E-3</v>
      </c>
      <c r="V184" s="269">
        <f t="shared" si="43"/>
        <v>-9.7434593537685799E-3</v>
      </c>
      <c r="W184" s="269">
        <f t="shared" si="43"/>
        <v>-9.7434593537685799E-3</v>
      </c>
      <c r="X184" s="269">
        <f t="shared" si="43"/>
        <v>-9.613298637210603E-3</v>
      </c>
      <c r="Y184" s="269">
        <f t="shared" si="43"/>
        <v>-9.613298637210603E-3</v>
      </c>
      <c r="Z184" s="268"/>
      <c r="AA184" s="268"/>
    </row>
    <row r="185" spans="4:27" x14ac:dyDescent="0.25">
      <c r="E185" s="75"/>
      <c r="F185" s="256" t="s">
        <v>195</v>
      </c>
      <c r="G185" t="s">
        <v>270</v>
      </c>
      <c r="H185" s="268"/>
      <c r="I185" s="268"/>
      <c r="J185" s="269">
        <f t="shared" ref="J185:Y185" si="44">hundred * $H22 * J59 / $H47 * J97 * (1 - J71) / hours_in_year</f>
        <v>0.14472714194784608</v>
      </c>
      <c r="K185" s="269">
        <f t="shared" si="44"/>
        <v>0.14472714194784608</v>
      </c>
      <c r="L185" s="269">
        <f t="shared" si="44"/>
        <v>0.14158892657599978</v>
      </c>
      <c r="M185" s="269">
        <f t="shared" si="44"/>
        <v>0.14158892657599978</v>
      </c>
      <c r="N185" s="269">
        <f t="shared" si="44"/>
        <v>0.10914010870882565</v>
      </c>
      <c r="O185" s="269">
        <f t="shared" si="44"/>
        <v>0.10159474556205188</v>
      </c>
      <c r="P185" s="269">
        <f t="shared" si="44"/>
        <v>9.206293299780019E-2</v>
      </c>
      <c r="Q185" s="269">
        <f t="shared" si="44"/>
        <v>0.10784742218213998</v>
      </c>
      <c r="R185" s="269">
        <f t="shared" si="44"/>
        <v>-8.708329890874307E-2</v>
      </c>
      <c r="S185" s="269">
        <f t="shared" si="44"/>
        <v>-8.59353081510007E-2</v>
      </c>
      <c r="T185" s="269">
        <f t="shared" si="44"/>
        <v>-8.708329890874307E-2</v>
      </c>
      <c r="U185" s="269">
        <f t="shared" si="44"/>
        <v>-8.708329890874307E-2</v>
      </c>
      <c r="V185" s="269">
        <f t="shared" si="44"/>
        <v>-8.59353081510007E-2</v>
      </c>
      <c r="W185" s="269">
        <f t="shared" si="44"/>
        <v>-8.59353081510007E-2</v>
      </c>
      <c r="X185" s="269">
        <f t="shared" si="44"/>
        <v>-8.4787317393258316E-2</v>
      </c>
      <c r="Y185" s="269">
        <f t="shared" si="44"/>
        <v>-8.4787317393258316E-2</v>
      </c>
      <c r="Z185" s="268"/>
      <c r="AA185" s="268"/>
    </row>
    <row r="186" spans="4:27" x14ac:dyDescent="0.25">
      <c r="E186" s="75"/>
      <c r="F186" s="256" t="s">
        <v>196</v>
      </c>
      <c r="G186" t="s">
        <v>270</v>
      </c>
      <c r="H186" s="268"/>
      <c r="I186" s="268"/>
      <c r="J186" s="269">
        <f t="shared" ref="J186:Y186" si="45">hundred * $H23 * J60 / $H48 * J98 * (1 - J72) / hours_in_year</f>
        <v>0.1144732579004526</v>
      </c>
      <c r="K186" s="269">
        <f t="shared" si="45"/>
        <v>0.1144732579004526</v>
      </c>
      <c r="L186" s="269">
        <f t="shared" si="45"/>
        <v>0.11199105772173294</v>
      </c>
      <c r="M186" s="269">
        <f t="shared" si="45"/>
        <v>0.11199105772173294</v>
      </c>
      <c r="N186" s="269">
        <f t="shared" si="45"/>
        <v>8.6325368160804536E-2</v>
      </c>
      <c r="O186" s="269">
        <f t="shared" si="45"/>
        <v>8.0357294102073637E-2</v>
      </c>
      <c r="P186" s="269">
        <f t="shared" si="45"/>
        <v>7.2818019690646649E-2</v>
      </c>
      <c r="Q186" s="269">
        <f t="shared" si="45"/>
        <v>8.5302905917978969E-2</v>
      </c>
      <c r="R186" s="269">
        <f t="shared" si="45"/>
        <v>-6.8879332519363054E-2</v>
      </c>
      <c r="S186" s="269">
        <f t="shared" si="45"/>
        <v>-6.7971318719672755E-2</v>
      </c>
      <c r="T186" s="269">
        <f t="shared" si="45"/>
        <v>-6.8879332519363054E-2</v>
      </c>
      <c r="U186" s="269">
        <f t="shared" si="45"/>
        <v>-6.8879332519363054E-2</v>
      </c>
      <c r="V186" s="269">
        <f t="shared" si="45"/>
        <v>-6.7971318719672755E-2</v>
      </c>
      <c r="W186" s="269">
        <f t="shared" si="45"/>
        <v>-6.7971318719672755E-2</v>
      </c>
      <c r="X186" s="269">
        <f t="shared" si="45"/>
        <v>-6.7063304919982497E-2</v>
      </c>
      <c r="Y186" s="269">
        <f t="shared" si="45"/>
        <v>-6.7063304919982497E-2</v>
      </c>
      <c r="Z186" s="268"/>
      <c r="AA186" s="268"/>
    </row>
    <row r="187" spans="4:27" x14ac:dyDescent="0.25">
      <c r="E187" s="75"/>
      <c r="F187" s="256" t="s">
        <v>197</v>
      </c>
      <c r="G187" t="s">
        <v>270</v>
      </c>
      <c r="H187" s="268"/>
      <c r="I187" s="268"/>
      <c r="J187" s="269">
        <f t="shared" ref="J187:Y187" si="46">hundred * $H24 * J61 / $H49 * J99 * (1 - J73) / hours_in_year</f>
        <v>0</v>
      </c>
      <c r="K187" s="269">
        <f t="shared" si="46"/>
        <v>0</v>
      </c>
      <c r="L187" s="269">
        <f t="shared" si="46"/>
        <v>0</v>
      </c>
      <c r="M187" s="269">
        <f t="shared" si="46"/>
        <v>0</v>
      </c>
      <c r="N187" s="269">
        <f t="shared" si="46"/>
        <v>0</v>
      </c>
      <c r="O187" s="269">
        <f t="shared" si="46"/>
        <v>0</v>
      </c>
      <c r="P187" s="269">
        <f t="shared" si="46"/>
        <v>0</v>
      </c>
      <c r="Q187" s="269">
        <f t="shared" si="46"/>
        <v>0</v>
      </c>
      <c r="R187" s="269">
        <f t="shared" si="46"/>
        <v>0</v>
      </c>
      <c r="S187" s="269">
        <f t="shared" si="46"/>
        <v>0</v>
      </c>
      <c r="T187" s="269">
        <f t="shared" si="46"/>
        <v>0</v>
      </c>
      <c r="U187" s="269">
        <f t="shared" si="46"/>
        <v>0</v>
      </c>
      <c r="V187" s="269">
        <f t="shared" si="46"/>
        <v>0</v>
      </c>
      <c r="W187" s="269">
        <f t="shared" si="46"/>
        <v>0</v>
      </c>
      <c r="X187" s="269">
        <f t="shared" si="46"/>
        <v>0</v>
      </c>
      <c r="Y187" s="269">
        <f t="shared" si="46"/>
        <v>0</v>
      </c>
      <c r="Z187" s="268"/>
      <c r="AA187" s="268"/>
    </row>
    <row r="188" spans="4:27" x14ac:dyDescent="0.25">
      <c r="E188" s="75"/>
      <c r="F188" s="256" t="s">
        <v>198</v>
      </c>
      <c r="G188" t="s">
        <v>270</v>
      </c>
      <c r="H188" s="268"/>
      <c r="I188" s="268"/>
      <c r="J188" s="269">
        <f t="shared" ref="J188:Y188" si="47">hundred * $H25 * J62 / $H50 * J100 * (1 - J74) / hours_in_year</f>
        <v>0.52715035086438977</v>
      </c>
      <c r="K188" s="269">
        <f t="shared" si="47"/>
        <v>0.52715035086438977</v>
      </c>
      <c r="L188" s="269">
        <f t="shared" si="47"/>
        <v>0.51571979739603657</v>
      </c>
      <c r="M188" s="269">
        <f t="shared" si="47"/>
        <v>0.51571979739603657</v>
      </c>
      <c r="N188" s="269">
        <f t="shared" si="47"/>
        <v>0.39752907315731956</v>
      </c>
      <c r="O188" s="269">
        <f t="shared" si="47"/>
        <v>0.37004604007390268</v>
      </c>
      <c r="P188" s="269">
        <f t="shared" si="47"/>
        <v>0.33532761566509639</v>
      </c>
      <c r="Q188" s="269">
        <f t="shared" si="47"/>
        <v>0.3928206256130049</v>
      </c>
      <c r="R188" s="269">
        <f t="shared" si="47"/>
        <v>-0.31718992689508885</v>
      </c>
      <c r="S188" s="269">
        <f t="shared" si="47"/>
        <v>-0.31300851542942848</v>
      </c>
      <c r="T188" s="269">
        <f t="shared" si="47"/>
        <v>-0.31718992689508885</v>
      </c>
      <c r="U188" s="269">
        <f t="shared" si="47"/>
        <v>-0.31718992689508885</v>
      </c>
      <c r="V188" s="269">
        <f t="shared" si="47"/>
        <v>-0.31300851542942848</v>
      </c>
      <c r="W188" s="269">
        <f t="shared" si="47"/>
        <v>-0.31300851542942848</v>
      </c>
      <c r="X188" s="269">
        <f t="shared" si="47"/>
        <v>0</v>
      </c>
      <c r="Y188" s="269">
        <f t="shared" si="47"/>
        <v>0</v>
      </c>
      <c r="Z188" s="268"/>
      <c r="AA188" s="268"/>
    </row>
    <row r="189" spans="4:27" x14ac:dyDescent="0.25">
      <c r="E189" s="75"/>
      <c r="F189" s="256" t="s">
        <v>199</v>
      </c>
      <c r="G189" t="s">
        <v>270</v>
      </c>
      <c r="H189" s="268"/>
      <c r="I189" s="268"/>
      <c r="J189" s="269">
        <f t="shared" ref="J189:Y189" si="48">hundred * $H26 * J63 / $H51 * J101 * (1 - J75) / hours_in_year</f>
        <v>0.21628189253913441</v>
      </c>
      <c r="K189" s="269">
        <f t="shared" si="48"/>
        <v>0.21628189253913441</v>
      </c>
      <c r="L189" s="269">
        <f t="shared" si="48"/>
        <v>0.21159210767443423</v>
      </c>
      <c r="M189" s="269">
        <f t="shared" si="48"/>
        <v>0.21159210767443423</v>
      </c>
      <c r="N189" s="269">
        <f t="shared" si="48"/>
        <v>0.1631002239509296</v>
      </c>
      <c r="O189" s="269">
        <f t="shared" si="48"/>
        <v>0.15182434715742982</v>
      </c>
      <c r="P189" s="269">
        <f t="shared" si="48"/>
        <v>0</v>
      </c>
      <c r="Q189" s="269">
        <f t="shared" si="48"/>
        <v>0.1611684184534358</v>
      </c>
      <c r="R189" s="269">
        <f t="shared" si="48"/>
        <v>-0.13013827567548669</v>
      </c>
      <c r="S189" s="269">
        <f t="shared" si="48"/>
        <v>0</v>
      </c>
      <c r="T189" s="269">
        <f t="shared" si="48"/>
        <v>-0.13013827567548669</v>
      </c>
      <c r="U189" s="269">
        <f t="shared" si="48"/>
        <v>-0.13013827567548669</v>
      </c>
      <c r="V189" s="269">
        <f t="shared" si="48"/>
        <v>0</v>
      </c>
      <c r="W189" s="269">
        <f t="shared" si="48"/>
        <v>0</v>
      </c>
      <c r="X189" s="269">
        <f t="shared" si="48"/>
        <v>0</v>
      </c>
      <c r="Y189" s="269">
        <f t="shared" si="48"/>
        <v>0</v>
      </c>
      <c r="Z189" s="268"/>
      <c r="AA189" s="268"/>
    </row>
    <row r="190" spans="4:27" x14ac:dyDescent="0.25">
      <c r="E190" s="75"/>
      <c r="F190" s="258" t="s">
        <v>200</v>
      </c>
      <c r="G190" s="96" t="s">
        <v>270</v>
      </c>
      <c r="H190" s="270"/>
      <c r="I190" s="270"/>
      <c r="J190" s="271">
        <f t="shared" ref="J190:Y190" si="49">hundred * $H27 * J64 / $H52 * J102 * (1 - J76) / hours_in_year</f>
        <v>0.53374154803563678</v>
      </c>
      <c r="K190" s="271">
        <f t="shared" si="49"/>
        <v>0.53374154803563678</v>
      </c>
      <c r="L190" s="271">
        <f t="shared" si="49"/>
        <v>0.52216807323267211</v>
      </c>
      <c r="M190" s="271">
        <f t="shared" si="49"/>
        <v>0.52216807323267211</v>
      </c>
      <c r="N190" s="271">
        <f t="shared" si="49"/>
        <v>0.40249955738100746</v>
      </c>
      <c r="O190" s="271">
        <f t="shared" si="49"/>
        <v>0</v>
      </c>
      <c r="P190" s="271">
        <f t="shared" si="49"/>
        <v>0</v>
      </c>
      <c r="Q190" s="271">
        <f t="shared" si="49"/>
        <v>0.397732238006134</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580</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190</v>
      </c>
      <c r="G193" s="95" t="s">
        <v>270</v>
      </c>
      <c r="H193" s="266"/>
      <c r="I193" s="266"/>
      <c r="J193" s="267">
        <f t="shared" ref="J193:Y193" si="50">hundred * $H30 * J55 / $H43 * J93 / hours_in_year</f>
        <v>1.418759971971666E-2</v>
      </c>
      <c r="K193" s="267">
        <f t="shared" si="50"/>
        <v>1.418759971971666E-2</v>
      </c>
      <c r="L193" s="267">
        <f t="shared" si="50"/>
        <v>1.3879960510299662E-2</v>
      </c>
      <c r="M193" s="267">
        <f t="shared" si="50"/>
        <v>1.3879960510299662E-2</v>
      </c>
      <c r="N193" s="267">
        <f t="shared" si="50"/>
        <v>1.0699003344411897E-2</v>
      </c>
      <c r="O193" s="267">
        <f t="shared" si="50"/>
        <v>9.9593314996869846E-3</v>
      </c>
      <c r="P193" s="267">
        <f t="shared" si="50"/>
        <v>9.0249280460922062E-3</v>
      </c>
      <c r="Q193" s="267">
        <f t="shared" si="50"/>
        <v>1.6467107189644333E-2</v>
      </c>
      <c r="R193" s="267">
        <f t="shared" si="50"/>
        <v>-8.5367745853428909E-3</v>
      </c>
      <c r="S193" s="267">
        <f t="shared" si="50"/>
        <v>-8.4242370672686917E-3</v>
      </c>
      <c r="T193" s="267">
        <f t="shared" si="50"/>
        <v>-8.5367745853428909E-3</v>
      </c>
      <c r="U193" s="267">
        <f t="shared" si="50"/>
        <v>-8.5367745853428909E-3</v>
      </c>
      <c r="V193" s="267">
        <f t="shared" si="50"/>
        <v>-8.4242370672686917E-3</v>
      </c>
      <c r="W193" s="267">
        <f t="shared" si="50"/>
        <v>-8.4242370672686917E-3</v>
      </c>
      <c r="X193" s="267">
        <f t="shared" si="50"/>
        <v>-8.3116995491944907E-3</v>
      </c>
      <c r="Y193" s="267">
        <f t="shared" si="50"/>
        <v>-8.3116995491944907E-3</v>
      </c>
      <c r="Z193" s="268"/>
      <c r="AA193" s="268"/>
    </row>
    <row r="194" spans="3:27" x14ac:dyDescent="0.25">
      <c r="D194" s="75"/>
      <c r="E194" s="75"/>
      <c r="F194" s="256" t="s">
        <v>192</v>
      </c>
      <c r="G194" t="s">
        <v>270</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193</v>
      </c>
      <c r="G195" t="s">
        <v>270</v>
      </c>
      <c r="H195" s="268"/>
      <c r="I195" s="268"/>
      <c r="J195" s="269">
        <f t="shared" ref="J195:Y195" si="52">hundred * $H32 * J57 / $H45 * J95 / hours_in_year</f>
        <v>8.8705145599016724E-2</v>
      </c>
      <c r="K195" s="269">
        <f t="shared" si="52"/>
        <v>8.8705145599016724E-2</v>
      </c>
      <c r="L195" s="269">
        <f t="shared" si="52"/>
        <v>8.678169262582798E-2</v>
      </c>
      <c r="M195" s="269">
        <f t="shared" si="52"/>
        <v>8.678169262582798E-2</v>
      </c>
      <c r="N195" s="269">
        <f t="shared" si="52"/>
        <v>6.6893390579063933E-2</v>
      </c>
      <c r="O195" s="269">
        <f t="shared" si="52"/>
        <v>6.2268739476831723E-2</v>
      </c>
      <c r="P195" s="269">
        <f t="shared" si="52"/>
        <v>5.6426567718619453E-2</v>
      </c>
      <c r="Q195" s="269">
        <f t="shared" si="52"/>
        <v>9.5283063941132826E-2</v>
      </c>
      <c r="R195" s="269">
        <f t="shared" si="52"/>
        <v>-5.3374485289887356E-2</v>
      </c>
      <c r="S195" s="269">
        <f t="shared" si="52"/>
        <v>-5.2670866839738172E-2</v>
      </c>
      <c r="T195" s="269">
        <f t="shared" si="52"/>
        <v>-5.3374485289887356E-2</v>
      </c>
      <c r="U195" s="269">
        <f t="shared" si="52"/>
        <v>-5.3374485289887356E-2</v>
      </c>
      <c r="V195" s="269">
        <f t="shared" si="52"/>
        <v>-5.2670866839738172E-2</v>
      </c>
      <c r="W195" s="269">
        <f t="shared" si="52"/>
        <v>-5.2670866839738172E-2</v>
      </c>
      <c r="X195" s="269">
        <f t="shared" si="52"/>
        <v>-5.1967248389589001E-2</v>
      </c>
      <c r="Y195" s="269">
        <f t="shared" si="52"/>
        <v>-5.1967248389589001E-2</v>
      </c>
      <c r="Z195" s="268"/>
      <c r="AA195" s="268"/>
    </row>
    <row r="196" spans="3:27" x14ac:dyDescent="0.25">
      <c r="D196" s="75"/>
      <c r="E196" s="75"/>
      <c r="F196" s="256" t="s">
        <v>194</v>
      </c>
      <c r="G196" t="s">
        <v>270</v>
      </c>
      <c r="H196" s="268"/>
      <c r="I196" s="268"/>
      <c r="J196" s="269">
        <f t="shared" ref="J196:Y196" si="53">hundred * $H33 * J58 / $H46 * J96 / hours_in_year</f>
        <v>1.2706256177433074E-2</v>
      </c>
      <c r="K196" s="269">
        <f t="shared" si="53"/>
        <v>1.2706256177433074E-2</v>
      </c>
      <c r="L196" s="269">
        <f t="shared" si="53"/>
        <v>1.243073793035122E-2</v>
      </c>
      <c r="M196" s="269">
        <f t="shared" si="53"/>
        <v>1.243073793035122E-2</v>
      </c>
      <c r="N196" s="269">
        <f t="shared" si="53"/>
        <v>9.5819081467591431E-3</v>
      </c>
      <c r="O196" s="269">
        <f t="shared" si="53"/>
        <v>8.9194662868264767E-3</v>
      </c>
      <c r="P196" s="269">
        <f t="shared" si="53"/>
        <v>8.0826249684212408E-3</v>
      </c>
      <c r="Q196" s="269">
        <f t="shared" si="53"/>
        <v>1.3648486924079743E-2</v>
      </c>
      <c r="R196" s="269">
        <f t="shared" si="53"/>
        <v>-7.6454401698142242E-3</v>
      </c>
      <c r="S196" s="269">
        <f t="shared" si="53"/>
        <v>-7.5446528229428499E-3</v>
      </c>
      <c r="T196" s="269">
        <f t="shared" si="53"/>
        <v>-7.6454401698142242E-3</v>
      </c>
      <c r="U196" s="269">
        <f t="shared" si="53"/>
        <v>-7.6454401698142242E-3</v>
      </c>
      <c r="V196" s="269">
        <f t="shared" si="53"/>
        <v>-7.5446528229428499E-3</v>
      </c>
      <c r="W196" s="269">
        <f t="shared" si="53"/>
        <v>-7.5446528229428499E-3</v>
      </c>
      <c r="X196" s="269">
        <f t="shared" si="53"/>
        <v>-7.4438654760714757E-3</v>
      </c>
      <c r="Y196" s="269">
        <f t="shared" si="53"/>
        <v>-7.4438654760714757E-3</v>
      </c>
      <c r="Z196" s="268"/>
      <c r="AA196" s="268"/>
    </row>
    <row r="197" spans="3:27" x14ac:dyDescent="0.25">
      <c r="D197" s="75"/>
      <c r="E197" s="75"/>
      <c r="F197" s="256" t="s">
        <v>195</v>
      </c>
      <c r="G197" t="s">
        <v>270</v>
      </c>
      <c r="H197" s="268"/>
      <c r="I197" s="268"/>
      <c r="J197" s="269">
        <f t="shared" ref="J197:Y197" si="54">hundred * $H34 * J59 / $H47 * J97 / hours_in_year</f>
        <v>0.1120665669561125</v>
      </c>
      <c r="K197" s="269">
        <f t="shared" si="54"/>
        <v>0.1120665669561125</v>
      </c>
      <c r="L197" s="269">
        <f t="shared" si="54"/>
        <v>0.10963655266606005</v>
      </c>
      <c r="M197" s="269">
        <f t="shared" si="54"/>
        <v>0.10963655266606005</v>
      </c>
      <c r="N197" s="269">
        <f t="shared" si="54"/>
        <v>8.4510459721664086E-2</v>
      </c>
      <c r="O197" s="269">
        <f t="shared" si="54"/>
        <v>7.8667858721494968E-2</v>
      </c>
      <c r="P197" s="269">
        <f t="shared" si="54"/>
        <v>7.1287090355808838E-2</v>
      </c>
      <c r="Q197" s="269">
        <f t="shared" si="54"/>
        <v>8.3509493771211682E-2</v>
      </c>
      <c r="R197" s="269">
        <f t="shared" si="54"/>
        <v>-6.7431210321507035E-2</v>
      </c>
      <c r="S197" s="269">
        <f t="shared" si="54"/>
        <v>-6.6542286644952348E-2</v>
      </c>
      <c r="T197" s="269">
        <f t="shared" si="54"/>
        <v>-6.7431210321507035E-2</v>
      </c>
      <c r="U197" s="269">
        <f t="shared" si="54"/>
        <v>-6.7431210321507035E-2</v>
      </c>
      <c r="V197" s="269">
        <f t="shared" si="54"/>
        <v>-6.6542286644952348E-2</v>
      </c>
      <c r="W197" s="269">
        <f t="shared" si="54"/>
        <v>-6.6542286644952348E-2</v>
      </c>
      <c r="X197" s="269">
        <f t="shared" si="54"/>
        <v>-6.5653362968397647E-2</v>
      </c>
      <c r="Y197" s="269">
        <f t="shared" si="54"/>
        <v>-6.5653362968397647E-2</v>
      </c>
      <c r="Z197" s="268"/>
      <c r="AA197" s="268"/>
    </row>
    <row r="198" spans="3:27" x14ac:dyDescent="0.25">
      <c r="D198" s="75"/>
      <c r="E198" s="75"/>
      <c r="F198" s="256" t="s">
        <v>196</v>
      </c>
      <c r="G198" t="s">
        <v>270</v>
      </c>
      <c r="H198" s="268"/>
      <c r="I198" s="268"/>
      <c r="J198" s="269">
        <f t="shared" ref="J198:Y198" si="55">hundred * $H35 * J60 / $H48 * J98 / hours_in_year</f>
        <v>8.8640077103217668E-2</v>
      </c>
      <c r="K198" s="269">
        <f t="shared" si="55"/>
        <v>8.8640077103217668E-2</v>
      </c>
      <c r="L198" s="269">
        <f t="shared" si="55"/>
        <v>8.6718035053722914E-2</v>
      </c>
      <c r="M198" s="269">
        <f t="shared" si="55"/>
        <v>8.6718035053722914E-2</v>
      </c>
      <c r="N198" s="269">
        <f t="shared" si="55"/>
        <v>6.6844321810003382E-2</v>
      </c>
      <c r="O198" s="269">
        <f t="shared" si="55"/>
        <v>6.2223063059914763E-2</v>
      </c>
      <c r="P198" s="269">
        <f t="shared" si="55"/>
        <v>5.6385176750150166E-2</v>
      </c>
      <c r="Q198" s="269">
        <f t="shared" si="55"/>
        <v>6.6052598627651046E-2</v>
      </c>
      <c r="R198" s="269">
        <f t="shared" si="55"/>
        <v>-5.3335333136442259E-2</v>
      </c>
      <c r="S198" s="269">
        <f t="shared" si="55"/>
        <v>-5.263223081637617E-2</v>
      </c>
      <c r="T198" s="269">
        <f t="shared" si="55"/>
        <v>-5.3335333136442259E-2</v>
      </c>
      <c r="U198" s="269">
        <f t="shared" si="55"/>
        <v>-5.3335333136442259E-2</v>
      </c>
      <c r="V198" s="269">
        <f t="shared" si="55"/>
        <v>-5.263223081637617E-2</v>
      </c>
      <c r="W198" s="269">
        <f t="shared" si="55"/>
        <v>-5.263223081637617E-2</v>
      </c>
      <c r="X198" s="269">
        <f t="shared" si="55"/>
        <v>-5.1929128496310074E-2</v>
      </c>
      <c r="Y198" s="269">
        <f t="shared" si="55"/>
        <v>-5.1929128496310074E-2</v>
      </c>
      <c r="Z198" s="268"/>
      <c r="AA198" s="268"/>
    </row>
    <row r="199" spans="3:27" x14ac:dyDescent="0.25">
      <c r="D199" s="75"/>
      <c r="E199" s="75"/>
      <c r="F199" s="256" t="s">
        <v>197</v>
      </c>
      <c r="G199" t="s">
        <v>270</v>
      </c>
      <c r="H199" s="268"/>
      <c r="I199" s="268"/>
      <c r="J199" s="269">
        <f t="shared" ref="J199:Y199" si="56">hundred * $H36 * J61 / $H49 * J99 / hours_in_year</f>
        <v>0</v>
      </c>
      <c r="K199" s="269">
        <f t="shared" si="56"/>
        <v>0</v>
      </c>
      <c r="L199" s="269">
        <f t="shared" si="56"/>
        <v>0</v>
      </c>
      <c r="M199" s="269">
        <f t="shared" si="56"/>
        <v>0</v>
      </c>
      <c r="N199" s="269">
        <f t="shared" si="56"/>
        <v>0</v>
      </c>
      <c r="O199" s="269">
        <f t="shared" si="56"/>
        <v>0</v>
      </c>
      <c r="P199" s="269">
        <f t="shared" si="56"/>
        <v>0</v>
      </c>
      <c r="Q199" s="269">
        <f t="shared" si="56"/>
        <v>0</v>
      </c>
      <c r="R199" s="269">
        <f t="shared" si="56"/>
        <v>0</v>
      </c>
      <c r="S199" s="269">
        <f t="shared" si="56"/>
        <v>0</v>
      </c>
      <c r="T199" s="269">
        <f t="shared" si="56"/>
        <v>0</v>
      </c>
      <c r="U199" s="269">
        <f t="shared" si="56"/>
        <v>0</v>
      </c>
      <c r="V199" s="269">
        <f t="shared" si="56"/>
        <v>0</v>
      </c>
      <c r="W199" s="269">
        <f t="shared" si="56"/>
        <v>0</v>
      </c>
      <c r="X199" s="269">
        <f t="shared" si="56"/>
        <v>0</v>
      </c>
      <c r="Y199" s="269">
        <f t="shared" si="56"/>
        <v>0</v>
      </c>
      <c r="Z199" s="268"/>
      <c r="AA199" s="268"/>
    </row>
    <row r="200" spans="3:27" x14ac:dyDescent="0.25">
      <c r="D200" s="75"/>
      <c r="E200" s="75"/>
      <c r="F200" s="256" t="s">
        <v>198</v>
      </c>
      <c r="G200" t="s">
        <v>270</v>
      </c>
      <c r="H200" s="268"/>
      <c r="I200" s="268"/>
      <c r="J200" s="269">
        <f t="shared" ref="J200:Y200" si="57">hundred * $H37 * J62 / $H50 * J100 / hours_in_year</f>
        <v>0.40818832802191968</v>
      </c>
      <c r="K200" s="269">
        <f t="shared" si="57"/>
        <v>0.40818832802191968</v>
      </c>
      <c r="L200" s="269">
        <f t="shared" si="57"/>
        <v>0.39933730762335307</v>
      </c>
      <c r="M200" s="269">
        <f t="shared" si="57"/>
        <v>0.39933730762335307</v>
      </c>
      <c r="N200" s="269">
        <f t="shared" si="57"/>
        <v>0.30781868483273195</v>
      </c>
      <c r="O200" s="269">
        <f t="shared" si="57"/>
        <v>0.28653774799014803</v>
      </c>
      <c r="P200" s="269">
        <f t="shared" si="57"/>
        <v>0.25965423062598764</v>
      </c>
      <c r="Q200" s="269">
        <f t="shared" si="57"/>
        <v>0.30417279267399344</v>
      </c>
      <c r="R200" s="269">
        <f t="shared" si="57"/>
        <v>-0.24560967418953389</v>
      </c>
      <c r="S200" s="269">
        <f t="shared" si="57"/>
        <v>-0.24237188187441761</v>
      </c>
      <c r="T200" s="269">
        <f t="shared" si="57"/>
        <v>-0.24560967418953389</v>
      </c>
      <c r="U200" s="269">
        <f t="shared" si="57"/>
        <v>-0.24560967418953389</v>
      </c>
      <c r="V200" s="269">
        <f t="shared" si="57"/>
        <v>-0.24237188187441761</v>
      </c>
      <c r="W200" s="269">
        <f t="shared" si="57"/>
        <v>-0.24237188187441761</v>
      </c>
      <c r="X200" s="269">
        <f t="shared" si="57"/>
        <v>0</v>
      </c>
      <c r="Y200" s="269">
        <f t="shared" si="57"/>
        <v>0</v>
      </c>
      <c r="Z200" s="268"/>
      <c r="AA200" s="268"/>
    </row>
    <row r="201" spans="3:27" x14ac:dyDescent="0.25">
      <c r="D201" s="75"/>
      <c r="E201" s="75"/>
      <c r="F201" s="256" t="s">
        <v>199</v>
      </c>
      <c r="G201" t="s">
        <v>270</v>
      </c>
      <c r="H201" s="268"/>
      <c r="I201" s="268"/>
      <c r="J201" s="269">
        <f t="shared" ref="J201:Y201" si="58">hundred * $H38 * J63 / $H51 * J101 / hours_in_year</f>
        <v>0.16747355655213617</v>
      </c>
      <c r="K201" s="269">
        <f t="shared" si="58"/>
        <v>0.16747355655213617</v>
      </c>
      <c r="L201" s="269">
        <f t="shared" si="58"/>
        <v>0.16384211546599159</v>
      </c>
      <c r="M201" s="269">
        <f t="shared" si="58"/>
        <v>0.16384211546599159</v>
      </c>
      <c r="N201" s="269">
        <f t="shared" si="58"/>
        <v>0.12629339543332166</v>
      </c>
      <c r="O201" s="269">
        <f t="shared" si="58"/>
        <v>0.11756214582346625</v>
      </c>
      <c r="P201" s="269">
        <f t="shared" si="58"/>
        <v>0</v>
      </c>
      <c r="Q201" s="269">
        <f t="shared" si="58"/>
        <v>0.12479754049403811</v>
      </c>
      <c r="R201" s="269">
        <f t="shared" si="58"/>
        <v>-0.10076997022296971</v>
      </c>
      <c r="S201" s="269">
        <f t="shared" si="58"/>
        <v>0</v>
      </c>
      <c r="T201" s="269">
        <f t="shared" si="58"/>
        <v>-0.10076997022296971</v>
      </c>
      <c r="U201" s="269">
        <f t="shared" si="58"/>
        <v>-0.10076997022296971</v>
      </c>
      <c r="V201" s="269">
        <f t="shared" si="58"/>
        <v>0</v>
      </c>
      <c r="W201" s="269">
        <f t="shared" si="58"/>
        <v>0</v>
      </c>
      <c r="X201" s="269">
        <f t="shared" si="58"/>
        <v>0</v>
      </c>
      <c r="Y201" s="269">
        <f t="shared" si="58"/>
        <v>0</v>
      </c>
      <c r="Z201" s="268"/>
      <c r="AA201" s="268"/>
    </row>
    <row r="202" spans="3:27" x14ac:dyDescent="0.25">
      <c r="D202" s="75"/>
      <c r="E202" s="75"/>
      <c r="F202" s="258" t="s">
        <v>200</v>
      </c>
      <c r="G202" s="96" t="s">
        <v>270</v>
      </c>
      <c r="H202" s="270"/>
      <c r="I202" s="270"/>
      <c r="J202" s="271">
        <f t="shared" ref="J202:Y202" si="59">hundred * $H39 * J64 / $H52 * J102 / hours_in_year</f>
        <v>0.4132920896879842</v>
      </c>
      <c r="K202" s="271">
        <f t="shared" si="59"/>
        <v>0.4132920896879842</v>
      </c>
      <c r="L202" s="271">
        <f t="shared" si="59"/>
        <v>0.40433040101324552</v>
      </c>
      <c r="M202" s="271">
        <f t="shared" si="59"/>
        <v>0.40433040101324552</v>
      </c>
      <c r="N202" s="271">
        <f t="shared" si="59"/>
        <v>0.31166747985183729</v>
      </c>
      <c r="O202" s="271">
        <f t="shared" si="59"/>
        <v>0</v>
      </c>
      <c r="P202" s="271">
        <f t="shared" si="59"/>
        <v>0</v>
      </c>
      <c r="Q202" s="271">
        <f t="shared" si="59"/>
        <v>0.30797600146889548</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control'!$H$42:$H$65,MATCH($A$1,'Version control'!$F$42:$F$65,0),1)&amp;"-E: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585</v>
      </c>
      <c r="D206" s="75"/>
      <c r="E206" s="75"/>
      <c r="I206" s="3" t="s">
        <v>155</v>
      </c>
      <c r="J206" s="261"/>
      <c r="K206" s="261"/>
      <c r="L206" s="261"/>
      <c r="M206" s="261"/>
      <c r="N206" s="261"/>
      <c r="O206" s="261"/>
      <c r="P206" s="261"/>
      <c r="Q206" s="261"/>
      <c r="R206" s="261"/>
      <c r="S206" s="261"/>
      <c r="T206" s="261"/>
      <c r="U206" s="261"/>
      <c r="V206" s="261"/>
      <c r="W206" s="261"/>
      <c r="X206" s="261"/>
      <c r="Y206" s="261"/>
      <c r="AA206" t="s">
        <v>583</v>
      </c>
    </row>
    <row r="207" spans="3:27" x14ac:dyDescent="0.25">
      <c r="C207" s="86" t="s">
        <v>586</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579</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190</v>
      </c>
      <c r="G210" s="95" t="s">
        <v>270</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192</v>
      </c>
      <c r="G211" t="s">
        <v>270</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193</v>
      </c>
      <c r="G212" t="s">
        <v>270</v>
      </c>
      <c r="H212" s="268"/>
      <c r="I212" s="268"/>
      <c r="J212" s="269">
        <f t="shared" ref="J212:Y212" si="62">hundred * $H20 * J57 / $H45 * J107 * (1 - J69) / hours_in_year</f>
        <v>1.6257343460483308E-2</v>
      </c>
      <c r="K212" s="269">
        <f t="shared" si="62"/>
        <v>1.6257343460483308E-2</v>
      </c>
      <c r="L212" s="269">
        <f t="shared" si="62"/>
        <v>1.5904824613870151E-2</v>
      </c>
      <c r="M212" s="269">
        <f t="shared" si="62"/>
        <v>1.5904824613870151E-2</v>
      </c>
      <c r="N212" s="269">
        <f t="shared" si="62"/>
        <v>1.2259816705516518E-2</v>
      </c>
      <c r="O212" s="269">
        <f t="shared" si="62"/>
        <v>1.1412238576354133E-2</v>
      </c>
      <c r="P212" s="269">
        <f t="shared" si="62"/>
        <v>1.034152061307236E-2</v>
      </c>
      <c r="Q212" s="269">
        <f t="shared" si="62"/>
        <v>1.1770843828223746E-2</v>
      </c>
      <c r="R212" s="269">
        <f t="shared" si="62"/>
        <v>-9.7821533748075062E-3</v>
      </c>
      <c r="S212" s="269">
        <f t="shared" si="62"/>
        <v>-9.6531984338966703E-3</v>
      </c>
      <c r="T212" s="269">
        <f t="shared" si="62"/>
        <v>-9.7821533748075062E-3</v>
      </c>
      <c r="U212" s="269">
        <f t="shared" si="62"/>
        <v>-9.7821533748075062E-3</v>
      </c>
      <c r="V212" s="269">
        <f t="shared" si="62"/>
        <v>-9.6531984338966703E-3</v>
      </c>
      <c r="W212" s="269">
        <f t="shared" si="62"/>
        <v>-9.6531984338966703E-3</v>
      </c>
      <c r="X212" s="269">
        <f t="shared" si="62"/>
        <v>-9.5242434929858379E-3</v>
      </c>
      <c r="Y212" s="269">
        <f t="shared" si="62"/>
        <v>-9.5242434929858379E-3</v>
      </c>
      <c r="Z212" s="268"/>
      <c r="AA212" s="268"/>
    </row>
    <row r="213" spans="3:27" x14ac:dyDescent="0.25">
      <c r="E213" s="75"/>
      <c r="F213" s="256" t="s">
        <v>194</v>
      </c>
      <c r="G213" t="s">
        <v>270</v>
      </c>
      <c r="H213" s="268"/>
      <c r="I213" s="268"/>
      <c r="J213" s="269">
        <f t="shared" ref="J213:Y213" si="63">hundred * $H21 * J58 / $H46 * J108 * (1 - J70) / hours_in_year</f>
        <v>2.3287259084968683E-3</v>
      </c>
      <c r="K213" s="269">
        <f t="shared" si="63"/>
        <v>2.3287259084968683E-3</v>
      </c>
      <c r="L213" s="269">
        <f t="shared" si="63"/>
        <v>2.2782305878230507E-3</v>
      </c>
      <c r="M213" s="269">
        <f t="shared" si="63"/>
        <v>2.2782305878230507E-3</v>
      </c>
      <c r="N213" s="269">
        <f t="shared" si="63"/>
        <v>1.7561142670667481E-3</v>
      </c>
      <c r="O213" s="269">
        <f t="shared" si="63"/>
        <v>1.6347059229757592E-3</v>
      </c>
      <c r="P213" s="269">
        <f t="shared" si="63"/>
        <v>1.4813346992055291E-3</v>
      </c>
      <c r="Q213" s="269">
        <f t="shared" si="63"/>
        <v>1.6860730693352899E-3</v>
      </c>
      <c r="R213" s="269">
        <f t="shared" si="63"/>
        <v>-1.401210109153165E-3</v>
      </c>
      <c r="S213" s="269">
        <f t="shared" si="63"/>
        <v>-1.3827384127989802E-3</v>
      </c>
      <c r="T213" s="269">
        <f t="shared" si="63"/>
        <v>-1.401210109153165E-3</v>
      </c>
      <c r="U213" s="269">
        <f t="shared" si="63"/>
        <v>-1.401210109153165E-3</v>
      </c>
      <c r="V213" s="269">
        <f t="shared" si="63"/>
        <v>-1.3827384127989802E-3</v>
      </c>
      <c r="W213" s="269">
        <f t="shared" si="63"/>
        <v>-1.3827384127989802E-3</v>
      </c>
      <c r="X213" s="269">
        <f t="shared" si="63"/>
        <v>-1.3642667164447952E-3</v>
      </c>
      <c r="Y213" s="269">
        <f t="shared" si="63"/>
        <v>-1.3642667164447952E-3</v>
      </c>
      <c r="Z213" s="268"/>
      <c r="AA213" s="268"/>
    </row>
    <row r="214" spans="3:27" x14ac:dyDescent="0.25">
      <c r="E214" s="75"/>
      <c r="F214" s="256" t="s">
        <v>195</v>
      </c>
      <c r="G214" t="s">
        <v>270</v>
      </c>
      <c r="H214" s="268"/>
      <c r="I214" s="268"/>
      <c r="J214" s="269">
        <f t="shared" ref="J214:Y214" si="64">hundred * $H22 * J59 / $H47 * J109 * (1 - J71) / hours_in_year</f>
        <v>1.361090859350441E-2</v>
      </c>
      <c r="K214" s="269">
        <f t="shared" si="64"/>
        <v>1.361090859350441E-2</v>
      </c>
      <c r="L214" s="269">
        <f t="shared" si="64"/>
        <v>1.3315774163306635E-2</v>
      </c>
      <c r="M214" s="269">
        <f t="shared" si="64"/>
        <v>1.3315774163306635E-2</v>
      </c>
      <c r="N214" s="269">
        <f t="shared" si="64"/>
        <v>1.026411510327672E-2</v>
      </c>
      <c r="O214" s="269">
        <f t="shared" si="64"/>
        <v>9.5545091046137787E-3</v>
      </c>
      <c r="P214" s="269">
        <f t="shared" si="64"/>
        <v>8.6580868593019843E-3</v>
      </c>
      <c r="Q214" s="269">
        <f t="shared" si="64"/>
        <v>9.8547391708734954E-3</v>
      </c>
      <c r="R214" s="269">
        <f t="shared" si="64"/>
        <v>-8.1897756392843926E-3</v>
      </c>
      <c r="S214" s="269">
        <f t="shared" si="64"/>
        <v>-8.0818124952636954E-3</v>
      </c>
      <c r="T214" s="269">
        <f t="shared" si="64"/>
        <v>-8.1897756392843926E-3</v>
      </c>
      <c r="U214" s="269">
        <f t="shared" si="64"/>
        <v>-8.1897756392843926E-3</v>
      </c>
      <c r="V214" s="269">
        <f t="shared" si="64"/>
        <v>-8.0818124952636954E-3</v>
      </c>
      <c r="W214" s="269">
        <f t="shared" si="64"/>
        <v>-8.0818124952636954E-3</v>
      </c>
      <c r="X214" s="269">
        <f t="shared" si="64"/>
        <v>-7.9738493512429964E-3</v>
      </c>
      <c r="Y214" s="269">
        <f t="shared" si="64"/>
        <v>-7.9738493512429964E-3</v>
      </c>
      <c r="Z214" s="268"/>
      <c r="AA214" s="268"/>
    </row>
    <row r="215" spans="3:27" x14ac:dyDescent="0.25">
      <c r="E215" s="75"/>
      <c r="F215" s="256" t="s">
        <v>196</v>
      </c>
      <c r="G215" t="s">
        <v>270</v>
      </c>
      <c r="H215" s="268"/>
      <c r="I215" s="268"/>
      <c r="J215" s="269">
        <f t="shared" ref="J215:Y215" si="65">hundred * $H23 * J60 / $H48 * J110 * (1 - J72) / hours_in_year</f>
        <v>1.0765672759883483E-2</v>
      </c>
      <c r="K215" s="269">
        <f t="shared" si="65"/>
        <v>1.0765672759883483E-2</v>
      </c>
      <c r="L215" s="269">
        <f t="shared" si="65"/>
        <v>1.0532233480363215E-2</v>
      </c>
      <c r="M215" s="269">
        <f t="shared" si="65"/>
        <v>1.0532233480363215E-2</v>
      </c>
      <c r="N215" s="269">
        <f t="shared" si="65"/>
        <v>8.1184958088976709E-3</v>
      </c>
      <c r="O215" s="269">
        <f t="shared" si="65"/>
        <v>7.5572264478131852E-3</v>
      </c>
      <c r="P215" s="269">
        <f t="shared" si="65"/>
        <v>6.8481930661392866E-3</v>
      </c>
      <c r="Q215" s="269">
        <f t="shared" si="65"/>
        <v>7.7946961673271906E-3</v>
      </c>
      <c r="R215" s="269">
        <f t="shared" si="65"/>
        <v>-6.4777780192777383E-3</v>
      </c>
      <c r="S215" s="269">
        <f t="shared" si="65"/>
        <v>-6.3923835821121178E-3</v>
      </c>
      <c r="T215" s="269">
        <f t="shared" si="65"/>
        <v>-6.4777780192777383E-3</v>
      </c>
      <c r="U215" s="269">
        <f t="shared" si="65"/>
        <v>-6.4777780192777383E-3</v>
      </c>
      <c r="V215" s="269">
        <f t="shared" si="65"/>
        <v>-6.3923835821121178E-3</v>
      </c>
      <c r="W215" s="269">
        <f t="shared" si="65"/>
        <v>-6.3923835821121178E-3</v>
      </c>
      <c r="X215" s="269">
        <f t="shared" si="65"/>
        <v>-6.3069891449464991E-3</v>
      </c>
      <c r="Y215" s="269">
        <f t="shared" si="65"/>
        <v>-6.3069891449464991E-3</v>
      </c>
      <c r="Z215" s="268"/>
      <c r="AA215" s="268"/>
    </row>
    <row r="216" spans="3:27" x14ac:dyDescent="0.25">
      <c r="E216" s="75"/>
      <c r="F216" s="256" t="s">
        <v>197</v>
      </c>
      <c r="G216" t="s">
        <v>270</v>
      </c>
      <c r="H216" s="268"/>
      <c r="I216" s="268"/>
      <c r="J216" s="269">
        <f t="shared" ref="J216:Y216" si="66">hundred * $H24 * J61 / $H49 * J111 * (1 - J73) / hours_in_year</f>
        <v>0</v>
      </c>
      <c r="K216" s="269">
        <f t="shared" si="66"/>
        <v>0</v>
      </c>
      <c r="L216" s="269">
        <f t="shared" si="66"/>
        <v>0</v>
      </c>
      <c r="M216" s="269">
        <f t="shared" si="66"/>
        <v>0</v>
      </c>
      <c r="N216" s="269">
        <f t="shared" si="66"/>
        <v>0</v>
      </c>
      <c r="O216" s="269">
        <f t="shared" si="66"/>
        <v>0</v>
      </c>
      <c r="P216" s="269">
        <f t="shared" si="66"/>
        <v>0</v>
      </c>
      <c r="Q216" s="269">
        <f t="shared" si="66"/>
        <v>0</v>
      </c>
      <c r="R216" s="269">
        <f t="shared" si="66"/>
        <v>0</v>
      </c>
      <c r="S216" s="269">
        <f t="shared" si="66"/>
        <v>0</v>
      </c>
      <c r="T216" s="269">
        <f t="shared" si="66"/>
        <v>0</v>
      </c>
      <c r="U216" s="269">
        <f t="shared" si="66"/>
        <v>0</v>
      </c>
      <c r="V216" s="269">
        <f t="shared" si="66"/>
        <v>0</v>
      </c>
      <c r="W216" s="269">
        <f t="shared" si="66"/>
        <v>0</v>
      </c>
      <c r="X216" s="269">
        <f t="shared" si="66"/>
        <v>0</v>
      </c>
      <c r="Y216" s="269">
        <f t="shared" si="66"/>
        <v>0</v>
      </c>
      <c r="Z216" s="268"/>
      <c r="AA216" s="268"/>
    </row>
    <row r="217" spans="3:27" x14ac:dyDescent="0.25">
      <c r="E217" s="75"/>
      <c r="F217" s="256" t="s">
        <v>198</v>
      </c>
      <c r="G217" t="s">
        <v>270</v>
      </c>
      <c r="H217" s="268"/>
      <c r="I217" s="268"/>
      <c r="J217" s="269">
        <f t="shared" ref="J217:Y217" si="67">hundred * $H25 * J62 / $H50 * J112 * (1 - J74) / hours_in_year</f>
        <v>4.9576016938374774E-2</v>
      </c>
      <c r="K217" s="269">
        <f t="shared" si="67"/>
        <v>4.9576016938374774E-2</v>
      </c>
      <c r="L217" s="269">
        <f t="shared" si="67"/>
        <v>4.8501027020540398E-2</v>
      </c>
      <c r="M217" s="269">
        <f t="shared" si="67"/>
        <v>4.8501027020540398E-2</v>
      </c>
      <c r="N217" s="269">
        <f t="shared" si="67"/>
        <v>3.7385743995100917E-2</v>
      </c>
      <c r="O217" s="269">
        <f t="shared" si="67"/>
        <v>3.4801093692910574E-2</v>
      </c>
      <c r="P217" s="269">
        <f t="shared" si="67"/>
        <v>3.153598878737017E-2</v>
      </c>
      <c r="Q217" s="269">
        <f t="shared" si="67"/>
        <v>3.5894643822062457E-2</v>
      </c>
      <c r="R217" s="269">
        <f t="shared" si="67"/>
        <v>-2.9830224266469401E-2</v>
      </c>
      <c r="S217" s="269">
        <f t="shared" si="67"/>
        <v>-2.9436982138662835E-2</v>
      </c>
      <c r="T217" s="269">
        <f t="shared" si="67"/>
        <v>-2.9830224266469401E-2</v>
      </c>
      <c r="U217" s="269">
        <f t="shared" si="67"/>
        <v>-2.9830224266469401E-2</v>
      </c>
      <c r="V217" s="269">
        <f t="shared" si="67"/>
        <v>-2.9436982138662835E-2</v>
      </c>
      <c r="W217" s="269">
        <f t="shared" si="67"/>
        <v>-2.9436982138662835E-2</v>
      </c>
      <c r="X217" s="269">
        <f t="shared" si="67"/>
        <v>0</v>
      </c>
      <c r="Y217" s="269">
        <f t="shared" si="67"/>
        <v>0</v>
      </c>
      <c r="Z217" s="268"/>
      <c r="AA217" s="268"/>
    </row>
    <row r="218" spans="3:27" x14ac:dyDescent="0.25">
      <c r="E218" s="75"/>
      <c r="F218" s="256" t="s">
        <v>199</v>
      </c>
      <c r="G218" t="s">
        <v>270</v>
      </c>
      <c r="H218" s="268"/>
      <c r="I218" s="268"/>
      <c r="J218" s="269">
        <f t="shared" ref="J218:Y218" si="68">hundred * $H26 * J63 / $H51 * J113 * (1 - J75) / hours_in_year</f>
        <v>2.0340297128517384E-2</v>
      </c>
      <c r="K218" s="269">
        <f t="shared" si="68"/>
        <v>2.0340297128517384E-2</v>
      </c>
      <c r="L218" s="269">
        <f t="shared" si="68"/>
        <v>1.9899244867984001E-2</v>
      </c>
      <c r="M218" s="269">
        <f t="shared" si="68"/>
        <v>1.9899244867984001E-2</v>
      </c>
      <c r="N218" s="269">
        <f t="shared" si="68"/>
        <v>1.5338810743434572E-2</v>
      </c>
      <c r="O218" s="269">
        <f t="shared" si="68"/>
        <v>1.4278367441077024E-2</v>
      </c>
      <c r="P218" s="269">
        <f t="shared" si="68"/>
        <v>0</v>
      </c>
      <c r="Q218" s="269">
        <f t="shared" si="68"/>
        <v>1.4727034678292289E-2</v>
      </c>
      <c r="R218" s="269">
        <f t="shared" si="68"/>
        <v>-1.2238894176281283E-2</v>
      </c>
      <c r="S218" s="269">
        <f t="shared" si="68"/>
        <v>0</v>
      </c>
      <c r="T218" s="269">
        <f t="shared" si="68"/>
        <v>-1.2238894176281283E-2</v>
      </c>
      <c r="U218" s="269">
        <f t="shared" si="68"/>
        <v>-1.2238894176281283E-2</v>
      </c>
      <c r="V218" s="269">
        <f t="shared" si="68"/>
        <v>0</v>
      </c>
      <c r="W218" s="269">
        <f t="shared" si="68"/>
        <v>0</v>
      </c>
      <c r="X218" s="269">
        <f t="shared" si="68"/>
        <v>0</v>
      </c>
      <c r="Y218" s="269">
        <f t="shared" si="68"/>
        <v>0</v>
      </c>
      <c r="Z218" s="268"/>
      <c r="AA218" s="268"/>
    </row>
    <row r="219" spans="3:27" x14ac:dyDescent="0.25">
      <c r="E219" s="75"/>
      <c r="F219" s="258" t="s">
        <v>200</v>
      </c>
      <c r="G219" s="96" t="s">
        <v>270</v>
      </c>
      <c r="H219" s="270"/>
      <c r="I219" s="270"/>
      <c r="J219" s="271">
        <f t="shared" ref="J219:Y219" si="69">hundred * $H27 * J64 / $H52 * J114 * (1 - J76) / hours_in_year</f>
        <v>5.0195888104295643E-2</v>
      </c>
      <c r="K219" s="271">
        <f t="shared" si="69"/>
        <v>5.0195888104295643E-2</v>
      </c>
      <c r="L219" s="271">
        <f t="shared" si="69"/>
        <v>4.9107457105574327E-2</v>
      </c>
      <c r="M219" s="271">
        <f t="shared" si="69"/>
        <v>4.9107457105574327E-2</v>
      </c>
      <c r="N219" s="271">
        <f t="shared" si="69"/>
        <v>3.7853194713214661E-2</v>
      </c>
      <c r="O219" s="271">
        <f t="shared" si="69"/>
        <v>0</v>
      </c>
      <c r="P219" s="271">
        <f t="shared" si="69"/>
        <v>0</v>
      </c>
      <c r="Q219" s="271">
        <f t="shared" si="69"/>
        <v>3.6343450646216038E-2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580</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190</v>
      </c>
      <c r="G222" s="95" t="s">
        <v>270</v>
      </c>
      <c r="H222" s="266"/>
      <c r="I222" s="266"/>
      <c r="J222" s="267">
        <f t="shared" ref="J222:Y222" si="70">hundred * $H30 * J55 / $H43 * J105 / hours_in_year</f>
        <v>0</v>
      </c>
      <c r="K222" s="267">
        <f t="shared" si="70"/>
        <v>0</v>
      </c>
      <c r="L222" s="267">
        <f t="shared" si="70"/>
        <v>0</v>
      </c>
      <c r="M222" s="267">
        <f t="shared" si="70"/>
        <v>0</v>
      </c>
      <c r="N222" s="267">
        <f t="shared" si="70"/>
        <v>0</v>
      </c>
      <c r="O222" s="267">
        <f t="shared" si="70"/>
        <v>0</v>
      </c>
      <c r="P222" s="267">
        <f t="shared" si="70"/>
        <v>0</v>
      </c>
      <c r="Q222" s="267">
        <f t="shared" si="70"/>
        <v>0</v>
      </c>
      <c r="R222" s="267">
        <f t="shared" si="70"/>
        <v>0</v>
      </c>
      <c r="S222" s="267">
        <f t="shared" si="70"/>
        <v>0</v>
      </c>
      <c r="T222" s="267">
        <f t="shared" si="70"/>
        <v>0</v>
      </c>
      <c r="U222" s="267">
        <f t="shared" si="70"/>
        <v>0</v>
      </c>
      <c r="V222" s="267">
        <f t="shared" si="70"/>
        <v>0</v>
      </c>
      <c r="W222" s="267">
        <f t="shared" si="70"/>
        <v>0</v>
      </c>
      <c r="X222" s="267">
        <f t="shared" si="70"/>
        <v>0</v>
      </c>
      <c r="Y222" s="267">
        <f t="shared" si="70"/>
        <v>0</v>
      </c>
      <c r="Z222" s="268"/>
      <c r="AA222" s="268"/>
    </row>
    <row r="223" spans="3:27" x14ac:dyDescent="0.25">
      <c r="C223" s="75"/>
      <c r="E223" s="75"/>
      <c r="F223" s="256" t="s">
        <v>192</v>
      </c>
      <c r="G223" t="s">
        <v>270</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193</v>
      </c>
      <c r="G224" t="s">
        <v>270</v>
      </c>
      <c r="H224" s="268"/>
      <c r="I224" s="268"/>
      <c r="J224" s="269">
        <f t="shared" ref="J224:Y224" si="72">hundred * $H32 * J57 / $H45 * J107 / hours_in_year</f>
        <v>1.2588548664211946E-2</v>
      </c>
      <c r="K224" s="269">
        <f t="shared" si="72"/>
        <v>1.2588548664211946E-2</v>
      </c>
      <c r="L224" s="269">
        <f t="shared" si="72"/>
        <v>1.2315582747829094E-2</v>
      </c>
      <c r="M224" s="269">
        <f t="shared" si="72"/>
        <v>1.2315582747829094E-2</v>
      </c>
      <c r="N224" s="269">
        <f t="shared" si="72"/>
        <v>9.49314379602368E-3</v>
      </c>
      <c r="O224" s="269">
        <f t="shared" si="72"/>
        <v>8.8368386283548418E-3</v>
      </c>
      <c r="P224" s="269">
        <f t="shared" si="72"/>
        <v>8.0077495942711754E-3</v>
      </c>
      <c r="Q224" s="269">
        <f t="shared" si="72"/>
        <v>9.1145174308834044E-3</v>
      </c>
      <c r="R224" s="269">
        <f t="shared" si="72"/>
        <v>-7.5746147640217551E-3</v>
      </c>
      <c r="S224" s="269">
        <f t="shared" si="72"/>
        <v>-7.4747610853999977E-3</v>
      </c>
      <c r="T224" s="269">
        <f t="shared" si="72"/>
        <v>-7.5746147640217551E-3</v>
      </c>
      <c r="U224" s="269">
        <f t="shared" si="72"/>
        <v>-7.5746147640217551E-3</v>
      </c>
      <c r="V224" s="269">
        <f t="shared" si="72"/>
        <v>-7.4747610853999977E-3</v>
      </c>
      <c r="W224" s="269">
        <f t="shared" si="72"/>
        <v>-7.4747610853999977E-3</v>
      </c>
      <c r="X224" s="269">
        <f t="shared" si="72"/>
        <v>-7.374907406778243E-3</v>
      </c>
      <c r="Y224" s="269">
        <f t="shared" si="72"/>
        <v>-7.374907406778243E-3</v>
      </c>
      <c r="Z224" s="268"/>
      <c r="AA224" s="268"/>
    </row>
    <row r="225" spans="2:27" x14ac:dyDescent="0.25">
      <c r="C225" s="75"/>
      <c r="E225" s="75"/>
      <c r="F225" s="256" t="s">
        <v>194</v>
      </c>
      <c r="G225" t="s">
        <v>270</v>
      </c>
      <c r="H225" s="268"/>
      <c r="I225" s="268"/>
      <c r="J225" s="269">
        <f t="shared" ref="J225:Y225" si="73">hundred * $H33 * J58 / $H46 * J108 / hours_in_year</f>
        <v>1.80320231875402E-3</v>
      </c>
      <c r="K225" s="269">
        <f t="shared" si="73"/>
        <v>1.80320231875402E-3</v>
      </c>
      <c r="L225" s="269">
        <f t="shared" si="73"/>
        <v>1.764102277399635E-3</v>
      </c>
      <c r="M225" s="269">
        <f t="shared" si="73"/>
        <v>1.764102277399635E-3</v>
      </c>
      <c r="N225" s="269">
        <f t="shared" si="73"/>
        <v>1.3598119498811061E-3</v>
      </c>
      <c r="O225" s="269">
        <f t="shared" si="73"/>
        <v>1.2658018275295809E-3</v>
      </c>
      <c r="P225" s="269">
        <f t="shared" si="73"/>
        <v>1.1470418887478066E-3</v>
      </c>
      <c r="Q225" s="269">
        <f t="shared" si="73"/>
        <v>1.3055769496619534E-3</v>
      </c>
      <c r="R225" s="269">
        <f t="shared" si="73"/>
        <v>-1.0849990154133068E-3</v>
      </c>
      <c r="S225" s="269">
        <f t="shared" si="73"/>
        <v>-1.0706958268862012E-3</v>
      </c>
      <c r="T225" s="269">
        <f t="shared" si="73"/>
        <v>-1.0849990154133068E-3</v>
      </c>
      <c r="U225" s="269">
        <f t="shared" si="73"/>
        <v>-1.0849990154133068E-3</v>
      </c>
      <c r="V225" s="269">
        <f t="shared" si="73"/>
        <v>-1.0706958268862012E-3</v>
      </c>
      <c r="W225" s="269">
        <f t="shared" si="73"/>
        <v>-1.0706958268862012E-3</v>
      </c>
      <c r="X225" s="269">
        <f t="shared" si="73"/>
        <v>-1.0563926383590956E-3</v>
      </c>
      <c r="Y225" s="269">
        <f t="shared" si="73"/>
        <v>-1.0563926383590956E-3</v>
      </c>
      <c r="Z225" s="268"/>
      <c r="AA225" s="268"/>
    </row>
    <row r="226" spans="2:27" x14ac:dyDescent="0.25">
      <c r="C226" s="75"/>
      <c r="E226" s="75"/>
      <c r="F226" s="256" t="s">
        <v>195</v>
      </c>
      <c r="G226" t="s">
        <v>270</v>
      </c>
      <c r="H226" s="268"/>
      <c r="I226" s="268"/>
      <c r="J226" s="269">
        <f t="shared" ref="J226:Y226" si="74">hundred * $H34 * J59 / $H47 * J109 / hours_in_year</f>
        <v>1.053933476954279E-2</v>
      </c>
      <c r="K226" s="269">
        <f t="shared" si="74"/>
        <v>1.053933476954279E-2</v>
      </c>
      <c r="L226" s="269">
        <f t="shared" si="74"/>
        <v>1.0310803327978553E-2</v>
      </c>
      <c r="M226" s="269">
        <f t="shared" si="74"/>
        <v>1.0310803327978553E-2</v>
      </c>
      <c r="N226" s="269">
        <f t="shared" si="74"/>
        <v>7.9478121863355497E-3</v>
      </c>
      <c r="O226" s="269">
        <f t="shared" si="74"/>
        <v>7.398342977648513E-3</v>
      </c>
      <c r="P226" s="269">
        <f t="shared" si="74"/>
        <v>6.7042163458147681E-3</v>
      </c>
      <c r="Q226" s="269">
        <f t="shared" si="74"/>
        <v>7.6308201230540192E-3</v>
      </c>
      <c r="R226" s="269">
        <f t="shared" si="74"/>
        <v>-6.3415889216284129E-3</v>
      </c>
      <c r="S226" s="269">
        <f t="shared" si="74"/>
        <v>-6.2579898209666465E-3</v>
      </c>
      <c r="T226" s="269">
        <f t="shared" si="74"/>
        <v>-6.3415889216284129E-3</v>
      </c>
      <c r="U226" s="269">
        <f t="shared" si="74"/>
        <v>-6.3415889216284129E-3</v>
      </c>
      <c r="V226" s="269">
        <f t="shared" si="74"/>
        <v>-6.2579898209666465E-3</v>
      </c>
      <c r="W226" s="269">
        <f t="shared" si="74"/>
        <v>-6.2579898209666465E-3</v>
      </c>
      <c r="X226" s="269">
        <f t="shared" si="74"/>
        <v>-6.1743907203048775E-3</v>
      </c>
      <c r="Y226" s="269">
        <f t="shared" si="74"/>
        <v>-6.1743907203048775E-3</v>
      </c>
      <c r="Z226" s="268"/>
      <c r="AA226" s="268"/>
    </row>
    <row r="227" spans="2:27" x14ac:dyDescent="0.25">
      <c r="C227" s="75"/>
      <c r="E227" s="75"/>
      <c r="F227" s="256" t="s">
        <v>196</v>
      </c>
      <c r="G227" t="s">
        <v>270</v>
      </c>
      <c r="H227" s="268"/>
      <c r="I227" s="268"/>
      <c r="J227" s="269">
        <f t="shared" ref="J227:Y227" si="75">hundred * $H35 * J60 / $H48 * J110 / hours_in_year</f>
        <v>8.3361833235665213E-3</v>
      </c>
      <c r="K227" s="269">
        <f t="shared" si="75"/>
        <v>8.3361833235665213E-3</v>
      </c>
      <c r="L227" s="269">
        <f t="shared" si="75"/>
        <v>8.1554242876562249E-3</v>
      </c>
      <c r="M227" s="269">
        <f t="shared" si="75"/>
        <v>8.1554242876562249E-3</v>
      </c>
      <c r="N227" s="269">
        <f t="shared" si="75"/>
        <v>6.2863948109927415E-3</v>
      </c>
      <c r="O227" s="269">
        <f t="shared" si="75"/>
        <v>5.8517871099918097E-3</v>
      </c>
      <c r="P227" s="269">
        <f t="shared" si="75"/>
        <v>5.3027612958144619E-3</v>
      </c>
      <c r="Q227" s="269">
        <f t="shared" si="75"/>
        <v>6.0356670364782707E-3</v>
      </c>
      <c r="R227" s="269">
        <f t="shared" si="75"/>
        <v>-5.0159378148006495E-3</v>
      </c>
      <c r="S227" s="269">
        <f t="shared" si="75"/>
        <v>-4.9498143407825631E-3</v>
      </c>
      <c r="T227" s="269">
        <f t="shared" si="75"/>
        <v>-5.0159378148006495E-3</v>
      </c>
      <c r="U227" s="269">
        <f t="shared" si="75"/>
        <v>-5.0159378148006495E-3</v>
      </c>
      <c r="V227" s="269">
        <f t="shared" si="75"/>
        <v>-4.9498143407825631E-3</v>
      </c>
      <c r="W227" s="269">
        <f t="shared" si="75"/>
        <v>-4.9498143407825631E-3</v>
      </c>
      <c r="X227" s="269">
        <f t="shared" si="75"/>
        <v>-4.8836908667644749E-3</v>
      </c>
      <c r="Y227" s="269">
        <f t="shared" si="75"/>
        <v>-4.8836908667644749E-3</v>
      </c>
      <c r="Z227" s="268"/>
      <c r="AA227" s="268"/>
    </row>
    <row r="228" spans="2:27" x14ac:dyDescent="0.25">
      <c r="C228" s="75"/>
      <c r="E228" s="75"/>
      <c r="F228" s="256" t="s">
        <v>197</v>
      </c>
      <c r="G228" t="s">
        <v>270</v>
      </c>
      <c r="H228" s="268"/>
      <c r="I228" s="268"/>
      <c r="J228" s="269">
        <f t="shared" ref="J228:Y228" si="76">hundred * $H36 * J61 / $H49 * J111 / hours_in_year</f>
        <v>0</v>
      </c>
      <c r="K228" s="269">
        <f t="shared" si="76"/>
        <v>0</v>
      </c>
      <c r="L228" s="269">
        <f t="shared" si="76"/>
        <v>0</v>
      </c>
      <c r="M228" s="269">
        <f t="shared" si="76"/>
        <v>0</v>
      </c>
      <c r="N228" s="269">
        <f t="shared" si="76"/>
        <v>0</v>
      </c>
      <c r="O228" s="269">
        <f t="shared" si="76"/>
        <v>0</v>
      </c>
      <c r="P228" s="269">
        <f t="shared" si="76"/>
        <v>0</v>
      </c>
      <c r="Q228" s="269">
        <f t="shared" si="76"/>
        <v>0</v>
      </c>
      <c r="R228" s="269">
        <f t="shared" si="76"/>
        <v>0</v>
      </c>
      <c r="S228" s="269">
        <f t="shared" si="76"/>
        <v>0</v>
      </c>
      <c r="T228" s="269">
        <f t="shared" si="76"/>
        <v>0</v>
      </c>
      <c r="U228" s="269">
        <f t="shared" si="76"/>
        <v>0</v>
      </c>
      <c r="V228" s="269">
        <f t="shared" si="76"/>
        <v>0</v>
      </c>
      <c r="W228" s="269">
        <f t="shared" si="76"/>
        <v>0</v>
      </c>
      <c r="X228" s="269">
        <f t="shared" si="76"/>
        <v>0</v>
      </c>
      <c r="Y228" s="269">
        <f t="shared" si="76"/>
        <v>0</v>
      </c>
      <c r="Z228" s="268"/>
      <c r="AA228" s="268"/>
    </row>
    <row r="229" spans="2:27" x14ac:dyDescent="0.25">
      <c r="C229" s="75"/>
      <c r="E229" s="75"/>
      <c r="F229" s="256" t="s">
        <v>198</v>
      </c>
      <c r="G229" t="s">
        <v>270</v>
      </c>
      <c r="H229" s="268"/>
      <c r="I229" s="268"/>
      <c r="J229" s="269">
        <f t="shared" ref="J229:Y229" si="77">hundred * $H37 * J62 / $H50 * J112 / hours_in_year</f>
        <v>3.8388196898435534E-2</v>
      </c>
      <c r="K229" s="269">
        <f t="shared" si="77"/>
        <v>3.8388196898435534E-2</v>
      </c>
      <c r="L229" s="269">
        <f t="shared" si="77"/>
        <v>3.7555799961808779E-2</v>
      </c>
      <c r="M229" s="269">
        <f t="shared" si="77"/>
        <v>3.7555799961808779E-2</v>
      </c>
      <c r="N229" s="269">
        <f t="shared" si="77"/>
        <v>2.894890292341195E-2</v>
      </c>
      <c r="O229" s="269">
        <f t="shared" si="77"/>
        <v>2.6947530670424807E-2</v>
      </c>
      <c r="P229" s="269">
        <f t="shared" si="77"/>
        <v>2.4419262008508337E-2</v>
      </c>
      <c r="Q229" s="269">
        <f t="shared" si="77"/>
        <v>2.7794299335369681E-2</v>
      </c>
      <c r="R229" s="269">
        <f t="shared" si="77"/>
        <v>-2.3098437377273844E-2</v>
      </c>
      <c r="S229" s="269">
        <f t="shared" si="77"/>
        <v>-2.2793938202808839E-2</v>
      </c>
      <c r="T229" s="269">
        <f t="shared" si="77"/>
        <v>-2.3098437377273844E-2</v>
      </c>
      <c r="U229" s="269">
        <f t="shared" si="77"/>
        <v>-2.3098437377273844E-2</v>
      </c>
      <c r="V229" s="269">
        <f t="shared" si="77"/>
        <v>-2.2793938202808839E-2</v>
      </c>
      <c r="W229" s="269">
        <f t="shared" si="77"/>
        <v>-2.2793938202808839E-2</v>
      </c>
      <c r="X229" s="269">
        <f t="shared" si="77"/>
        <v>0</v>
      </c>
      <c r="Y229" s="269">
        <f t="shared" si="77"/>
        <v>0</v>
      </c>
      <c r="Z229" s="268"/>
      <c r="AA229" s="268"/>
    </row>
    <row r="230" spans="2:27" x14ac:dyDescent="0.25">
      <c r="C230" s="75"/>
      <c r="E230" s="75"/>
      <c r="F230" s="256" t="s">
        <v>199</v>
      </c>
      <c r="G230" t="s">
        <v>270</v>
      </c>
      <c r="H230" s="268"/>
      <c r="I230" s="268"/>
      <c r="J230" s="269">
        <f t="shared" ref="J230:Y230" si="78">hundred * $H38 * J63 / $H51 * J113 / hours_in_year</f>
        <v>1.5750102153483044E-2</v>
      </c>
      <c r="K230" s="269">
        <f t="shared" si="78"/>
        <v>1.5750102153483044E-2</v>
      </c>
      <c r="L230" s="269">
        <f t="shared" si="78"/>
        <v>1.5408582159230542E-2</v>
      </c>
      <c r="M230" s="269">
        <f t="shared" si="78"/>
        <v>1.5408582159230542E-2</v>
      </c>
      <c r="N230" s="269">
        <f t="shared" si="78"/>
        <v>1.1877301230930799E-2</v>
      </c>
      <c r="O230" s="269">
        <f t="shared" si="78"/>
        <v>1.1056168174978939E-2</v>
      </c>
      <c r="P230" s="269">
        <f t="shared" si="78"/>
        <v>0</v>
      </c>
      <c r="Q230" s="269">
        <f t="shared" si="78"/>
        <v>1.1403584674079831E-2</v>
      </c>
      <c r="R230" s="269">
        <f t="shared" si="78"/>
        <v>-9.4769428540864963E-3</v>
      </c>
      <c r="S230" s="269">
        <f t="shared" si="78"/>
        <v>0</v>
      </c>
      <c r="T230" s="269">
        <f t="shared" si="78"/>
        <v>-9.4769428540864963E-3</v>
      </c>
      <c r="U230" s="269">
        <f t="shared" si="78"/>
        <v>-9.4769428540864963E-3</v>
      </c>
      <c r="V230" s="269">
        <f t="shared" si="78"/>
        <v>0</v>
      </c>
      <c r="W230" s="269">
        <f t="shared" si="78"/>
        <v>0</v>
      </c>
      <c r="X230" s="269">
        <f t="shared" si="78"/>
        <v>0</v>
      </c>
      <c r="Y230" s="269">
        <f t="shared" si="78"/>
        <v>0</v>
      </c>
      <c r="Z230" s="268"/>
      <c r="AA230" s="268"/>
    </row>
    <row r="231" spans="2:27" x14ac:dyDescent="0.25">
      <c r="C231" s="75"/>
      <c r="E231" s="75"/>
      <c r="F231" s="258" t="s">
        <v>200</v>
      </c>
      <c r="G231" s="96" t="s">
        <v>270</v>
      </c>
      <c r="H231" s="270"/>
      <c r="I231" s="270"/>
      <c r="J231" s="271">
        <f t="shared" ref="J231:Y231" si="79">hundred * $H39 * J64 / $H52 * J114 / hours_in_year</f>
        <v>3.8868181734623822E-2</v>
      </c>
      <c r="K231" s="271">
        <f t="shared" si="79"/>
        <v>3.8868181734623822E-2</v>
      </c>
      <c r="L231" s="271">
        <f t="shared" si="79"/>
        <v>3.8025376965914529E-2</v>
      </c>
      <c r="M231" s="271">
        <f t="shared" si="79"/>
        <v>3.8025376965914529E-2</v>
      </c>
      <c r="N231" s="271">
        <f t="shared" si="79"/>
        <v>2.9310864035164263E-2</v>
      </c>
      <c r="O231" s="271">
        <f t="shared" si="79"/>
        <v>0</v>
      </c>
      <c r="P231" s="271">
        <f t="shared" si="79"/>
        <v>0</v>
      </c>
      <c r="Q231" s="271">
        <f t="shared" si="79"/>
        <v>2.8141823920823688E-2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232</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587</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233</v>
      </c>
      <c r="G237" s="6" t="s">
        <v>57</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588</v>
      </c>
      <c r="G239" s="6" t="s">
        <v>57</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589</v>
      </c>
      <c r="G241" s="6" t="s">
        <v>57</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108</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590</v>
      </c>
      <c r="D9"/>
      <c r="F9" s="86"/>
    </row>
    <row r="10" spans="1:27" x14ac:dyDescent="0.25">
      <c r="C10" s="86" t="s">
        <v>591</v>
      </c>
      <c r="D10"/>
      <c r="E10"/>
      <c r="F10" s="86"/>
    </row>
    <row r="11" spans="1:27" x14ac:dyDescent="0.25">
      <c r="C11" s="86" t="s">
        <v>592</v>
      </c>
    </row>
    <row r="13" spans="1:27" x14ac:dyDescent="0.25">
      <c r="B13" s="85" t="s">
        <v>593</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594</v>
      </c>
    </row>
    <row r="16" spans="1:27" x14ac:dyDescent="0.25">
      <c r="C16" s="105"/>
    </row>
    <row r="17" spans="2:27" x14ac:dyDescent="0.25">
      <c r="C17" s="93" t="str">
        <f ca="1">INDEX('Version control'!$H$42:$H$65,MATCH($A$1,'Version control'!$F$42:$F$65,0),1)&amp;"-A: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526</v>
      </c>
      <c r="F19" s="94"/>
      <c r="G19" s="94" t="s">
        <v>168</v>
      </c>
      <c r="H19" s="243">
        <f>'Unit costs'!$H$121</f>
        <v>5.7244416563034098E-2</v>
      </c>
      <c r="I19" s="3"/>
      <c r="J19" s="3"/>
      <c r="K19" s="3"/>
      <c r="L19" s="3"/>
      <c r="M19" s="3"/>
      <c r="N19" s="3"/>
      <c r="P19" s="3"/>
    </row>
    <row r="20" spans="2:27" x14ac:dyDescent="0.25">
      <c r="C20" s="105"/>
      <c r="E20" t="s">
        <v>556</v>
      </c>
      <c r="G20" t="s">
        <v>316</v>
      </c>
      <c r="H20" s="167">
        <f>'Unit costs'!$H$122</f>
        <v>198000451.61316684</v>
      </c>
    </row>
    <row r="21" spans="2:27" x14ac:dyDescent="0.25">
      <c r="C21" s="105"/>
      <c r="E21" t="s">
        <v>595</v>
      </c>
      <c r="G21" t="s">
        <v>316</v>
      </c>
      <c r="H21" s="167">
        <f>'Unit costs'!$H$123</f>
        <v>4466907561.8303337</v>
      </c>
    </row>
    <row r="22" spans="2:27" x14ac:dyDescent="0.25">
      <c r="D22" s="105"/>
      <c r="E22"/>
    </row>
    <row r="23" spans="2:27" x14ac:dyDescent="0.25">
      <c r="D23"/>
      <c r="E23" s="75" t="s">
        <v>596</v>
      </c>
      <c r="H23" s="97"/>
      <c r="J23" s="97"/>
      <c r="K23" s="97"/>
      <c r="L23" s="97"/>
      <c r="M23" s="97"/>
      <c r="N23" s="97"/>
    </row>
    <row r="24" spans="2:27" x14ac:dyDescent="0.25">
      <c r="D24"/>
      <c r="E24" s="86" t="s">
        <v>597</v>
      </c>
      <c r="H24" s="97"/>
    </row>
    <row r="25" spans="2:27" x14ac:dyDescent="0.25">
      <c r="E25" s="105"/>
      <c r="F25" s="95" t="s">
        <v>335</v>
      </c>
      <c r="G25" s="95" t="s">
        <v>262</v>
      </c>
      <c r="H25" s="237"/>
      <c r="I25" s="95"/>
      <c r="J25" s="171">
        <f>'Inputs by customer type'!J187</f>
        <v>269.38782309498231</v>
      </c>
      <c r="K25" s="171">
        <f>'Inputs by customer type'!K187</f>
        <v>0</v>
      </c>
      <c r="L25" s="171">
        <f>'Inputs by customer type'!L187</f>
        <v>789.88180929747637</v>
      </c>
      <c r="M25" s="171">
        <f>'Inputs by customer type'!M187</f>
        <v>0</v>
      </c>
      <c r="N25" s="171">
        <f>'Inputs by customer type'!N187</f>
        <v>1575.9229526519534</v>
      </c>
      <c r="O25" s="171">
        <f>'Inputs by customer type'!O187</f>
        <v>1230.1772191560049</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336</v>
      </c>
      <c r="G26" t="s">
        <v>262</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11356.793905550356</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7107.5663724404194</v>
      </c>
      <c r="Y26" s="167">
        <f>'Inputs by customer type'!Y188</f>
        <v>7107.5663724404194</v>
      </c>
    </row>
    <row r="27" spans="2:27" x14ac:dyDescent="0.25">
      <c r="E27" s="105"/>
      <c r="F27" s="96" t="s">
        <v>511</v>
      </c>
      <c r="G27" s="96" t="s">
        <v>265</v>
      </c>
      <c r="H27" s="96"/>
      <c r="I27" s="96"/>
      <c r="J27" s="121"/>
      <c r="K27" s="121"/>
      <c r="L27" s="121"/>
      <c r="M27" s="121"/>
      <c r="N27" s="121"/>
      <c r="O27" s="121"/>
      <c r="P27" s="121"/>
      <c r="Q27" s="172">
        <f>'Inputs by customer type'!Q190</f>
        <v>304.52583745521042</v>
      </c>
      <c r="R27" s="121"/>
      <c r="S27" s="121"/>
      <c r="T27" s="121"/>
      <c r="U27" s="121"/>
      <c r="V27" s="121"/>
      <c r="W27" s="121"/>
      <c r="X27" s="121"/>
      <c r="Y27" s="121"/>
    </row>
    <row r="28" spans="2:27" x14ac:dyDescent="0.25">
      <c r="D28" s="105"/>
      <c r="E28"/>
    </row>
    <row r="29" spans="2:27" x14ac:dyDescent="0.25">
      <c r="B29" s="85" t="s">
        <v>598</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599</v>
      </c>
    </row>
    <row r="32" spans="2:27" x14ac:dyDescent="0.25">
      <c r="C32" s="105"/>
    </row>
    <row r="33" spans="2:27" x14ac:dyDescent="0.25">
      <c r="C33" s="93" t="str">
        <f ca="1">INDEX('Version control'!$H$42:$H$65,MATCH($A$1,'Version control'!$F$42:$F$65,0),1)&amp;"-B: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600</v>
      </c>
      <c r="G35" t="s">
        <v>278</v>
      </c>
      <c r="H35" s="168">
        <f>IF(H21 &lt;&gt; 0, H20  /H21, 0)</f>
        <v>4.4326068733787576E-2</v>
      </c>
      <c r="I35" t="s">
        <v>155</v>
      </c>
      <c r="J35" s="97"/>
      <c r="K35" s="97"/>
      <c r="L35" s="97"/>
      <c r="M35" s="97"/>
      <c r="N35" s="97"/>
      <c r="O35" s="97"/>
      <c r="P35" s="97"/>
      <c r="Q35" s="97"/>
      <c r="R35" s="97"/>
      <c r="S35" s="97"/>
      <c r="T35" s="97"/>
      <c r="U35" s="97"/>
      <c r="V35" s="97"/>
      <c r="W35" s="97"/>
      <c r="X35" s="97"/>
      <c r="Y35" s="97"/>
      <c r="AA35" t="s">
        <v>601</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control'!$H$42:$H$65,MATCH($A$1,'Version control'!$F$42:$F$65,0),1)&amp;"-C: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602</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603</v>
      </c>
      <c r="H41" s="97"/>
      <c r="I41" t="s">
        <v>155</v>
      </c>
      <c r="J41" s="97"/>
      <c r="K41" s="97"/>
      <c r="L41" s="97"/>
      <c r="M41" s="97"/>
      <c r="N41" s="97"/>
      <c r="O41" s="97"/>
      <c r="P41" s="97"/>
      <c r="Q41" s="97"/>
      <c r="R41" s="97"/>
      <c r="S41" s="97"/>
      <c r="T41" s="97"/>
      <c r="U41" s="97"/>
      <c r="V41" s="97"/>
      <c r="W41" s="97"/>
      <c r="X41" s="97"/>
      <c r="Y41" s="97"/>
      <c r="AA41" t="s">
        <v>604</v>
      </c>
    </row>
    <row r="42" spans="2:27" x14ac:dyDescent="0.25">
      <c r="D42"/>
      <c r="E42" s="105"/>
      <c r="F42" s="95" t="s">
        <v>335</v>
      </c>
      <c r="G42" s="95" t="s">
        <v>271</v>
      </c>
      <c r="H42" s="237"/>
      <c r="I42" s="95"/>
      <c r="J42" s="149">
        <f t="shared" ref="J42:K42" si="0">J25 * $H$35 / days_in_year * hundred</f>
        <v>3.2625418476922388</v>
      </c>
      <c r="K42" s="149">
        <f t="shared" si="0"/>
        <v>0</v>
      </c>
      <c r="L42" s="149">
        <f t="shared" ref="L42:M42" si="1">L25 * $H$35 / days_in_year * hundred</f>
        <v>9.5662173143411007</v>
      </c>
      <c r="M42" s="149">
        <f t="shared" si="1"/>
        <v>0</v>
      </c>
      <c r="N42" s="149">
        <f t="shared" ref="N42:P42" si="2">N25 * $H$35 / days_in_year * hundred</f>
        <v>19.085920524154083</v>
      </c>
      <c r="O42" s="149">
        <f t="shared" si="2"/>
        <v>14.898612013947742</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336</v>
      </c>
      <c r="G43" t="s">
        <v>271</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137.54153750078822</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86.079364905669735</v>
      </c>
      <c r="Y43" s="151">
        <f t="shared" si="13"/>
        <v>86.079364905669735</v>
      </c>
    </row>
    <row r="44" spans="2:27" x14ac:dyDescent="0.25">
      <c r="D44"/>
      <c r="E44" s="105"/>
      <c r="F44" s="96" t="s">
        <v>511</v>
      </c>
      <c r="G44" s="96" t="s">
        <v>270</v>
      </c>
      <c r="H44" s="270"/>
      <c r="I44" s="270"/>
      <c r="J44" s="276"/>
      <c r="K44" s="276"/>
      <c r="L44" s="276"/>
      <c r="M44" s="276"/>
      <c r="N44" s="276"/>
      <c r="O44" s="276"/>
      <c r="P44" s="276"/>
      <c r="Q44" s="277">
        <f t="shared" ref="Q44" si="14">Q27*$H$35/ten</f>
        <v>1.3498433202253879</v>
      </c>
      <c r="R44" s="276"/>
      <c r="S44" s="276"/>
      <c r="T44" s="276"/>
      <c r="U44" s="276"/>
      <c r="V44" s="276"/>
      <c r="W44" s="276"/>
      <c r="X44" s="276"/>
      <c r="Y44" s="276"/>
      <c r="Z44" s="268"/>
      <c r="AA44" s="268"/>
    </row>
    <row r="45" spans="2:27" x14ac:dyDescent="0.25">
      <c r="D45" s="105"/>
      <c r="E45"/>
    </row>
    <row r="46" spans="2:27" x14ac:dyDescent="0.25">
      <c r="B46" s="85" t="s">
        <v>232</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233</v>
      </c>
      <c r="G48" s="6" t="s">
        <v>57</v>
      </c>
      <c r="H48" s="113">
        <f t="array" ref="H48">SUM(IF(ISERROR(H19:Y45), 1))</f>
        <v>0</v>
      </c>
    </row>
    <row r="50" spans="2:27" x14ac:dyDescent="0.25">
      <c r="B50" s="85" t="s">
        <v>108</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83"/>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[enter DNO name] - [enter data version name]</v>
      </c>
    </row>
    <row r="3" spans="1:13" s="5" customFormat="1" x14ac:dyDescent="0.25">
      <c r="A3" s="5" t="str">
        <f>Cover!D2&amp;" - "&amp;Cover!D8&amp;" v"&amp;Cover!D10&amp;" - "&amp;Cover!D19</f>
        <v>CDCM charging model - Release for charge setting v11 - 2027/28</v>
      </c>
    </row>
    <row r="4" spans="1:13" customFormat="1" x14ac:dyDescent="0.25">
      <c r="A4" s="60" t="str">
        <f>J66 &amp; IF(J66 = 1, " issue", " issues") &amp;" identified in checks on this sheet"</f>
        <v>0 issues identified in checks on this sheet</v>
      </c>
      <c r="B4" s="61"/>
      <c r="C4" s="61"/>
      <c r="D4" s="61"/>
      <c r="E4" s="61"/>
      <c r="F4" s="61"/>
      <c r="G4" s="61"/>
      <c r="H4" s="62"/>
      <c r="I4" s="62"/>
      <c r="J4" s="61"/>
    </row>
    <row r="5" spans="1:13" x14ac:dyDescent="0.25">
      <c r="A5" s="63"/>
      <c r="B5" s="64" t="s">
        <v>34</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35</v>
      </c>
      <c r="H7" s="67">
        <f>LOOKUP(2,1/(F20:F38&lt;&gt;""),F20:F38)</f>
        <v>45967</v>
      </c>
      <c r="I7" s="68"/>
      <c r="J7" s="68"/>
      <c r="K7" s="63"/>
      <c r="L7" s="63"/>
    </row>
    <row r="8" spans="1:13" x14ac:dyDescent="0.25">
      <c r="A8" s="63"/>
      <c r="B8" s="63"/>
      <c r="C8" s="63"/>
      <c r="D8" s="63"/>
      <c r="F8" s="63"/>
      <c r="H8" s="63"/>
      <c r="I8" s="66"/>
      <c r="J8" s="66"/>
      <c r="K8" s="63"/>
      <c r="L8" s="63"/>
    </row>
    <row r="9" spans="1:13" x14ac:dyDescent="0.25">
      <c r="A9" s="63"/>
      <c r="B9" s="63"/>
      <c r="C9" s="63"/>
      <c r="D9" s="63"/>
      <c r="F9" s="63" t="s">
        <v>36</v>
      </c>
      <c r="H9" s="69" t="str">
        <f>LOOKUP(2,1/(G20:G38&lt;&gt;""),G20:G38)</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782</v>
      </c>
      <c r="H11" s="69">
        <f>LOOKUP(2,1/(H20:H38&lt;&gt;""),H20:H38)</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37</v>
      </c>
      <c r="H13" s="67" t="str">
        <f>LOOKUP(2,1/(I20:I38&lt;&gt;""),I20:I38)</f>
        <v>Attachment A_DCUSA Charging Methodologies Pre-Release for 2027-28 (shared on 08/10/2025)</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38</v>
      </c>
      <c r="H15" s="69" t="str">
        <f>LOOKUP(2,1/(J20:J38&lt;&gt;""),J20:J38)</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39</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40</v>
      </c>
      <c r="G19" s="74" t="s">
        <v>41</v>
      </c>
      <c r="H19" s="73" t="s">
        <v>779</v>
      </c>
      <c r="I19" s="74" t="s">
        <v>42</v>
      </c>
      <c r="J19" s="74" t="s">
        <v>43</v>
      </c>
      <c r="K19" s="74" t="s">
        <v>44</v>
      </c>
      <c r="L19" s="74" t="s">
        <v>45</v>
      </c>
    </row>
    <row r="20" spans="1:12" ht="30" x14ac:dyDescent="0.25">
      <c r="A20" s="63"/>
      <c r="B20" s="63"/>
      <c r="C20" s="63"/>
      <c r="D20" s="63"/>
      <c r="E20" s="63"/>
      <c r="F20" s="419">
        <v>43250</v>
      </c>
      <c r="G20" s="416" t="s">
        <v>46</v>
      </c>
      <c r="H20" s="416">
        <v>1</v>
      </c>
      <c r="I20" s="416" t="s">
        <v>47</v>
      </c>
      <c r="J20" s="416" t="s">
        <v>48</v>
      </c>
      <c r="K20" s="416" t="s">
        <v>49</v>
      </c>
      <c r="L20" s="416" t="s">
        <v>50</v>
      </c>
    </row>
    <row r="21" spans="1:12" ht="30" x14ac:dyDescent="0.25">
      <c r="A21" s="63"/>
      <c r="B21" s="63"/>
      <c r="C21" s="63"/>
      <c r="D21" s="63"/>
      <c r="E21" s="63"/>
      <c r="F21" s="419">
        <v>43301</v>
      </c>
      <c r="G21" s="416" t="s">
        <v>46</v>
      </c>
      <c r="H21" s="416">
        <v>2</v>
      </c>
      <c r="I21" s="416" t="s">
        <v>51</v>
      </c>
      <c r="J21" s="416" t="s">
        <v>48</v>
      </c>
      <c r="K21" s="416" t="s">
        <v>49</v>
      </c>
      <c r="L21" s="416" t="s">
        <v>52</v>
      </c>
    </row>
    <row r="22" spans="1:12" ht="45" x14ac:dyDescent="0.25">
      <c r="A22" s="63"/>
      <c r="B22" s="63"/>
      <c r="C22" s="63"/>
      <c r="D22" s="63"/>
      <c r="E22" s="63"/>
      <c r="F22" s="419">
        <v>43389</v>
      </c>
      <c r="G22" s="416" t="s">
        <v>780</v>
      </c>
      <c r="H22" s="416">
        <v>3</v>
      </c>
      <c r="I22" s="420" t="s">
        <v>781</v>
      </c>
      <c r="J22" s="420" t="s">
        <v>48</v>
      </c>
      <c r="K22" s="420" t="s">
        <v>49</v>
      </c>
      <c r="L22" s="420" t="s">
        <v>783</v>
      </c>
    </row>
    <row r="23" spans="1:12" ht="60" x14ac:dyDescent="0.25">
      <c r="A23" s="63"/>
      <c r="B23" s="63"/>
      <c r="C23" s="63"/>
      <c r="D23" s="63"/>
      <c r="E23" s="63"/>
      <c r="F23" s="419">
        <v>43663</v>
      </c>
      <c r="G23" s="416" t="s">
        <v>46</v>
      </c>
      <c r="H23" s="416">
        <v>4</v>
      </c>
      <c r="I23" s="416" t="s">
        <v>812</v>
      </c>
      <c r="J23" s="420" t="s">
        <v>48</v>
      </c>
      <c r="K23" s="420" t="s">
        <v>49</v>
      </c>
      <c r="L23" s="416" t="s">
        <v>813</v>
      </c>
    </row>
    <row r="24" spans="1:12" ht="60" x14ac:dyDescent="0.25">
      <c r="A24" s="63"/>
      <c r="B24" s="63"/>
      <c r="C24" s="63"/>
      <c r="D24" s="63"/>
      <c r="E24" s="63"/>
      <c r="F24" s="419">
        <v>43777</v>
      </c>
      <c r="G24" s="416" t="s">
        <v>780</v>
      </c>
      <c r="H24" s="416">
        <v>5</v>
      </c>
      <c r="I24" s="416" t="s">
        <v>855</v>
      </c>
      <c r="J24" s="416" t="s">
        <v>48</v>
      </c>
      <c r="K24" s="416" t="s">
        <v>49</v>
      </c>
      <c r="L24" s="420" t="s">
        <v>849</v>
      </c>
    </row>
    <row r="25" spans="1:12" ht="90" x14ac:dyDescent="0.25">
      <c r="A25" s="63"/>
      <c r="B25" s="63"/>
      <c r="C25" s="63"/>
      <c r="D25" s="63"/>
      <c r="E25" s="63"/>
      <c r="F25" s="419">
        <v>43860</v>
      </c>
      <c r="G25" s="416" t="s">
        <v>780</v>
      </c>
      <c r="H25" s="416">
        <v>6</v>
      </c>
      <c r="I25" s="416" t="s">
        <v>857</v>
      </c>
      <c r="J25" s="416" t="s">
        <v>48</v>
      </c>
      <c r="K25" s="416" t="s">
        <v>49</v>
      </c>
      <c r="L25" s="420" t="s">
        <v>858</v>
      </c>
    </row>
    <row r="26" spans="1:12" ht="45" x14ac:dyDescent="0.25">
      <c r="A26" s="63"/>
      <c r="B26" s="63"/>
      <c r="C26" s="63"/>
      <c r="D26" s="63"/>
      <c r="E26" s="63"/>
      <c r="F26" s="419">
        <v>43977</v>
      </c>
      <c r="G26" s="416" t="s">
        <v>46</v>
      </c>
      <c r="H26" s="416">
        <v>6</v>
      </c>
      <c r="I26" s="416" t="s">
        <v>1073</v>
      </c>
      <c r="J26" s="416" t="s">
        <v>48</v>
      </c>
      <c r="K26" s="416" t="s">
        <v>49</v>
      </c>
      <c r="L26" s="416" t="s">
        <v>1074</v>
      </c>
    </row>
    <row r="27" spans="1:12" ht="60" x14ac:dyDescent="0.25">
      <c r="A27" s="63"/>
      <c r="B27" s="63"/>
      <c r="C27" s="63"/>
      <c r="D27" s="63"/>
      <c r="E27" s="63"/>
      <c r="F27" s="419">
        <v>44141</v>
      </c>
      <c r="G27" s="416" t="s">
        <v>780</v>
      </c>
      <c r="H27" s="416">
        <v>7</v>
      </c>
      <c r="I27" s="416" t="s">
        <v>1085</v>
      </c>
      <c r="J27" s="416" t="s">
        <v>48</v>
      </c>
      <c r="K27" s="416" t="s">
        <v>49</v>
      </c>
      <c r="L27" s="416" t="s">
        <v>1086</v>
      </c>
    </row>
    <row r="28" spans="1:12" ht="45" x14ac:dyDescent="0.25">
      <c r="A28" s="63"/>
      <c r="B28" s="63"/>
      <c r="C28" s="63"/>
      <c r="D28" s="63"/>
      <c r="E28" s="63"/>
      <c r="F28" s="419">
        <v>44225</v>
      </c>
      <c r="G28" s="416" t="s">
        <v>46</v>
      </c>
      <c r="H28" s="416">
        <v>7</v>
      </c>
      <c r="I28" s="416" t="s">
        <v>1100</v>
      </c>
      <c r="J28" s="416" t="s">
        <v>48</v>
      </c>
      <c r="K28" s="416" t="s">
        <v>49</v>
      </c>
      <c r="L28" s="416" t="s">
        <v>1101</v>
      </c>
    </row>
    <row r="29" spans="1:12" ht="90" x14ac:dyDescent="0.25">
      <c r="A29" s="63"/>
      <c r="B29" s="63"/>
      <c r="C29" s="63"/>
      <c r="D29" s="63"/>
      <c r="E29" s="63"/>
      <c r="F29" s="421">
        <v>44250</v>
      </c>
      <c r="G29" s="416" t="s">
        <v>780</v>
      </c>
      <c r="H29" s="422">
        <v>8</v>
      </c>
      <c r="I29" s="420" t="s">
        <v>1102</v>
      </c>
      <c r="J29" s="416" t="s">
        <v>48</v>
      </c>
      <c r="K29" s="423" t="s">
        <v>49</v>
      </c>
      <c r="L29" s="423" t="s">
        <v>1103</v>
      </c>
    </row>
    <row r="30" spans="1:12" ht="60" x14ac:dyDescent="0.25">
      <c r="A30" s="63"/>
      <c r="B30" s="63"/>
      <c r="C30" s="63"/>
      <c r="D30" s="63"/>
      <c r="E30" s="63"/>
      <c r="F30" s="421">
        <v>44522</v>
      </c>
      <c r="G30" s="416" t="s">
        <v>780</v>
      </c>
      <c r="H30" s="422">
        <v>8</v>
      </c>
      <c r="I30" s="420" t="s">
        <v>1104</v>
      </c>
      <c r="J30" s="416" t="s">
        <v>48</v>
      </c>
      <c r="K30" s="423" t="s">
        <v>49</v>
      </c>
      <c r="L30" s="423" t="s">
        <v>1108</v>
      </c>
    </row>
    <row r="31" spans="1:12" ht="60" x14ac:dyDescent="0.25">
      <c r="A31" s="63"/>
      <c r="B31" s="63"/>
      <c r="C31" s="63"/>
      <c r="D31" s="63"/>
      <c r="E31" s="63"/>
      <c r="F31" s="421">
        <v>44627</v>
      </c>
      <c r="G31" s="416" t="s">
        <v>46</v>
      </c>
      <c r="H31" s="422">
        <v>8</v>
      </c>
      <c r="I31" s="420" t="s">
        <v>1104</v>
      </c>
      <c r="J31" s="416" t="s">
        <v>48</v>
      </c>
      <c r="K31" s="423" t="s">
        <v>49</v>
      </c>
      <c r="L31" s="423" t="s">
        <v>1110</v>
      </c>
    </row>
    <row r="32" spans="1:12" ht="45" x14ac:dyDescent="0.25">
      <c r="A32" s="63"/>
      <c r="B32" s="63"/>
      <c r="C32" s="63"/>
      <c r="D32" s="63"/>
      <c r="E32" s="63"/>
      <c r="F32" s="421">
        <v>44861</v>
      </c>
      <c r="G32" s="416" t="s">
        <v>780</v>
      </c>
      <c r="H32" s="422">
        <v>9</v>
      </c>
      <c r="I32" s="420" t="s">
        <v>1111</v>
      </c>
      <c r="J32" s="416" t="s">
        <v>48</v>
      </c>
      <c r="K32" s="423" t="s">
        <v>49</v>
      </c>
      <c r="L32" s="423" t="s">
        <v>1112</v>
      </c>
    </row>
    <row r="33" spans="1:12" ht="45" x14ac:dyDescent="0.25">
      <c r="A33" s="63"/>
      <c r="B33" s="63"/>
      <c r="C33" s="63"/>
      <c r="D33" s="63"/>
      <c r="E33" s="63"/>
      <c r="F33" s="419">
        <v>45236</v>
      </c>
      <c r="G33" s="416" t="s">
        <v>780</v>
      </c>
      <c r="H33" s="416">
        <v>10</v>
      </c>
      <c r="I33" s="416" t="s">
        <v>1123</v>
      </c>
      <c r="J33" s="416" t="s">
        <v>48</v>
      </c>
      <c r="K33" s="423" t="s">
        <v>49</v>
      </c>
      <c r="L33" s="423" t="s">
        <v>1122</v>
      </c>
    </row>
    <row r="34" spans="1:12" ht="45" x14ac:dyDescent="0.25">
      <c r="A34" s="63"/>
      <c r="B34" s="63"/>
      <c r="C34" s="63"/>
      <c r="D34" s="63"/>
      <c r="E34" s="63"/>
      <c r="F34" s="419">
        <v>45268</v>
      </c>
      <c r="G34" s="416" t="s">
        <v>46</v>
      </c>
      <c r="H34" s="416">
        <v>10</v>
      </c>
      <c r="I34" s="416" t="s">
        <v>1168</v>
      </c>
      <c r="J34" s="416" t="s">
        <v>48</v>
      </c>
      <c r="K34" s="423" t="s">
        <v>49</v>
      </c>
      <c r="L34" s="416" t="s">
        <v>1167</v>
      </c>
    </row>
    <row r="35" spans="1:12" ht="45" x14ac:dyDescent="0.25">
      <c r="A35" s="63"/>
      <c r="B35" s="63"/>
      <c r="C35" s="63"/>
      <c r="D35" s="63"/>
      <c r="E35" s="63"/>
      <c r="F35" s="419">
        <v>45590</v>
      </c>
      <c r="G35" s="416" t="s">
        <v>780</v>
      </c>
      <c r="H35" s="416">
        <v>11</v>
      </c>
      <c r="I35" s="416" t="s">
        <v>1175</v>
      </c>
      <c r="J35" s="416" t="s">
        <v>48</v>
      </c>
      <c r="K35" s="423" t="s">
        <v>49</v>
      </c>
      <c r="L35" s="423" t="s">
        <v>1174</v>
      </c>
    </row>
    <row r="36" spans="1:12" ht="45" x14ac:dyDescent="0.25">
      <c r="A36" s="63"/>
      <c r="B36" s="63"/>
      <c r="C36" s="63"/>
      <c r="D36" s="63"/>
      <c r="E36" s="63"/>
      <c r="F36" s="419">
        <v>45967</v>
      </c>
      <c r="G36" s="416" t="s">
        <v>780</v>
      </c>
      <c r="H36" s="416">
        <v>11</v>
      </c>
      <c r="I36" s="416" t="s">
        <v>1178</v>
      </c>
      <c r="J36" s="416" t="s">
        <v>48</v>
      </c>
      <c r="K36" s="423" t="s">
        <v>49</v>
      </c>
      <c r="L36" s="423" t="s">
        <v>1179</v>
      </c>
    </row>
    <row r="37" spans="1:12" x14ac:dyDescent="0.25">
      <c r="A37" s="63"/>
      <c r="B37" s="63"/>
      <c r="C37" s="63"/>
      <c r="D37" s="63"/>
      <c r="E37" s="63"/>
      <c r="F37" s="419"/>
      <c r="G37" s="416"/>
      <c r="H37" s="416"/>
      <c r="I37" s="416"/>
      <c r="J37" s="416"/>
      <c r="K37" s="416"/>
      <c r="L37" s="416"/>
    </row>
    <row r="39" spans="1:12" x14ac:dyDescent="0.25">
      <c r="B39" s="64" t="s">
        <v>53</v>
      </c>
      <c r="C39" s="64"/>
      <c r="D39" s="64"/>
      <c r="E39" s="64"/>
      <c r="F39" s="64"/>
      <c r="G39" s="65"/>
      <c r="H39" s="65"/>
      <c r="I39" s="65"/>
      <c r="J39" s="65"/>
      <c r="K39" s="65"/>
      <c r="L39" s="64"/>
    </row>
    <row r="41" spans="1:12" x14ac:dyDescent="0.25">
      <c r="E41" s="75" t="s">
        <v>54</v>
      </c>
      <c r="F41" s="76"/>
      <c r="G41" s="77"/>
      <c r="H41" s="77"/>
      <c r="I41" s="77"/>
      <c r="J41" s="77"/>
    </row>
    <row r="42" spans="1:12" x14ac:dyDescent="0.25">
      <c r="F42" s="6" t="s">
        <v>55</v>
      </c>
      <c r="H42" s="424" t="s">
        <v>56</v>
      </c>
      <c r="I42" s="6" t="s">
        <v>57</v>
      </c>
      <c r="J42" s="78">
        <f>'Fixed inputs'!H197</f>
        <v>0</v>
      </c>
    </row>
    <row r="43" spans="1:12" x14ac:dyDescent="0.25">
      <c r="F43" s="6" t="s">
        <v>58</v>
      </c>
      <c r="H43" s="424" t="s">
        <v>59</v>
      </c>
      <c r="I43" s="6" t="s">
        <v>57</v>
      </c>
      <c r="J43" s="78">
        <f>'Inputs by customer type'!H236</f>
        <v>0</v>
      </c>
    </row>
    <row r="44" spans="1:12" x14ac:dyDescent="0.25">
      <c r="F44" s="6" t="s">
        <v>60</v>
      </c>
      <c r="H44" s="424" t="s">
        <v>61</v>
      </c>
      <c r="I44" s="6" t="s">
        <v>57</v>
      </c>
      <c r="J44" s="79">
        <f>'Inputs by network level'!H56</f>
        <v>0</v>
      </c>
    </row>
    <row r="45" spans="1:12" x14ac:dyDescent="0.25">
      <c r="F45" s="6" t="s">
        <v>62</v>
      </c>
      <c r="H45" s="424" t="s">
        <v>63</v>
      </c>
      <c r="I45" s="6" t="s">
        <v>57</v>
      </c>
      <c r="J45" s="78">
        <f>'General inputs'!H119</f>
        <v>0</v>
      </c>
    </row>
    <row r="46" spans="1:12" x14ac:dyDescent="0.25">
      <c r="F46" s="6" t="s">
        <v>64</v>
      </c>
      <c r="H46" s="424" t="s">
        <v>65</v>
      </c>
      <c r="I46" s="6" t="s">
        <v>57</v>
      </c>
      <c r="J46" s="79">
        <f>'Standing charge factors'!H58</f>
        <v>0</v>
      </c>
    </row>
    <row r="47" spans="1:12" x14ac:dyDescent="0.25">
      <c r="F47" s="6" t="s">
        <v>66</v>
      </c>
      <c r="H47" s="424" t="s">
        <v>67</v>
      </c>
      <c r="I47" s="6" t="s">
        <v>57</v>
      </c>
      <c r="J47" s="79">
        <f>'Load &amp; loss characteristics'!H183</f>
        <v>0</v>
      </c>
    </row>
    <row r="48" spans="1:12" x14ac:dyDescent="0.25">
      <c r="F48" s="6" t="s">
        <v>68</v>
      </c>
      <c r="H48" s="424" t="s">
        <v>69</v>
      </c>
      <c r="I48" s="6" t="s">
        <v>57</v>
      </c>
      <c r="J48" s="79">
        <f>'Customer contributions'!H70</f>
        <v>0</v>
      </c>
    </row>
    <row r="49" spans="6:10" x14ac:dyDescent="0.25">
      <c r="F49" s="6" t="s">
        <v>70</v>
      </c>
      <c r="H49" s="424" t="s">
        <v>71</v>
      </c>
      <c r="I49" s="6" t="s">
        <v>57</v>
      </c>
      <c r="J49" s="79">
        <f>'Volume adjustments'!H693</f>
        <v>0</v>
      </c>
    </row>
    <row r="50" spans="6:10" x14ac:dyDescent="0.25">
      <c r="F50" s="6" t="s">
        <v>72</v>
      </c>
      <c r="H50" s="424" t="s">
        <v>73</v>
      </c>
      <c r="I50" s="6" t="s">
        <v>57</v>
      </c>
      <c r="J50" s="79">
        <f>'Pseudo-load coefficients'!H306</f>
        <v>0</v>
      </c>
    </row>
    <row r="51" spans="6:10" x14ac:dyDescent="0.25">
      <c r="F51" s="6" t="s">
        <v>74</v>
      </c>
      <c r="H51" s="424" t="s">
        <v>75</v>
      </c>
      <c r="I51" s="6" t="s">
        <v>57</v>
      </c>
      <c r="J51" s="79">
        <f>'System peak demand'!H281</f>
        <v>0</v>
      </c>
    </row>
    <row r="52" spans="6:10" x14ac:dyDescent="0.25">
      <c r="F52" s="6" t="s">
        <v>76</v>
      </c>
      <c r="H52" s="424" t="s">
        <v>77</v>
      </c>
      <c r="I52" s="6" t="s">
        <v>57</v>
      </c>
      <c r="J52" s="79">
        <f>'Service model assets'!H38</f>
        <v>0</v>
      </c>
    </row>
    <row r="53" spans="6:10" x14ac:dyDescent="0.25">
      <c r="F53" s="6" t="s">
        <v>78</v>
      </c>
      <c r="H53" s="424" t="s">
        <v>79</v>
      </c>
      <c r="I53" s="6" t="s">
        <v>57</v>
      </c>
      <c r="J53" s="79">
        <f>'Unit costs'!H131</f>
        <v>0</v>
      </c>
    </row>
    <row r="54" spans="6:10" x14ac:dyDescent="0.25">
      <c r="F54" s="6" t="s">
        <v>80</v>
      </c>
      <c r="H54" s="424" t="s">
        <v>81</v>
      </c>
      <c r="I54" s="6" t="s">
        <v>57</v>
      </c>
      <c r="J54" s="79">
        <f>'Initial unit rates'!H241</f>
        <v>0</v>
      </c>
    </row>
    <row r="55" spans="6:10" x14ac:dyDescent="0.25">
      <c r="F55" s="6" t="s">
        <v>82</v>
      </c>
      <c r="H55" s="424" t="s">
        <v>83</v>
      </c>
      <c r="I55" s="6" t="s">
        <v>57</v>
      </c>
      <c r="J55" s="79">
        <f>'Service model charges'!H48</f>
        <v>0</v>
      </c>
    </row>
    <row r="56" spans="6:10" x14ac:dyDescent="0.25">
      <c r="F56" s="6" t="s">
        <v>84</v>
      </c>
      <c r="H56" s="424" t="s">
        <v>85</v>
      </c>
      <c r="I56" s="6" t="s">
        <v>57</v>
      </c>
      <c r="J56" s="79">
        <f>'Unit rate charges'!H223</f>
        <v>0</v>
      </c>
    </row>
    <row r="57" spans="6:10" x14ac:dyDescent="0.25">
      <c r="F57" s="6" t="s">
        <v>88</v>
      </c>
      <c r="H57" s="424" t="s">
        <v>87</v>
      </c>
      <c r="I57" s="6" t="s">
        <v>57</v>
      </c>
      <c r="J57" s="79">
        <f>'Capacity charges'!H295</f>
        <v>0</v>
      </c>
    </row>
    <row r="58" spans="6:10" x14ac:dyDescent="0.25">
      <c r="F58" s="6" t="s">
        <v>86</v>
      </c>
      <c r="H58" s="424" t="s">
        <v>89</v>
      </c>
      <c r="I58" s="6" t="s">
        <v>57</v>
      </c>
      <c r="J58" s="79">
        <f>'Reactive power charges'!H254</f>
        <v>0</v>
      </c>
    </row>
    <row r="59" spans="6:10" x14ac:dyDescent="0.25">
      <c r="F59" s="6" t="s">
        <v>90</v>
      </c>
      <c r="H59" s="424" t="s">
        <v>91</v>
      </c>
      <c r="I59" s="6" t="s">
        <v>57</v>
      </c>
      <c r="J59" s="79">
        <f>'Fixed charges'!H165</f>
        <v>0</v>
      </c>
    </row>
    <row r="60" spans="6:10" x14ac:dyDescent="0.25">
      <c r="F60" s="6" t="s">
        <v>1099</v>
      </c>
      <c r="H60" s="424" t="s">
        <v>93</v>
      </c>
      <c r="I60" s="6" t="s">
        <v>57</v>
      </c>
      <c r="J60" s="79">
        <f>'SoLR &amp; bad debt adders'!H66</f>
        <v>0</v>
      </c>
    </row>
    <row r="61" spans="6:10" x14ac:dyDescent="0.25">
      <c r="F61" s="6" t="s">
        <v>92</v>
      </c>
      <c r="H61" s="424" t="s">
        <v>95</v>
      </c>
      <c r="I61" s="6" t="s">
        <v>57</v>
      </c>
      <c r="J61" s="79">
        <f>'Revenue matching'!H432</f>
        <v>0</v>
      </c>
    </row>
    <row r="62" spans="6:10" x14ac:dyDescent="0.25">
      <c r="F62" s="6" t="s">
        <v>94</v>
      </c>
      <c r="H62" s="424" t="s">
        <v>97</v>
      </c>
      <c r="I62" s="6" t="s">
        <v>57</v>
      </c>
      <c r="J62" s="79">
        <f>Rounding!H178</f>
        <v>0</v>
      </c>
    </row>
    <row r="63" spans="6:10" x14ac:dyDescent="0.25">
      <c r="F63" s="6" t="s">
        <v>96</v>
      </c>
      <c r="H63" s="424" t="s">
        <v>839</v>
      </c>
      <c r="I63" s="6" t="s">
        <v>57</v>
      </c>
      <c r="J63" s="78">
        <f>'Net revenue summary'!$H$211</f>
        <v>0</v>
      </c>
    </row>
    <row r="64" spans="6:10" x14ac:dyDescent="0.25">
      <c r="F64" s="6" t="s">
        <v>98</v>
      </c>
      <c r="H64" s="424" t="s">
        <v>99</v>
      </c>
      <c r="I64" s="6" t="s">
        <v>57</v>
      </c>
      <c r="J64" s="79">
        <f>'Tariff summary'!$H$119</f>
        <v>0</v>
      </c>
    </row>
    <row r="65" spans="2:12" x14ac:dyDescent="0.25">
      <c r="F65" s="6" t="s">
        <v>100</v>
      </c>
      <c r="H65" s="424" t="s">
        <v>101</v>
      </c>
      <c r="I65" s="6" t="s">
        <v>57</v>
      </c>
      <c r="J65" s="78">
        <f>'Output to other models'!H84</f>
        <v>0</v>
      </c>
    </row>
    <row r="66" spans="2:12" x14ac:dyDescent="0.25">
      <c r="F66" s="80" t="s">
        <v>102</v>
      </c>
      <c r="G66" s="80"/>
      <c r="H66" s="80"/>
      <c r="I66" s="80" t="s">
        <v>57</v>
      </c>
      <c r="J66" s="81">
        <f>IFERROR(SUM(J42:J65), 1)</f>
        <v>0</v>
      </c>
    </row>
    <row r="68" spans="2:12" x14ac:dyDescent="0.25">
      <c r="B68" s="64" t="s">
        <v>103</v>
      </c>
      <c r="C68" s="64"/>
      <c r="D68" s="64"/>
      <c r="E68" s="64"/>
      <c r="F68" s="64"/>
      <c r="G68" s="65"/>
      <c r="H68" s="65"/>
      <c r="I68" s="65"/>
      <c r="J68" s="65"/>
      <c r="K68" s="65"/>
      <c r="L68" s="64"/>
    </row>
    <row r="70" spans="2:12" x14ac:dyDescent="0.25">
      <c r="F70" s="74" t="s">
        <v>104</v>
      </c>
    </row>
    <row r="71" spans="2:12" x14ac:dyDescent="0.25">
      <c r="F71" s="424" t="s">
        <v>105</v>
      </c>
    </row>
    <row r="72" spans="2:12" x14ac:dyDescent="0.25">
      <c r="F72" s="424" t="s">
        <v>106</v>
      </c>
    </row>
    <row r="73" spans="2:12" x14ac:dyDescent="0.25">
      <c r="F73" s="424" t="s">
        <v>46</v>
      </c>
    </row>
    <row r="74" spans="2:12" ht="30" x14ac:dyDescent="0.25">
      <c r="F74" s="425" t="s">
        <v>780</v>
      </c>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row>
    <row r="81" spans="2:12" x14ac:dyDescent="0.25">
      <c r="F81" s="424" t="s">
        <v>107</v>
      </c>
    </row>
    <row r="83" spans="2:12" x14ac:dyDescent="0.25">
      <c r="B83" s="64" t="s">
        <v>108</v>
      </c>
      <c r="C83" s="64"/>
      <c r="D83" s="64"/>
      <c r="E83" s="64"/>
      <c r="F83" s="64"/>
      <c r="G83" s="65"/>
      <c r="H83" s="65"/>
      <c r="I83" s="65"/>
      <c r="J83" s="65"/>
      <c r="K83" s="65"/>
      <c r="L83"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2:J66">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7" xr:uid="{00000000-0002-0000-0100-000000000000}">
      <formula1>0</formula1>
    </dataValidation>
    <dataValidation type="date" operator="greaterThan" allowBlank="1" showInputMessage="1" showErrorMessage="1" promptTitle="Model date" prompt="Input a date" sqref="F20:F28 F33:F37"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7" xr:uid="{00000000-0002-0000-0100-000002000000}">
      <formula1>$F$71:$F$81</formula1>
    </dataValidation>
    <dataValidation allowBlank="1" showErrorMessage="1" errorTitle="Author" error="Initials must be selected from the list specified below" promptTitle="Author" prompt="Select author initials from the list specified below" sqref="K29:K36" xr:uid="{00000000-0002-0000-0100-000003000000}"/>
    <dataValidation type="date" operator="greaterThanOrEqual" allowBlank="1" showInputMessage="1" showErrorMessage="1" promptTitle="Model date" prompt="Input a date" sqref="F29:F32" xr:uid="{00000000-0002-0000-0100-000004000000}">
      <formula1>1</formula1>
    </dataValidation>
  </dataValidations>
  <hyperlinks>
    <hyperlink ref="I71" location="'Cover'!A1" display="Cover" xr:uid="{00000000-0004-0000-0100-000000000000}"/>
    <hyperlink ref="I72" location="'Version control'!A1" display="Version control" xr:uid="{00000000-0004-0000-0100-000001000000}"/>
    <hyperlink ref="I81" location="'Model map'!A1" display="Model map" xr:uid="{00000000-0004-0000-0100-000002000000}"/>
    <hyperlink ref="I82"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605</v>
      </c>
      <c r="D9"/>
    </row>
    <row r="10" spans="1:27" x14ac:dyDescent="0.25">
      <c r="C10" s="86" t="s">
        <v>606</v>
      </c>
      <c r="D10"/>
      <c r="E10"/>
    </row>
    <row r="11" spans="1:27" x14ac:dyDescent="0.25">
      <c r="C11" s="86" t="s">
        <v>607</v>
      </c>
      <c r="D11"/>
      <c r="E11"/>
    </row>
    <row r="12" spans="1:27" x14ac:dyDescent="0.25">
      <c r="C12" s="86" t="s">
        <v>608</v>
      </c>
    </row>
    <row r="13" spans="1:27" x14ac:dyDescent="0.25">
      <c r="C13" s="86" t="s">
        <v>609</v>
      </c>
      <c r="D13"/>
    </row>
    <row r="15" spans="1:27" x14ac:dyDescent="0.25">
      <c r="B15" s="85" t="s">
        <v>610</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611</v>
      </c>
    </row>
    <row r="19" spans="3:27" x14ac:dyDescent="0.25">
      <c r="C19" s="93" t="str">
        <f ca="1">INDEX('Version control'!$H$42:$H$65,MATCH($A$1,'Version control'!$F$42:$F$65,0),1)&amp;"-A: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579</v>
      </c>
    </row>
    <row r="22" spans="3:27" x14ac:dyDescent="0.25">
      <c r="D22"/>
      <c r="F22" s="95" t="s">
        <v>190</v>
      </c>
      <c r="G22" s="95" t="s">
        <v>270</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192</v>
      </c>
      <c r="G23" t="s">
        <v>270</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193</v>
      </c>
      <c r="G24" t="s">
        <v>270</v>
      </c>
      <c r="H24" s="268"/>
      <c r="I24" s="268"/>
      <c r="J24" s="279">
        <f>'Initial unit rates'!J154</f>
        <v>4.1835646619113733</v>
      </c>
      <c r="K24" s="279">
        <f>'Initial unit rates'!K154</f>
        <v>4.1835646619113733</v>
      </c>
      <c r="L24" s="279">
        <f>'Initial unit rates'!L154</f>
        <v>4.0928496325504371</v>
      </c>
      <c r="M24" s="279">
        <f>'Initial unit rates'!M154</f>
        <v>4.0928496325504371</v>
      </c>
      <c r="N24" s="279">
        <f>'Initial unit rates'!N154</f>
        <v>3.1548657414650472</v>
      </c>
      <c r="O24" s="279">
        <f>'Initial unit rates'!O154</f>
        <v>2.9367552046487644</v>
      </c>
      <c r="P24" s="279">
        <f>'Initial unit rates'!P154</f>
        <v>2.6612232368984698</v>
      </c>
      <c r="Q24" s="279">
        <f>'Initial unit rates'!Q154</f>
        <v>9.1108363475313343</v>
      </c>
      <c r="R24" s="279">
        <f>'Initial unit rates'!R154</f>
        <v>-2.5172791160939854</v>
      </c>
      <c r="S24" s="279">
        <f>'Initial unit rates'!S154</f>
        <v>-2.4840946456370019</v>
      </c>
      <c r="T24" s="279">
        <f>'Initial unit rates'!T154</f>
        <v>-2.5172791160939854</v>
      </c>
      <c r="U24" s="279">
        <f>'Initial unit rates'!U154</f>
        <v>-2.5172791160939854</v>
      </c>
      <c r="V24" s="279">
        <f>'Initial unit rates'!V154</f>
        <v>-2.4840946456370019</v>
      </c>
      <c r="W24" s="279">
        <f>'Initial unit rates'!W154</f>
        <v>-2.4840946456370019</v>
      </c>
      <c r="X24" s="279">
        <f>'Initial unit rates'!X154</f>
        <v>-2.4509101751800193</v>
      </c>
      <c r="Y24" s="279">
        <f>'Initial unit rates'!Y154</f>
        <v>-2.4509101751800193</v>
      </c>
      <c r="Z24" s="268"/>
      <c r="AA24" s="268"/>
    </row>
    <row r="25" spans="3:27" x14ac:dyDescent="0.25">
      <c r="D25"/>
      <c r="F25" t="s">
        <v>194</v>
      </c>
      <c r="G25" t="s">
        <v>270</v>
      </c>
      <c r="H25" s="268"/>
      <c r="I25" s="268"/>
      <c r="J25" s="279">
        <f>'Initial unit rates'!J155</f>
        <v>0.59925998621765775</v>
      </c>
      <c r="K25" s="279">
        <f>'Initial unit rates'!K155</f>
        <v>0.59925998621765775</v>
      </c>
      <c r="L25" s="279">
        <f>'Initial unit rates'!L155</f>
        <v>0.58626583131920507</v>
      </c>
      <c r="M25" s="279">
        <f>'Initial unit rates'!M155</f>
        <v>0.58626583131920507</v>
      </c>
      <c r="N25" s="279">
        <f>'Initial unit rates'!N155</f>
        <v>0.4519076322547243</v>
      </c>
      <c r="O25" s="279">
        <f>'Initial unit rates'!O155</f>
        <v>0.42066515655536807</v>
      </c>
      <c r="P25" s="279">
        <f>'Initial unit rates'!P155</f>
        <v>0.38119755021003476</v>
      </c>
      <c r="Q25" s="279">
        <f>'Initial unit rates'!Q155</f>
        <v>1.3050496658413129</v>
      </c>
      <c r="R25" s="279">
        <f>'Initial unit rates'!R155</f>
        <v>-0.36057878157123513</v>
      </c>
      <c r="S25" s="279">
        <f>'Initial unit rates'!S155</f>
        <v>-0.35582538897048444</v>
      </c>
      <c r="T25" s="279">
        <f>'Initial unit rates'!T155</f>
        <v>-0.36057878157123513</v>
      </c>
      <c r="U25" s="279">
        <f>'Initial unit rates'!U155</f>
        <v>-0.36057878157123513</v>
      </c>
      <c r="V25" s="279">
        <f>'Initial unit rates'!V155</f>
        <v>-0.35582538897048444</v>
      </c>
      <c r="W25" s="279">
        <f>'Initial unit rates'!W155</f>
        <v>-0.35582538897048444</v>
      </c>
      <c r="X25" s="279">
        <f>'Initial unit rates'!X155</f>
        <v>-0.35107199636973363</v>
      </c>
      <c r="Y25" s="279">
        <f>'Initial unit rates'!Y155</f>
        <v>-0.35107199636973363</v>
      </c>
      <c r="Z25" s="268"/>
      <c r="AA25" s="268"/>
    </row>
    <row r="26" spans="3:27" x14ac:dyDescent="0.25">
      <c r="D26"/>
      <c r="F26" t="s">
        <v>195</v>
      </c>
      <c r="G26" t="s">
        <v>270</v>
      </c>
      <c r="H26" s="268"/>
      <c r="I26" s="268"/>
      <c r="J26" s="279">
        <f>'Initial unit rates'!J156</f>
        <v>1.251236085638566</v>
      </c>
      <c r="K26" s="279">
        <f>'Initial unit rates'!K156</f>
        <v>1.251236085638566</v>
      </c>
      <c r="L26" s="279">
        <f>'Initial unit rates'!L156</f>
        <v>1.2241046971172977</v>
      </c>
      <c r="M26" s="279">
        <f>'Initial unit rates'!M156</f>
        <v>1.2241046971172977</v>
      </c>
      <c r="N26" s="279">
        <f>'Initial unit rates'!N156</f>
        <v>0.94356898484328111</v>
      </c>
      <c r="O26" s="279">
        <f>'Initial unit rates'!O156</f>
        <v>0.87833567392850553</v>
      </c>
      <c r="P26" s="279">
        <f>'Initial unit rates'!P156</f>
        <v>0.79592854779156674</v>
      </c>
      <c r="Q26" s="279">
        <f>'Initial unit rates'!Q156</f>
        <v>2.7547424204406159</v>
      </c>
      <c r="R26" s="279">
        <f>'Initial unit rates'!R156</f>
        <v>-0.75287720454214724</v>
      </c>
      <c r="S26" s="279">
        <f>'Initial unit rates'!S156</f>
        <v>-0.74295226964234495</v>
      </c>
      <c r="T26" s="279">
        <f>'Initial unit rates'!T156</f>
        <v>-0.75287720454214724</v>
      </c>
      <c r="U26" s="279">
        <f>'Initial unit rates'!U156</f>
        <v>-0.75287720454214724</v>
      </c>
      <c r="V26" s="279">
        <f>'Initial unit rates'!V156</f>
        <v>-0.74295226964234495</v>
      </c>
      <c r="W26" s="279">
        <f>'Initial unit rates'!W156</f>
        <v>-0.74295226964234495</v>
      </c>
      <c r="X26" s="279">
        <f>'Initial unit rates'!X156</f>
        <v>-0.73302733474254256</v>
      </c>
      <c r="Y26" s="279">
        <f>'Initial unit rates'!Y156</f>
        <v>-0.73302733474254256</v>
      </c>
      <c r="Z26" s="268"/>
      <c r="AA26" s="268"/>
    </row>
    <row r="27" spans="3:27" x14ac:dyDescent="0.25">
      <c r="D27"/>
      <c r="F27" t="s">
        <v>196</v>
      </c>
      <c r="G27" t="s">
        <v>270</v>
      </c>
      <c r="H27" s="268"/>
      <c r="I27" s="268"/>
      <c r="J27" s="279">
        <f>'Initial unit rates'!J157</f>
        <v>0.9896766370006248</v>
      </c>
      <c r="K27" s="279">
        <f>'Initial unit rates'!K157</f>
        <v>0.9896766370006248</v>
      </c>
      <c r="L27" s="279">
        <f>'Initial unit rates'!L157</f>
        <v>0.96821681686189975</v>
      </c>
      <c r="M27" s="279">
        <f>'Initial unit rates'!M157</f>
        <v>0.96821681686189975</v>
      </c>
      <c r="N27" s="279">
        <f>'Initial unit rates'!N157</f>
        <v>0.74632452693467077</v>
      </c>
      <c r="O27" s="279">
        <f>'Initial unit rates'!O157</f>
        <v>0.69472764245574914</v>
      </c>
      <c r="P27" s="279">
        <f>'Initial unit rates'!P157</f>
        <v>0.62954697160060058</v>
      </c>
      <c r="Q27" s="279">
        <f>'Initial unit rates'!Q157</f>
        <v>2.1788887371109231</v>
      </c>
      <c r="R27" s="279">
        <f>'Initial unit rates'!R157</f>
        <v>-0.59549511752247841</v>
      </c>
      <c r="S27" s="279">
        <f>'Initial unit rates'!S157</f>
        <v>-0.58764489940071318</v>
      </c>
      <c r="T27" s="279">
        <f>'Initial unit rates'!T157</f>
        <v>-0.59549511752247841</v>
      </c>
      <c r="U27" s="279">
        <f>'Initial unit rates'!U157</f>
        <v>-0.59549511752247841</v>
      </c>
      <c r="V27" s="279">
        <f>'Initial unit rates'!V157</f>
        <v>-0.58764489940071318</v>
      </c>
      <c r="W27" s="279">
        <f>'Initial unit rates'!W157</f>
        <v>-0.58764489940071318</v>
      </c>
      <c r="X27" s="279">
        <f>'Initial unit rates'!X157</f>
        <v>-0.57979468127894795</v>
      </c>
      <c r="Y27" s="279">
        <f>'Initial unit rates'!Y157</f>
        <v>-0.57979468127894795</v>
      </c>
      <c r="Z27" s="268"/>
      <c r="AA27" s="268"/>
    </row>
    <row r="28" spans="3:27" x14ac:dyDescent="0.25">
      <c r="D28"/>
      <c r="F28" t="s">
        <v>197</v>
      </c>
      <c r="G28" t="s">
        <v>270</v>
      </c>
      <c r="H28" s="268"/>
      <c r="I28" s="268"/>
      <c r="J28" s="279">
        <f>'Initial unit rates'!J158</f>
        <v>0</v>
      </c>
      <c r="K28" s="279">
        <f>'Initial unit rates'!K158</f>
        <v>0</v>
      </c>
      <c r="L28" s="279">
        <f>'Initial unit rates'!L158</f>
        <v>0</v>
      </c>
      <c r="M28" s="279">
        <f>'Initial unit rates'!M158</f>
        <v>0</v>
      </c>
      <c r="N28" s="279">
        <f>'Initial unit rates'!N158</f>
        <v>0</v>
      </c>
      <c r="O28" s="279">
        <f>'Initial unit rates'!O158</f>
        <v>0</v>
      </c>
      <c r="P28" s="279">
        <f>'Initial unit rates'!P158</f>
        <v>0</v>
      </c>
      <c r="Q28" s="279">
        <f>'Initial unit rates'!Q158</f>
        <v>0</v>
      </c>
      <c r="R28" s="279">
        <f>'Initial unit rates'!R158</f>
        <v>0</v>
      </c>
      <c r="S28" s="279">
        <f>'Initial unit rates'!S158</f>
        <v>0</v>
      </c>
      <c r="T28" s="279">
        <f>'Initial unit rates'!T158</f>
        <v>0</v>
      </c>
      <c r="U28" s="279">
        <f>'Initial unit rates'!U158</f>
        <v>0</v>
      </c>
      <c r="V28" s="279">
        <f>'Initial unit rates'!V158</f>
        <v>0</v>
      </c>
      <c r="W28" s="279">
        <f>'Initial unit rates'!W158</f>
        <v>0</v>
      </c>
      <c r="X28" s="279">
        <f>'Initial unit rates'!X158</f>
        <v>0</v>
      </c>
      <c r="Y28" s="279">
        <f>'Initial unit rates'!Y158</f>
        <v>0</v>
      </c>
      <c r="Z28" s="268"/>
      <c r="AA28" s="268"/>
    </row>
    <row r="29" spans="3:27" x14ac:dyDescent="0.25">
      <c r="D29"/>
      <c r="F29" t="s">
        <v>198</v>
      </c>
      <c r="G29" t="s">
        <v>270</v>
      </c>
      <c r="H29" s="268"/>
      <c r="I29" s="268"/>
      <c r="J29" s="279">
        <f>'Initial unit rates'!J159</f>
        <v>4.5574695435929051</v>
      </c>
      <c r="K29" s="279">
        <f>'Initial unit rates'!K159</f>
        <v>4.5574695435929051</v>
      </c>
      <c r="L29" s="279">
        <f>'Initial unit rates'!L159</f>
        <v>4.4586468847195713</v>
      </c>
      <c r="M29" s="279">
        <f>'Initial unit rates'!M159</f>
        <v>4.4586468847195713</v>
      </c>
      <c r="N29" s="279">
        <f>'Initial unit rates'!N159</f>
        <v>3.4368309546535221</v>
      </c>
      <c r="O29" s="279">
        <f>'Initial unit rates'!O159</f>
        <v>3.1992268516915381</v>
      </c>
      <c r="P29" s="279">
        <f>'Initial unit rates'!P159</f>
        <v>2.8990692940133269</v>
      </c>
      <c r="Q29" s="279">
        <f>'Initial unit rates'!Q159</f>
        <v>10.03380163480041</v>
      </c>
      <c r="R29" s="279">
        <f>'Initial unit rates'!R159</f>
        <v>-2.7422602090436738</v>
      </c>
      <c r="S29" s="279">
        <f>'Initial unit rates'!S159</f>
        <v>-2.7061098861372597</v>
      </c>
      <c r="T29" s="279">
        <f>'Initial unit rates'!T159</f>
        <v>-2.7422602090436738</v>
      </c>
      <c r="U29" s="279">
        <f>'Initial unit rates'!U159</f>
        <v>-2.7422602090436738</v>
      </c>
      <c r="V29" s="279">
        <f>'Initial unit rates'!V159</f>
        <v>-2.7061098861372597</v>
      </c>
      <c r="W29" s="279">
        <f>'Initial unit rates'!W159</f>
        <v>-2.7061098861372597</v>
      </c>
      <c r="X29" s="279">
        <f>'Initial unit rates'!X159</f>
        <v>0</v>
      </c>
      <c r="Y29" s="279">
        <f>'Initial unit rates'!Y159</f>
        <v>0</v>
      </c>
      <c r="Z29" s="268"/>
      <c r="AA29" s="268"/>
    </row>
    <row r="30" spans="3:27" x14ac:dyDescent="0.25">
      <c r="D30"/>
      <c r="F30" t="s">
        <v>199</v>
      </c>
      <c r="G30" t="s">
        <v>270</v>
      </c>
      <c r="H30" s="268"/>
      <c r="I30" s="268"/>
      <c r="J30" s="279">
        <f>'Initial unit rates'!J160</f>
        <v>1.8698614853645636</v>
      </c>
      <c r="K30" s="279">
        <f>'Initial unit rates'!K160</f>
        <v>1.8698614853645636</v>
      </c>
      <c r="L30" s="279">
        <f>'Initial unit rates'!L160</f>
        <v>1.8293160287375749</v>
      </c>
      <c r="M30" s="279">
        <f>'Initial unit rates'!M160</f>
        <v>1.8293160287375749</v>
      </c>
      <c r="N30" s="279">
        <f>'Initial unit rates'!N160</f>
        <v>1.4100802588686223</v>
      </c>
      <c r="O30" s="279">
        <f>'Initial unit rates'!O160</f>
        <v>1.3125948546012896</v>
      </c>
      <c r="P30" s="279">
        <f>'Initial unit rates'!P160</f>
        <v>0</v>
      </c>
      <c r="Q30" s="279">
        <f>'Initial unit rates'!Q160</f>
        <v>4.1167185099629435</v>
      </c>
      <c r="R30" s="279">
        <f>'Initial unit rates'!R160</f>
        <v>-1.1251082862302872</v>
      </c>
      <c r="S30" s="279">
        <f>'Initial unit rates'!S160</f>
        <v>0</v>
      </c>
      <c r="T30" s="279">
        <f>'Initial unit rates'!T160</f>
        <v>-1.1251082862302872</v>
      </c>
      <c r="U30" s="279">
        <f>'Initial unit rates'!U160</f>
        <v>-1.1251082862302872</v>
      </c>
      <c r="V30" s="279">
        <f>'Initial unit rates'!V160</f>
        <v>0</v>
      </c>
      <c r="W30" s="279">
        <f>'Initial unit rates'!W160</f>
        <v>0</v>
      </c>
      <c r="X30" s="279">
        <f>'Initial unit rates'!X160</f>
        <v>0</v>
      </c>
      <c r="Y30" s="279">
        <f>'Initial unit rates'!Y160</f>
        <v>0</v>
      </c>
      <c r="Z30" s="268"/>
      <c r="AA30" s="268"/>
    </row>
    <row r="31" spans="3:27" x14ac:dyDescent="0.25">
      <c r="D31"/>
      <c r="F31" t="s">
        <v>200</v>
      </c>
      <c r="G31" t="s">
        <v>270</v>
      </c>
      <c r="H31" s="268"/>
      <c r="I31" s="268"/>
      <c r="J31" s="279">
        <f>'Initial unit rates'!J161</f>
        <v>4.6144536285214599</v>
      </c>
      <c r="K31" s="279">
        <f>'Initial unit rates'!K161</f>
        <v>4.6144536285214599</v>
      </c>
      <c r="L31" s="279">
        <f>'Initial unit rates'!L161</f>
        <v>4.5143953456396186</v>
      </c>
      <c r="M31" s="279">
        <f>'Initial unit rates'!M161</f>
        <v>4.5143953456396186</v>
      </c>
      <c r="N31" s="279">
        <f>'Initial unit rates'!N161</f>
        <v>3.479803192894892</v>
      </c>
      <c r="O31" s="279">
        <f>'Initial unit rates'!O161</f>
        <v>0</v>
      </c>
      <c r="P31" s="279">
        <f>'Initial unit rates'!P161</f>
        <v>0</v>
      </c>
      <c r="Q31" s="279">
        <f>'Initial unit rates'!Q161</f>
        <v>10.15925875503889</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335</v>
      </c>
      <c r="G32" s="95" t="s">
        <v>270</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336</v>
      </c>
      <c r="G33" s="96" t="s">
        <v>270</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580</v>
      </c>
      <c r="J35" s="106"/>
      <c r="K35" s="106"/>
      <c r="L35" s="106"/>
      <c r="M35" s="106"/>
      <c r="N35" s="106"/>
      <c r="O35" s="106"/>
      <c r="P35" s="106"/>
      <c r="Q35" s="106"/>
      <c r="R35" s="106"/>
      <c r="S35" s="106"/>
      <c r="T35" s="106"/>
      <c r="U35" s="106"/>
      <c r="V35" s="106"/>
      <c r="W35" s="106"/>
      <c r="X35" s="106"/>
      <c r="Y35" s="106"/>
    </row>
    <row r="36" spans="4:27" x14ac:dyDescent="0.25">
      <c r="D36"/>
      <c r="F36" s="95" t="s">
        <v>190</v>
      </c>
      <c r="G36" s="95" t="s">
        <v>270</v>
      </c>
      <c r="H36" s="266"/>
      <c r="I36" s="266"/>
      <c r="J36" s="278">
        <f>'Initial unit rates'!J164</f>
        <v>1.5285027400517139</v>
      </c>
      <c r="K36" s="278">
        <f>'Initial unit rates'!K164</f>
        <v>1.5285027400517139</v>
      </c>
      <c r="L36" s="278">
        <f>'Initial unit rates'!L164</f>
        <v>1.4953591933044974</v>
      </c>
      <c r="M36" s="278">
        <f>'Initial unit rates'!M164</f>
        <v>1.4953591933044974</v>
      </c>
      <c r="N36" s="278">
        <f>'Initial unit rates'!N164</f>
        <v>1.1526583954176166</v>
      </c>
      <c r="O36" s="278">
        <f>'Initial unit rates'!O164</f>
        <v>1.0729697614177482</v>
      </c>
      <c r="P36" s="278">
        <f>'Initial unit rates'!P164</f>
        <v>0.97230169441917325</v>
      </c>
      <c r="Q36" s="278">
        <f>'Initial unit rates'!Q164</f>
        <v>3.5870200135481278</v>
      </c>
      <c r="R36" s="278">
        <f>'Initial unit rates'!R164</f>
        <v>-0.91971042337533826</v>
      </c>
      <c r="S36" s="278">
        <f>'Initial unit rates'!S164</f>
        <v>-0.90758618050598361</v>
      </c>
      <c r="T36" s="278">
        <f>'Initial unit rates'!T164</f>
        <v>-0.91971042337533826</v>
      </c>
      <c r="U36" s="278">
        <f>'Initial unit rates'!U164</f>
        <v>-0.91971042337533826</v>
      </c>
      <c r="V36" s="278">
        <f>'Initial unit rates'!V164</f>
        <v>-0.90758618050598361</v>
      </c>
      <c r="W36" s="278">
        <f>'Initial unit rates'!W164</f>
        <v>-0.90758618050598361</v>
      </c>
      <c r="X36" s="278">
        <f>'Initial unit rates'!X164</f>
        <v>-0.89546193763662885</v>
      </c>
      <c r="Y36" s="278">
        <f>'Initial unit rates'!Y164</f>
        <v>-0.89546193763662885</v>
      </c>
      <c r="Z36" s="268"/>
      <c r="AA36" s="268"/>
    </row>
    <row r="37" spans="4:27" x14ac:dyDescent="0.25">
      <c r="D37"/>
      <c r="F37" t="s">
        <v>192</v>
      </c>
      <c r="G37" t="s">
        <v>270</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193</v>
      </c>
      <c r="G38" t="s">
        <v>270</v>
      </c>
      <c r="H38" s="268"/>
      <c r="I38" s="268"/>
      <c r="J38" s="279">
        <f>'Initial unit rates'!J166</f>
        <v>3.239459599556437</v>
      </c>
      <c r="K38" s="279">
        <f>'Initial unit rates'!K166</f>
        <v>3.239459599556437</v>
      </c>
      <c r="L38" s="279">
        <f>'Initial unit rates'!L166</f>
        <v>3.1692162314156738</v>
      </c>
      <c r="M38" s="279">
        <f>'Initial unit rates'!M166</f>
        <v>3.1692162314156738</v>
      </c>
      <c r="N38" s="279">
        <f>'Initial unit rates'!N166</f>
        <v>2.4429071706594292</v>
      </c>
      <c r="O38" s="279">
        <f>'Initial unit rates'!O166</f>
        <v>2.2740176399951406</v>
      </c>
      <c r="P38" s="279">
        <f>'Initial unit rates'!P166</f>
        <v>2.0606649730602475</v>
      </c>
      <c r="Q38" s="279">
        <f>'Initial unit rates'!Q166</f>
        <v>7.054793854318901</v>
      </c>
      <c r="R38" s="279">
        <f>'Initial unit rates'!R166</f>
        <v>-1.949204722861376</v>
      </c>
      <c r="S38" s="279">
        <f>'Initial unit rates'!S166</f>
        <v>-1.9235089920515269</v>
      </c>
      <c r="T38" s="279">
        <f>'Initial unit rates'!T166</f>
        <v>-1.949204722861376</v>
      </c>
      <c r="U38" s="279">
        <f>'Initial unit rates'!U166</f>
        <v>-1.949204722861376</v>
      </c>
      <c r="V38" s="279">
        <f>'Initial unit rates'!V166</f>
        <v>-1.9235089920515269</v>
      </c>
      <c r="W38" s="279">
        <f>'Initial unit rates'!W166</f>
        <v>-1.9235089920515269</v>
      </c>
      <c r="X38" s="279">
        <f>'Initial unit rates'!X166</f>
        <v>-1.8978132612416783</v>
      </c>
      <c r="Y38" s="279">
        <f>'Initial unit rates'!Y166</f>
        <v>-1.8978132612416783</v>
      </c>
      <c r="Z38" s="268"/>
      <c r="AA38" s="268"/>
    </row>
    <row r="39" spans="4:27" x14ac:dyDescent="0.25">
      <c r="D39"/>
      <c r="F39" t="s">
        <v>194</v>
      </c>
      <c r="G39" t="s">
        <v>270</v>
      </c>
      <c r="H39" s="268"/>
      <c r="I39" s="268"/>
      <c r="J39" s="279">
        <f>'Initial unit rates'!J167</f>
        <v>0.46402498153235783</v>
      </c>
      <c r="K39" s="279">
        <f>'Initial unit rates'!K167</f>
        <v>0.46402498153235783</v>
      </c>
      <c r="L39" s="279">
        <f>'Initial unit rates'!L167</f>
        <v>0.45396321764780395</v>
      </c>
      <c r="M39" s="279">
        <f>'Initial unit rates'!M167</f>
        <v>0.45396321764780395</v>
      </c>
      <c r="N39" s="279">
        <f>'Initial unit rates'!N167</f>
        <v>0.34992563417235401</v>
      </c>
      <c r="O39" s="279">
        <f>'Initial unit rates'!O167</f>
        <v>0.32573364815152639</v>
      </c>
      <c r="P39" s="279">
        <f>'Initial unit rates'!P167</f>
        <v>0.29517269676695018</v>
      </c>
      <c r="Q39" s="279">
        <f>'Initial unit rates'!Q167</f>
        <v>1.0105390999206032</v>
      </c>
      <c r="R39" s="279">
        <f>'Initial unit rates'!R167</f>
        <v>-0.27920696577058113</v>
      </c>
      <c r="S39" s="279">
        <f>'Initial unit rates'!S167</f>
        <v>-0.27552627130656215</v>
      </c>
      <c r="T39" s="279">
        <f>'Initial unit rates'!T167</f>
        <v>-0.27920696577058113</v>
      </c>
      <c r="U39" s="279">
        <f>'Initial unit rates'!U167</f>
        <v>-0.27920696577058113</v>
      </c>
      <c r="V39" s="279">
        <f>'Initial unit rates'!V167</f>
        <v>-0.27552627130656215</v>
      </c>
      <c r="W39" s="279">
        <f>'Initial unit rates'!W167</f>
        <v>-0.27552627130656215</v>
      </c>
      <c r="X39" s="279">
        <f>'Initial unit rates'!X167</f>
        <v>-0.27184557684254324</v>
      </c>
      <c r="Y39" s="279">
        <f>'Initial unit rates'!Y167</f>
        <v>-0.27184557684254324</v>
      </c>
      <c r="Z39" s="268"/>
      <c r="AA39" s="268"/>
    </row>
    <row r="40" spans="4:27" x14ac:dyDescent="0.25">
      <c r="D40"/>
      <c r="F40" t="s">
        <v>195</v>
      </c>
      <c r="G40" t="s">
        <v>270</v>
      </c>
      <c r="H40" s="268"/>
      <c r="I40" s="268"/>
      <c r="J40" s="279">
        <f>'Initial unit rates'!J168</f>
        <v>0.96886963068509169</v>
      </c>
      <c r="K40" s="279">
        <f>'Initial unit rates'!K168</f>
        <v>0.96886963068509169</v>
      </c>
      <c r="L40" s="279">
        <f>'Initial unit rates'!L168</f>
        <v>0.9478609827742065</v>
      </c>
      <c r="M40" s="279">
        <f>'Initial unit rates'!M168</f>
        <v>0.9478609827742065</v>
      </c>
      <c r="N40" s="279">
        <f>'Initial unit rates'!N168</f>
        <v>0.73063376637228183</v>
      </c>
      <c r="O40" s="279">
        <f>'Initial unit rates'!O168</f>
        <v>0.68012165712304395</v>
      </c>
      <c r="P40" s="279">
        <f>'Initial unit rates'!P168</f>
        <v>0.61631134763587103</v>
      </c>
      <c r="Q40" s="279">
        <f>'Initial unit rates'!Q168</f>
        <v>2.133079681891322</v>
      </c>
      <c r="R40" s="279">
        <f>'Initial unit rates'!R168</f>
        <v>-0.58297540127585601</v>
      </c>
      <c r="S40" s="279">
        <f>'Initial unit rates'!S168</f>
        <v>-0.57529022649444184</v>
      </c>
      <c r="T40" s="279">
        <f>'Initial unit rates'!T168</f>
        <v>-0.58297540127585601</v>
      </c>
      <c r="U40" s="279">
        <f>'Initial unit rates'!U168</f>
        <v>-0.58297540127585601</v>
      </c>
      <c r="V40" s="279">
        <f>'Initial unit rates'!V168</f>
        <v>-0.57529022649444184</v>
      </c>
      <c r="W40" s="279">
        <f>'Initial unit rates'!W168</f>
        <v>-0.57529022649444184</v>
      </c>
      <c r="X40" s="279">
        <f>'Initial unit rates'!X168</f>
        <v>-0.56760505171302755</v>
      </c>
      <c r="Y40" s="279">
        <f>'Initial unit rates'!Y168</f>
        <v>-0.56760505171302755</v>
      </c>
      <c r="Z40" s="268"/>
      <c r="AA40" s="268"/>
    </row>
    <row r="41" spans="4:27" x14ac:dyDescent="0.25">
      <c r="D41"/>
      <c r="F41" t="s">
        <v>196</v>
      </c>
      <c r="G41" t="s">
        <v>270</v>
      </c>
      <c r="H41" s="268"/>
      <c r="I41" s="268"/>
      <c r="J41" s="279">
        <f>'Initial unit rates'!J169</f>
        <v>0.76633630439063194</v>
      </c>
      <c r="K41" s="279">
        <f>'Initial unit rates'!K169</f>
        <v>0.76633630439063194</v>
      </c>
      <c r="L41" s="279">
        <f>'Initial unit rates'!L169</f>
        <v>0.74971932199137192</v>
      </c>
      <c r="M41" s="279">
        <f>'Initial unit rates'!M169</f>
        <v>0.74971932199137192</v>
      </c>
      <c r="N41" s="279">
        <f>'Initial unit rates'!N169</f>
        <v>0.57790146646337492</v>
      </c>
      <c r="O41" s="279">
        <f>'Initial unit rates'!O169</f>
        <v>0.53794845121439294</v>
      </c>
      <c r="P41" s="279">
        <f>'Initial unit rates'!P169</f>
        <v>0.48747710274220996</v>
      </c>
      <c r="Q41" s="279">
        <f>'Initial unit rates'!Q169</f>
        <v>1.6871789027337643</v>
      </c>
      <c r="R41" s="279">
        <f>'Initial unit rates'!R169</f>
        <v>-0.46110973077820883</v>
      </c>
      <c r="S41" s="279">
        <f>'Initial unit rates'!S169</f>
        <v>-0.45503107142708371</v>
      </c>
      <c r="T41" s="279">
        <f>'Initial unit rates'!T169</f>
        <v>-0.46110973077820883</v>
      </c>
      <c r="U41" s="279">
        <f>'Initial unit rates'!U169</f>
        <v>-0.46110973077820883</v>
      </c>
      <c r="V41" s="279">
        <f>'Initial unit rates'!V169</f>
        <v>-0.45503107142708371</v>
      </c>
      <c r="W41" s="279">
        <f>'Initial unit rates'!W169</f>
        <v>-0.45503107142708371</v>
      </c>
      <c r="X41" s="279">
        <f>'Initial unit rates'!X169</f>
        <v>-0.44895241207595854</v>
      </c>
      <c r="Y41" s="279">
        <f>'Initial unit rates'!Y169</f>
        <v>-0.44895241207595854</v>
      </c>
      <c r="Z41" s="268"/>
      <c r="AA41" s="268"/>
    </row>
    <row r="42" spans="4:27" x14ac:dyDescent="0.25">
      <c r="D42"/>
      <c r="F42" t="s">
        <v>197</v>
      </c>
      <c r="G42" t="s">
        <v>270</v>
      </c>
      <c r="H42" s="268"/>
      <c r="I42" s="268"/>
      <c r="J42" s="279">
        <f>'Initial unit rates'!J170</f>
        <v>0</v>
      </c>
      <c r="K42" s="279">
        <f>'Initial unit rates'!K170</f>
        <v>0</v>
      </c>
      <c r="L42" s="279">
        <f>'Initial unit rates'!L170</f>
        <v>0</v>
      </c>
      <c r="M42" s="279">
        <f>'Initial unit rates'!M170</f>
        <v>0</v>
      </c>
      <c r="N42" s="279">
        <f>'Initial unit rates'!N170</f>
        <v>0</v>
      </c>
      <c r="O42" s="279">
        <f>'Initial unit rates'!O170</f>
        <v>0</v>
      </c>
      <c r="P42" s="279">
        <f>'Initial unit rates'!P170</f>
        <v>0</v>
      </c>
      <c r="Q42" s="279">
        <f>'Initial unit rates'!Q170</f>
        <v>0</v>
      </c>
      <c r="R42" s="279">
        <f>'Initial unit rates'!R170</f>
        <v>0</v>
      </c>
      <c r="S42" s="279">
        <f>'Initial unit rates'!S170</f>
        <v>0</v>
      </c>
      <c r="T42" s="279">
        <f>'Initial unit rates'!T170</f>
        <v>0</v>
      </c>
      <c r="U42" s="279">
        <f>'Initial unit rates'!U170</f>
        <v>0</v>
      </c>
      <c r="V42" s="279">
        <f>'Initial unit rates'!V170</f>
        <v>0</v>
      </c>
      <c r="W42" s="279">
        <f>'Initial unit rates'!W170</f>
        <v>0</v>
      </c>
      <c r="X42" s="279">
        <f>'Initial unit rates'!X170</f>
        <v>0</v>
      </c>
      <c r="Y42" s="279">
        <f>'Initial unit rates'!Y170</f>
        <v>0</v>
      </c>
      <c r="Z42" s="268"/>
      <c r="AA42" s="268"/>
    </row>
    <row r="43" spans="4:27" x14ac:dyDescent="0.25">
      <c r="D43"/>
      <c r="F43" t="s">
        <v>198</v>
      </c>
      <c r="G43" t="s">
        <v>270</v>
      </c>
      <c r="H43" s="268"/>
      <c r="I43" s="268"/>
      <c r="J43" s="279">
        <f>'Initial unit rates'!J171</f>
        <v>3.5289853643454676</v>
      </c>
      <c r="K43" s="279">
        <f>'Initial unit rates'!K171</f>
        <v>3.5289853643454676</v>
      </c>
      <c r="L43" s="279">
        <f>'Initial unit rates'!L171</f>
        <v>3.4524640154930148</v>
      </c>
      <c r="M43" s="279">
        <f>'Initial unit rates'!M171</f>
        <v>3.4524640154930148</v>
      </c>
      <c r="N43" s="279">
        <f>'Initial unit rates'!N171</f>
        <v>2.6612412924958688</v>
      </c>
      <c r="O43" s="279">
        <f>'Initial unit rates'!O171</f>
        <v>2.4772573088749406</v>
      </c>
      <c r="P43" s="279">
        <f>'Initial unit rates'!P171</f>
        <v>2.244836309038917</v>
      </c>
      <c r="Q43" s="279">
        <f>'Initial unit rates'!Q171</f>
        <v>7.7694735596721705</v>
      </c>
      <c r="R43" s="279">
        <f>'Initial unit rates'!R171</f>
        <v>-2.1234143312152209</v>
      </c>
      <c r="S43" s="279">
        <f>'Initial unit rates'!S171</f>
        <v>-2.0954220518959992</v>
      </c>
      <c r="T43" s="279">
        <f>'Initial unit rates'!T171</f>
        <v>-2.1234143312152209</v>
      </c>
      <c r="U43" s="279">
        <f>'Initial unit rates'!U171</f>
        <v>-2.1234143312152209</v>
      </c>
      <c r="V43" s="279">
        <f>'Initial unit rates'!V171</f>
        <v>-2.0954220518959992</v>
      </c>
      <c r="W43" s="279">
        <f>'Initial unit rates'!W171</f>
        <v>-2.0954220518959992</v>
      </c>
      <c r="X43" s="279">
        <f>'Initial unit rates'!X171</f>
        <v>0</v>
      </c>
      <c r="Y43" s="279">
        <f>'Initial unit rates'!Y171</f>
        <v>0</v>
      </c>
      <c r="Z43" s="268"/>
      <c r="AA43" s="268"/>
    </row>
    <row r="44" spans="4:27" x14ac:dyDescent="0.25">
      <c r="D44"/>
      <c r="F44" t="s">
        <v>199</v>
      </c>
      <c r="G44" t="s">
        <v>270</v>
      </c>
      <c r="H44" s="268"/>
      <c r="I44" s="268"/>
      <c r="J44" s="279">
        <f>'Initial unit rates'!J172</f>
        <v>1.44788983274317</v>
      </c>
      <c r="K44" s="279">
        <f>'Initial unit rates'!K172</f>
        <v>1.44788983274317</v>
      </c>
      <c r="L44" s="279">
        <f>'Initial unit rates'!L172</f>
        <v>1.4164942695564668</v>
      </c>
      <c r="M44" s="279">
        <f>'Initial unit rates'!M172</f>
        <v>1.4164942695564668</v>
      </c>
      <c r="N44" s="279">
        <f>'Initial unit rates'!N172</f>
        <v>1.0918674383892559</v>
      </c>
      <c r="O44" s="279">
        <f>'Initial unit rates'!O172</f>
        <v>1.0163815658878448</v>
      </c>
      <c r="P44" s="279">
        <f>'Initial unit rates'!P172</f>
        <v>0</v>
      </c>
      <c r="Q44" s="279">
        <f>'Initial unit rates'!Q172</f>
        <v>3.1876986191192866</v>
      </c>
      <c r="R44" s="279">
        <f>'Initial unit rates'!R172</f>
        <v>-0.87120509252604628</v>
      </c>
      <c r="S44" s="279">
        <f>'Initial unit rates'!S172</f>
        <v>0</v>
      </c>
      <c r="T44" s="279">
        <f>'Initial unit rates'!T172</f>
        <v>-0.87120509252604628</v>
      </c>
      <c r="U44" s="279">
        <f>'Initial unit rates'!U172</f>
        <v>-0.87120509252604628</v>
      </c>
      <c r="V44" s="279">
        <f>'Initial unit rates'!V172</f>
        <v>0</v>
      </c>
      <c r="W44" s="279">
        <f>'Initial unit rates'!W172</f>
        <v>0</v>
      </c>
      <c r="X44" s="279">
        <f>'Initial unit rates'!X172</f>
        <v>0</v>
      </c>
      <c r="Y44" s="279">
        <f>'Initial unit rates'!Y172</f>
        <v>0</v>
      </c>
      <c r="Z44" s="268"/>
      <c r="AA44" s="268"/>
    </row>
    <row r="45" spans="4:27" x14ac:dyDescent="0.25">
      <c r="D45"/>
      <c r="F45" t="s">
        <v>200</v>
      </c>
      <c r="G45" t="s">
        <v>270</v>
      </c>
      <c r="H45" s="268"/>
      <c r="I45" s="268"/>
      <c r="J45" s="279">
        <f>'Initial unit rates'!J173</f>
        <v>3.5731098504862913</v>
      </c>
      <c r="K45" s="279">
        <f>'Initial unit rates'!K173</f>
        <v>3.5731098504862913</v>
      </c>
      <c r="L45" s="279">
        <f>'Initial unit rates'!L173</f>
        <v>3.495631720902745</v>
      </c>
      <c r="M45" s="279">
        <f>'Initial unit rates'!M173</f>
        <v>3.495631720902745</v>
      </c>
      <c r="N45" s="279">
        <f>'Initial unit rates'!N173</f>
        <v>2.6945159854754759</v>
      </c>
      <c r="O45" s="279">
        <f>'Initial unit rates'!O173</f>
        <v>0</v>
      </c>
      <c r="P45" s="279">
        <f>'Initial unit rates'!P173</f>
        <v>0</v>
      </c>
      <c r="Q45" s="279">
        <f>'Initial unit rates'!Q173</f>
        <v>7.8666187708336901</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335</v>
      </c>
      <c r="G46" s="95" t="s">
        <v>270</v>
      </c>
      <c r="H46" s="266"/>
      <c r="I46" s="266" t="s">
        <v>155</v>
      </c>
      <c r="J46" s="280"/>
      <c r="K46" s="280"/>
      <c r="L46" s="280"/>
      <c r="M46" s="280"/>
      <c r="N46" s="280"/>
      <c r="O46" s="280"/>
      <c r="P46" s="280"/>
      <c r="Q46" s="278">
        <f>'Service model charges'!$Q$44</f>
        <v>1.3498433202253879</v>
      </c>
      <c r="R46" s="280"/>
      <c r="S46" s="280"/>
      <c r="T46" s="280"/>
      <c r="U46" s="280"/>
      <c r="V46" s="280"/>
      <c r="W46" s="280"/>
      <c r="X46" s="280"/>
      <c r="Y46" s="280"/>
      <c r="Z46" s="268"/>
      <c r="AA46" s="268" t="s">
        <v>612</v>
      </c>
    </row>
    <row r="47" spans="4:27" x14ac:dyDescent="0.25">
      <c r="D47"/>
      <c r="F47" s="96" t="s">
        <v>336</v>
      </c>
      <c r="G47" s="96" t="s">
        <v>270</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control'!$H$42:$H$65,MATCH($A$1,'Version control'!$F$42:$F$65,0),1)&amp;"-B: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579</v>
      </c>
      <c r="J51" s="106"/>
      <c r="K51" s="106"/>
      <c r="L51" s="106"/>
      <c r="M51" s="106"/>
      <c r="N51" s="106"/>
      <c r="O51" s="106"/>
      <c r="P51" s="106"/>
      <c r="Q51" s="106"/>
      <c r="R51" s="106"/>
      <c r="S51" s="106"/>
      <c r="T51" s="106"/>
      <c r="U51" s="106"/>
      <c r="V51" s="106"/>
      <c r="W51" s="106"/>
      <c r="X51" s="106"/>
      <c r="Y51" s="106"/>
    </row>
    <row r="52" spans="3:27" x14ac:dyDescent="0.25">
      <c r="D52"/>
      <c r="F52" s="95" t="s">
        <v>190</v>
      </c>
      <c r="G52" s="95" t="s">
        <v>270</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192</v>
      </c>
      <c r="G53" t="s">
        <v>270</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193</v>
      </c>
      <c r="G54" t="s">
        <v>270</v>
      </c>
      <c r="H54" s="268"/>
      <c r="I54" s="268"/>
      <c r="J54" s="279">
        <f>'Initial unit rates'!J183</f>
        <v>0.11455728989753813</v>
      </c>
      <c r="K54" s="279">
        <f>'Initial unit rates'!K183</f>
        <v>0.11455728989753813</v>
      </c>
      <c r="L54" s="279">
        <f>'Initial unit rates'!L183</f>
        <v>0.11207326759684863</v>
      </c>
      <c r="M54" s="279">
        <f>'Initial unit rates'!M183</f>
        <v>0.11207326759684863</v>
      </c>
      <c r="N54" s="279">
        <f>'Initial unit rates'!N183</f>
        <v>8.6388737485821973E-2</v>
      </c>
      <c r="O54" s="279">
        <f>'Initial unit rates'!O183</f>
        <v>8.0416282411025747E-2</v>
      </c>
      <c r="P54" s="279">
        <f>'Initial unit rates'!P183</f>
        <v>7.2871473604081527E-2</v>
      </c>
      <c r="Q54" s="279">
        <f>'Initial unit rates'!Q183</f>
        <v>0.12305227058159532</v>
      </c>
      <c r="R54" s="279">
        <f>'Initial unit rates'!R183</f>
        <v>-6.8929895139626343E-2</v>
      </c>
      <c r="S54" s="279">
        <f>'Initial unit rates'!S183</f>
        <v>-6.8021214789386442E-2</v>
      </c>
      <c r="T54" s="279">
        <f>'Initial unit rates'!T183</f>
        <v>-6.8929895139626343E-2</v>
      </c>
      <c r="U54" s="279">
        <f>'Initial unit rates'!U183</f>
        <v>-6.8929895139626343E-2</v>
      </c>
      <c r="V54" s="279">
        <f>'Initial unit rates'!V183</f>
        <v>-6.8021214789386442E-2</v>
      </c>
      <c r="W54" s="279">
        <f>'Initial unit rates'!W183</f>
        <v>-6.8021214789386442E-2</v>
      </c>
      <c r="X54" s="279">
        <f>'Initial unit rates'!X183</f>
        <v>-6.711253443914654E-2</v>
      </c>
      <c r="Y54" s="279">
        <f>'Initial unit rates'!Y183</f>
        <v>-6.711253443914654E-2</v>
      </c>
      <c r="Z54" s="268"/>
      <c r="AA54" s="268"/>
    </row>
    <row r="55" spans="3:27" x14ac:dyDescent="0.25">
      <c r="D55"/>
      <c r="F55" t="s">
        <v>194</v>
      </c>
      <c r="G55" t="s">
        <v>270</v>
      </c>
      <c r="H55" s="268"/>
      <c r="I55" s="268"/>
      <c r="J55" s="279">
        <f>'Initial unit rates'!J184</f>
        <v>1.6409355540776206E-2</v>
      </c>
      <c r="K55" s="279">
        <f>'Initial unit rates'!K184</f>
        <v>1.6409355540776206E-2</v>
      </c>
      <c r="L55" s="279">
        <f>'Initial unit rates'!L184</f>
        <v>1.6053540514602942E-2</v>
      </c>
      <c r="M55" s="279">
        <f>'Initial unit rates'!M184</f>
        <v>1.6053540514602942E-2</v>
      </c>
      <c r="N55" s="279">
        <f>'Initial unit rates'!N184</f>
        <v>1.2374450455239844E-2</v>
      </c>
      <c r="O55" s="279">
        <f>'Initial unit rates'!O184</f>
        <v>1.1518947161985437E-2</v>
      </c>
      <c r="P55" s="279">
        <f>'Initial unit rates'!P184</f>
        <v>1.0438217595922368E-2</v>
      </c>
      <c r="Q55" s="279">
        <f>'Initial unit rates'!Q184</f>
        <v>1.762618913103833E-2</v>
      </c>
      <c r="R55" s="279">
        <f>'Initial unit rates'!R184</f>
        <v>-9.8736200703265584E-3</v>
      </c>
      <c r="S55" s="279">
        <f>'Initial unit rates'!S184</f>
        <v>-9.7434593537685799E-3</v>
      </c>
      <c r="T55" s="279">
        <f>'Initial unit rates'!T184</f>
        <v>-9.8736200703265584E-3</v>
      </c>
      <c r="U55" s="279">
        <f>'Initial unit rates'!U184</f>
        <v>-9.8736200703265584E-3</v>
      </c>
      <c r="V55" s="279">
        <f>'Initial unit rates'!V184</f>
        <v>-9.7434593537685799E-3</v>
      </c>
      <c r="W55" s="279">
        <f>'Initial unit rates'!W184</f>
        <v>-9.7434593537685799E-3</v>
      </c>
      <c r="X55" s="279">
        <f>'Initial unit rates'!X184</f>
        <v>-9.613298637210603E-3</v>
      </c>
      <c r="Y55" s="279">
        <f>'Initial unit rates'!Y184</f>
        <v>-9.613298637210603E-3</v>
      </c>
      <c r="Z55" s="268"/>
      <c r="AA55" s="268"/>
    </row>
    <row r="56" spans="3:27" x14ac:dyDescent="0.25">
      <c r="D56"/>
      <c r="F56" t="s">
        <v>195</v>
      </c>
      <c r="G56" t="s">
        <v>270</v>
      </c>
      <c r="H56" s="268"/>
      <c r="I56" s="268"/>
      <c r="J56" s="279">
        <f>'Initial unit rates'!J185</f>
        <v>0.14472714194784608</v>
      </c>
      <c r="K56" s="279">
        <f>'Initial unit rates'!K185</f>
        <v>0.14472714194784608</v>
      </c>
      <c r="L56" s="279">
        <f>'Initial unit rates'!L185</f>
        <v>0.14158892657599978</v>
      </c>
      <c r="M56" s="279">
        <f>'Initial unit rates'!M185</f>
        <v>0.14158892657599978</v>
      </c>
      <c r="N56" s="279">
        <f>'Initial unit rates'!N185</f>
        <v>0.10914010870882565</v>
      </c>
      <c r="O56" s="279">
        <f>'Initial unit rates'!O185</f>
        <v>0.10159474556205188</v>
      </c>
      <c r="P56" s="279">
        <f>'Initial unit rates'!P185</f>
        <v>9.206293299780019E-2</v>
      </c>
      <c r="Q56" s="279">
        <f>'Initial unit rates'!Q185</f>
        <v>0.10784742218213998</v>
      </c>
      <c r="R56" s="279">
        <f>'Initial unit rates'!R185</f>
        <v>-8.708329890874307E-2</v>
      </c>
      <c r="S56" s="279">
        <f>'Initial unit rates'!S185</f>
        <v>-8.59353081510007E-2</v>
      </c>
      <c r="T56" s="279">
        <f>'Initial unit rates'!T185</f>
        <v>-8.708329890874307E-2</v>
      </c>
      <c r="U56" s="279">
        <f>'Initial unit rates'!U185</f>
        <v>-8.708329890874307E-2</v>
      </c>
      <c r="V56" s="279">
        <f>'Initial unit rates'!V185</f>
        <v>-8.59353081510007E-2</v>
      </c>
      <c r="W56" s="279">
        <f>'Initial unit rates'!W185</f>
        <v>-8.59353081510007E-2</v>
      </c>
      <c r="X56" s="279">
        <f>'Initial unit rates'!X185</f>
        <v>-8.4787317393258316E-2</v>
      </c>
      <c r="Y56" s="279">
        <f>'Initial unit rates'!Y185</f>
        <v>-8.4787317393258316E-2</v>
      </c>
      <c r="Z56" s="268"/>
      <c r="AA56" s="268"/>
    </row>
    <row r="57" spans="3:27" x14ac:dyDescent="0.25">
      <c r="D57"/>
      <c r="F57" t="s">
        <v>196</v>
      </c>
      <c r="G57" t="s">
        <v>270</v>
      </c>
      <c r="H57" s="268"/>
      <c r="I57" s="268"/>
      <c r="J57" s="279">
        <f>'Initial unit rates'!J186</f>
        <v>0.1144732579004526</v>
      </c>
      <c r="K57" s="279">
        <f>'Initial unit rates'!K186</f>
        <v>0.1144732579004526</v>
      </c>
      <c r="L57" s="279">
        <f>'Initial unit rates'!L186</f>
        <v>0.11199105772173294</v>
      </c>
      <c r="M57" s="279">
        <f>'Initial unit rates'!M186</f>
        <v>0.11199105772173294</v>
      </c>
      <c r="N57" s="279">
        <f>'Initial unit rates'!N186</f>
        <v>8.6325368160804536E-2</v>
      </c>
      <c r="O57" s="279">
        <f>'Initial unit rates'!O186</f>
        <v>8.0357294102073637E-2</v>
      </c>
      <c r="P57" s="279">
        <f>'Initial unit rates'!P186</f>
        <v>7.2818019690646649E-2</v>
      </c>
      <c r="Q57" s="279">
        <f>'Initial unit rates'!Q186</f>
        <v>8.5302905917978969E-2</v>
      </c>
      <c r="R57" s="279">
        <f>'Initial unit rates'!R186</f>
        <v>-6.8879332519363054E-2</v>
      </c>
      <c r="S57" s="279">
        <f>'Initial unit rates'!S186</f>
        <v>-6.7971318719672755E-2</v>
      </c>
      <c r="T57" s="279">
        <f>'Initial unit rates'!T186</f>
        <v>-6.8879332519363054E-2</v>
      </c>
      <c r="U57" s="279">
        <f>'Initial unit rates'!U186</f>
        <v>-6.8879332519363054E-2</v>
      </c>
      <c r="V57" s="279">
        <f>'Initial unit rates'!V186</f>
        <v>-6.7971318719672755E-2</v>
      </c>
      <c r="W57" s="279">
        <f>'Initial unit rates'!W186</f>
        <v>-6.7971318719672755E-2</v>
      </c>
      <c r="X57" s="279">
        <f>'Initial unit rates'!X186</f>
        <v>-6.7063304919982497E-2</v>
      </c>
      <c r="Y57" s="279">
        <f>'Initial unit rates'!Y186</f>
        <v>-6.7063304919982497E-2</v>
      </c>
      <c r="Z57" s="268"/>
      <c r="AA57" s="268"/>
    </row>
    <row r="58" spans="3:27" x14ac:dyDescent="0.25">
      <c r="D58"/>
      <c r="F58" t="s">
        <v>197</v>
      </c>
      <c r="G58" t="s">
        <v>270</v>
      </c>
      <c r="H58" s="268"/>
      <c r="I58" s="268"/>
      <c r="J58" s="279">
        <f>'Initial unit rates'!J187</f>
        <v>0</v>
      </c>
      <c r="K58" s="279">
        <f>'Initial unit rates'!K187</f>
        <v>0</v>
      </c>
      <c r="L58" s="279">
        <f>'Initial unit rates'!L187</f>
        <v>0</v>
      </c>
      <c r="M58" s="279">
        <f>'Initial unit rates'!M187</f>
        <v>0</v>
      </c>
      <c r="N58" s="279">
        <f>'Initial unit rates'!N187</f>
        <v>0</v>
      </c>
      <c r="O58" s="279">
        <f>'Initial unit rates'!O187</f>
        <v>0</v>
      </c>
      <c r="P58" s="279">
        <f>'Initial unit rates'!P187</f>
        <v>0</v>
      </c>
      <c r="Q58" s="279">
        <f>'Initial unit rates'!Q187</f>
        <v>0</v>
      </c>
      <c r="R58" s="279">
        <f>'Initial unit rates'!R187</f>
        <v>0</v>
      </c>
      <c r="S58" s="279">
        <f>'Initial unit rates'!S187</f>
        <v>0</v>
      </c>
      <c r="T58" s="279">
        <f>'Initial unit rates'!T187</f>
        <v>0</v>
      </c>
      <c r="U58" s="279">
        <f>'Initial unit rates'!U187</f>
        <v>0</v>
      </c>
      <c r="V58" s="279">
        <f>'Initial unit rates'!V187</f>
        <v>0</v>
      </c>
      <c r="W58" s="279">
        <f>'Initial unit rates'!W187</f>
        <v>0</v>
      </c>
      <c r="X58" s="279">
        <f>'Initial unit rates'!X187</f>
        <v>0</v>
      </c>
      <c r="Y58" s="279">
        <f>'Initial unit rates'!Y187</f>
        <v>0</v>
      </c>
      <c r="Z58" s="268"/>
      <c r="AA58" s="268"/>
    </row>
    <row r="59" spans="3:27" x14ac:dyDescent="0.25">
      <c r="D59"/>
      <c r="F59" t="s">
        <v>198</v>
      </c>
      <c r="G59" t="s">
        <v>270</v>
      </c>
      <c r="H59" s="268"/>
      <c r="I59" s="268"/>
      <c r="J59" s="279">
        <f>'Initial unit rates'!J188</f>
        <v>0.52715035086438977</v>
      </c>
      <c r="K59" s="279">
        <f>'Initial unit rates'!K188</f>
        <v>0.52715035086438977</v>
      </c>
      <c r="L59" s="279">
        <f>'Initial unit rates'!L188</f>
        <v>0.51571979739603657</v>
      </c>
      <c r="M59" s="279">
        <f>'Initial unit rates'!M188</f>
        <v>0.51571979739603657</v>
      </c>
      <c r="N59" s="279">
        <f>'Initial unit rates'!N188</f>
        <v>0.39752907315731956</v>
      </c>
      <c r="O59" s="279">
        <f>'Initial unit rates'!O188</f>
        <v>0.37004604007390268</v>
      </c>
      <c r="P59" s="279">
        <f>'Initial unit rates'!P188</f>
        <v>0.33532761566509639</v>
      </c>
      <c r="Q59" s="279">
        <f>'Initial unit rates'!Q188</f>
        <v>0.3928206256130049</v>
      </c>
      <c r="R59" s="279">
        <f>'Initial unit rates'!R188</f>
        <v>-0.31718992689508885</v>
      </c>
      <c r="S59" s="279">
        <f>'Initial unit rates'!S188</f>
        <v>-0.31300851542942848</v>
      </c>
      <c r="T59" s="279">
        <f>'Initial unit rates'!T188</f>
        <v>-0.31718992689508885</v>
      </c>
      <c r="U59" s="279">
        <f>'Initial unit rates'!U188</f>
        <v>-0.31718992689508885</v>
      </c>
      <c r="V59" s="279">
        <f>'Initial unit rates'!V188</f>
        <v>-0.31300851542942848</v>
      </c>
      <c r="W59" s="279">
        <f>'Initial unit rates'!W188</f>
        <v>-0.31300851542942848</v>
      </c>
      <c r="X59" s="279">
        <f>'Initial unit rates'!X188</f>
        <v>0</v>
      </c>
      <c r="Y59" s="279">
        <f>'Initial unit rates'!Y188</f>
        <v>0</v>
      </c>
      <c r="Z59" s="268"/>
      <c r="AA59" s="268"/>
    </row>
    <row r="60" spans="3:27" x14ac:dyDescent="0.25">
      <c r="D60"/>
      <c r="F60" t="s">
        <v>199</v>
      </c>
      <c r="G60" t="s">
        <v>270</v>
      </c>
      <c r="H60" s="268"/>
      <c r="I60" s="268"/>
      <c r="J60" s="279">
        <f>'Initial unit rates'!J189</f>
        <v>0.21628189253913441</v>
      </c>
      <c r="K60" s="279">
        <f>'Initial unit rates'!K189</f>
        <v>0.21628189253913441</v>
      </c>
      <c r="L60" s="279">
        <f>'Initial unit rates'!L189</f>
        <v>0.21159210767443423</v>
      </c>
      <c r="M60" s="279">
        <f>'Initial unit rates'!M189</f>
        <v>0.21159210767443423</v>
      </c>
      <c r="N60" s="279">
        <f>'Initial unit rates'!N189</f>
        <v>0.1631002239509296</v>
      </c>
      <c r="O60" s="279">
        <f>'Initial unit rates'!O189</f>
        <v>0.15182434715742982</v>
      </c>
      <c r="P60" s="279">
        <f>'Initial unit rates'!P189</f>
        <v>0</v>
      </c>
      <c r="Q60" s="279">
        <f>'Initial unit rates'!Q189</f>
        <v>0.1611684184534358</v>
      </c>
      <c r="R60" s="279">
        <f>'Initial unit rates'!R189</f>
        <v>-0.13013827567548669</v>
      </c>
      <c r="S60" s="279">
        <f>'Initial unit rates'!S189</f>
        <v>0</v>
      </c>
      <c r="T60" s="279">
        <f>'Initial unit rates'!T189</f>
        <v>-0.13013827567548669</v>
      </c>
      <c r="U60" s="279">
        <f>'Initial unit rates'!U189</f>
        <v>-0.13013827567548669</v>
      </c>
      <c r="V60" s="279">
        <f>'Initial unit rates'!V189</f>
        <v>0</v>
      </c>
      <c r="W60" s="279">
        <f>'Initial unit rates'!W189</f>
        <v>0</v>
      </c>
      <c r="X60" s="279">
        <f>'Initial unit rates'!X189</f>
        <v>0</v>
      </c>
      <c r="Y60" s="279">
        <f>'Initial unit rates'!Y189</f>
        <v>0</v>
      </c>
      <c r="Z60" s="268"/>
      <c r="AA60" s="268"/>
    </row>
    <row r="61" spans="3:27" x14ac:dyDescent="0.25">
      <c r="D61"/>
      <c r="F61" t="s">
        <v>200</v>
      </c>
      <c r="G61" t="s">
        <v>270</v>
      </c>
      <c r="H61" s="268"/>
      <c r="I61" s="268"/>
      <c r="J61" s="279">
        <f>'Initial unit rates'!J190</f>
        <v>0.53374154803563678</v>
      </c>
      <c r="K61" s="279">
        <f>'Initial unit rates'!K190</f>
        <v>0.53374154803563678</v>
      </c>
      <c r="L61" s="279">
        <f>'Initial unit rates'!L190</f>
        <v>0.52216807323267211</v>
      </c>
      <c r="M61" s="279">
        <f>'Initial unit rates'!M190</f>
        <v>0.52216807323267211</v>
      </c>
      <c r="N61" s="279">
        <f>'Initial unit rates'!N190</f>
        <v>0.40249955738100746</v>
      </c>
      <c r="O61" s="279">
        <f>'Initial unit rates'!O190</f>
        <v>0</v>
      </c>
      <c r="P61" s="279">
        <f>'Initial unit rates'!P190</f>
        <v>0</v>
      </c>
      <c r="Q61" s="279">
        <f>'Initial unit rates'!Q190</f>
        <v>0.397732238006134</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335</v>
      </c>
      <c r="G62" s="95" t="s">
        <v>270</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336</v>
      </c>
      <c r="G63" s="96" t="s">
        <v>270</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580</v>
      </c>
      <c r="J65" s="106"/>
      <c r="K65" s="106"/>
      <c r="L65" s="106"/>
      <c r="M65" s="106"/>
      <c r="N65" s="106"/>
      <c r="O65" s="106"/>
      <c r="P65" s="106"/>
      <c r="Q65" s="106"/>
      <c r="R65" s="106"/>
      <c r="S65" s="106"/>
      <c r="T65" s="106"/>
      <c r="U65" s="106"/>
      <c r="V65" s="106"/>
      <c r="W65" s="106"/>
      <c r="X65" s="106"/>
      <c r="Y65" s="106"/>
    </row>
    <row r="66" spans="3:27" x14ac:dyDescent="0.25">
      <c r="D66"/>
      <c r="F66" s="95" t="s">
        <v>190</v>
      </c>
      <c r="G66" s="95" t="s">
        <v>270</v>
      </c>
      <c r="H66" s="266"/>
      <c r="I66" s="266"/>
      <c r="J66" s="278">
        <f>'Initial unit rates'!J193</f>
        <v>1.418759971971666E-2</v>
      </c>
      <c r="K66" s="278">
        <f>'Initial unit rates'!K193</f>
        <v>1.418759971971666E-2</v>
      </c>
      <c r="L66" s="278">
        <f>'Initial unit rates'!L193</f>
        <v>1.3879960510299662E-2</v>
      </c>
      <c r="M66" s="278">
        <f>'Initial unit rates'!M193</f>
        <v>1.3879960510299662E-2</v>
      </c>
      <c r="N66" s="278">
        <f>'Initial unit rates'!N193</f>
        <v>1.0699003344411897E-2</v>
      </c>
      <c r="O66" s="278">
        <f>'Initial unit rates'!O193</f>
        <v>9.9593314996869846E-3</v>
      </c>
      <c r="P66" s="278">
        <f>'Initial unit rates'!P193</f>
        <v>9.0249280460922062E-3</v>
      </c>
      <c r="Q66" s="278">
        <f>'Initial unit rates'!Q193</f>
        <v>1.6467107189644333E-2</v>
      </c>
      <c r="R66" s="278">
        <f>'Initial unit rates'!R193</f>
        <v>-8.5367745853428909E-3</v>
      </c>
      <c r="S66" s="278">
        <f>'Initial unit rates'!S193</f>
        <v>-8.4242370672686917E-3</v>
      </c>
      <c r="T66" s="278">
        <f>'Initial unit rates'!T193</f>
        <v>-8.5367745853428909E-3</v>
      </c>
      <c r="U66" s="278">
        <f>'Initial unit rates'!U193</f>
        <v>-8.5367745853428909E-3</v>
      </c>
      <c r="V66" s="278">
        <f>'Initial unit rates'!V193</f>
        <v>-8.4242370672686917E-3</v>
      </c>
      <c r="W66" s="278">
        <f>'Initial unit rates'!W193</f>
        <v>-8.4242370672686917E-3</v>
      </c>
      <c r="X66" s="278">
        <f>'Initial unit rates'!X193</f>
        <v>-8.3116995491944907E-3</v>
      </c>
      <c r="Y66" s="278">
        <f>'Initial unit rates'!Y193</f>
        <v>-8.3116995491944907E-3</v>
      </c>
      <c r="Z66" s="268"/>
      <c r="AA66" s="268"/>
    </row>
    <row r="67" spans="3:27" x14ac:dyDescent="0.25">
      <c r="D67"/>
      <c r="F67" t="s">
        <v>192</v>
      </c>
      <c r="G67" t="s">
        <v>270</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193</v>
      </c>
      <c r="G68" t="s">
        <v>270</v>
      </c>
      <c r="H68" s="268"/>
      <c r="I68" s="268"/>
      <c r="J68" s="279">
        <f>'Initial unit rates'!J195</f>
        <v>8.8705145599016724E-2</v>
      </c>
      <c r="K68" s="279">
        <f>'Initial unit rates'!K195</f>
        <v>8.8705145599016724E-2</v>
      </c>
      <c r="L68" s="279">
        <f>'Initial unit rates'!L195</f>
        <v>8.678169262582798E-2</v>
      </c>
      <c r="M68" s="279">
        <f>'Initial unit rates'!M195</f>
        <v>8.678169262582798E-2</v>
      </c>
      <c r="N68" s="279">
        <f>'Initial unit rates'!N195</f>
        <v>6.6893390579063933E-2</v>
      </c>
      <c r="O68" s="279">
        <f>'Initial unit rates'!O195</f>
        <v>6.2268739476831723E-2</v>
      </c>
      <c r="P68" s="279">
        <f>'Initial unit rates'!P195</f>
        <v>5.6426567718619453E-2</v>
      </c>
      <c r="Q68" s="279">
        <f>'Initial unit rates'!Q195</f>
        <v>9.5283063941132826E-2</v>
      </c>
      <c r="R68" s="279">
        <f>'Initial unit rates'!R195</f>
        <v>-5.3374485289887356E-2</v>
      </c>
      <c r="S68" s="279">
        <f>'Initial unit rates'!S195</f>
        <v>-5.2670866839738172E-2</v>
      </c>
      <c r="T68" s="279">
        <f>'Initial unit rates'!T195</f>
        <v>-5.3374485289887356E-2</v>
      </c>
      <c r="U68" s="279">
        <f>'Initial unit rates'!U195</f>
        <v>-5.3374485289887356E-2</v>
      </c>
      <c r="V68" s="279">
        <f>'Initial unit rates'!V195</f>
        <v>-5.2670866839738172E-2</v>
      </c>
      <c r="W68" s="279">
        <f>'Initial unit rates'!W195</f>
        <v>-5.2670866839738172E-2</v>
      </c>
      <c r="X68" s="279">
        <f>'Initial unit rates'!X195</f>
        <v>-5.1967248389589001E-2</v>
      </c>
      <c r="Y68" s="279">
        <f>'Initial unit rates'!Y195</f>
        <v>-5.1967248389589001E-2</v>
      </c>
      <c r="Z68" s="268"/>
      <c r="AA68" s="268"/>
    </row>
    <row r="69" spans="3:27" x14ac:dyDescent="0.25">
      <c r="D69"/>
      <c r="F69" t="s">
        <v>194</v>
      </c>
      <c r="G69" t="s">
        <v>270</v>
      </c>
      <c r="H69" s="268"/>
      <c r="I69" s="268"/>
      <c r="J69" s="279">
        <f>'Initial unit rates'!J196</f>
        <v>1.2706256177433074E-2</v>
      </c>
      <c r="K69" s="279">
        <f>'Initial unit rates'!K196</f>
        <v>1.2706256177433074E-2</v>
      </c>
      <c r="L69" s="279">
        <f>'Initial unit rates'!L196</f>
        <v>1.243073793035122E-2</v>
      </c>
      <c r="M69" s="279">
        <f>'Initial unit rates'!M196</f>
        <v>1.243073793035122E-2</v>
      </c>
      <c r="N69" s="279">
        <f>'Initial unit rates'!N196</f>
        <v>9.5819081467591431E-3</v>
      </c>
      <c r="O69" s="279">
        <f>'Initial unit rates'!O196</f>
        <v>8.9194662868264767E-3</v>
      </c>
      <c r="P69" s="279">
        <f>'Initial unit rates'!P196</f>
        <v>8.0826249684212408E-3</v>
      </c>
      <c r="Q69" s="279">
        <f>'Initial unit rates'!Q196</f>
        <v>1.3648486924079743E-2</v>
      </c>
      <c r="R69" s="279">
        <f>'Initial unit rates'!R196</f>
        <v>-7.6454401698142242E-3</v>
      </c>
      <c r="S69" s="279">
        <f>'Initial unit rates'!S196</f>
        <v>-7.5446528229428499E-3</v>
      </c>
      <c r="T69" s="279">
        <f>'Initial unit rates'!T196</f>
        <v>-7.6454401698142242E-3</v>
      </c>
      <c r="U69" s="279">
        <f>'Initial unit rates'!U196</f>
        <v>-7.6454401698142242E-3</v>
      </c>
      <c r="V69" s="279">
        <f>'Initial unit rates'!V196</f>
        <v>-7.5446528229428499E-3</v>
      </c>
      <c r="W69" s="279">
        <f>'Initial unit rates'!W196</f>
        <v>-7.5446528229428499E-3</v>
      </c>
      <c r="X69" s="279">
        <f>'Initial unit rates'!X196</f>
        <v>-7.4438654760714757E-3</v>
      </c>
      <c r="Y69" s="279">
        <f>'Initial unit rates'!Y196</f>
        <v>-7.4438654760714757E-3</v>
      </c>
      <c r="Z69" s="268"/>
      <c r="AA69" s="268"/>
    </row>
    <row r="70" spans="3:27" x14ac:dyDescent="0.25">
      <c r="D70"/>
      <c r="F70" t="s">
        <v>195</v>
      </c>
      <c r="G70" t="s">
        <v>270</v>
      </c>
      <c r="H70" s="268"/>
      <c r="I70" s="268"/>
      <c r="J70" s="279">
        <f>'Initial unit rates'!J197</f>
        <v>0.1120665669561125</v>
      </c>
      <c r="K70" s="279">
        <f>'Initial unit rates'!K197</f>
        <v>0.1120665669561125</v>
      </c>
      <c r="L70" s="279">
        <f>'Initial unit rates'!L197</f>
        <v>0.10963655266606005</v>
      </c>
      <c r="M70" s="279">
        <f>'Initial unit rates'!M197</f>
        <v>0.10963655266606005</v>
      </c>
      <c r="N70" s="279">
        <f>'Initial unit rates'!N197</f>
        <v>8.4510459721664086E-2</v>
      </c>
      <c r="O70" s="279">
        <f>'Initial unit rates'!O197</f>
        <v>7.8667858721494968E-2</v>
      </c>
      <c r="P70" s="279">
        <f>'Initial unit rates'!P197</f>
        <v>7.1287090355808838E-2</v>
      </c>
      <c r="Q70" s="279">
        <f>'Initial unit rates'!Q197</f>
        <v>8.3509493771211682E-2</v>
      </c>
      <c r="R70" s="279">
        <f>'Initial unit rates'!R197</f>
        <v>-6.7431210321507035E-2</v>
      </c>
      <c r="S70" s="279">
        <f>'Initial unit rates'!S197</f>
        <v>-6.6542286644952348E-2</v>
      </c>
      <c r="T70" s="279">
        <f>'Initial unit rates'!T197</f>
        <v>-6.7431210321507035E-2</v>
      </c>
      <c r="U70" s="279">
        <f>'Initial unit rates'!U197</f>
        <v>-6.7431210321507035E-2</v>
      </c>
      <c r="V70" s="279">
        <f>'Initial unit rates'!V197</f>
        <v>-6.6542286644952348E-2</v>
      </c>
      <c r="W70" s="279">
        <f>'Initial unit rates'!W197</f>
        <v>-6.6542286644952348E-2</v>
      </c>
      <c r="X70" s="279">
        <f>'Initial unit rates'!X197</f>
        <v>-6.5653362968397647E-2</v>
      </c>
      <c r="Y70" s="279">
        <f>'Initial unit rates'!Y197</f>
        <v>-6.5653362968397647E-2</v>
      </c>
      <c r="Z70" s="268"/>
      <c r="AA70" s="268"/>
    </row>
    <row r="71" spans="3:27" x14ac:dyDescent="0.25">
      <c r="D71"/>
      <c r="F71" t="s">
        <v>196</v>
      </c>
      <c r="G71" t="s">
        <v>270</v>
      </c>
      <c r="H71" s="268"/>
      <c r="I71" s="268"/>
      <c r="J71" s="279">
        <f>'Initial unit rates'!J198</f>
        <v>8.8640077103217668E-2</v>
      </c>
      <c r="K71" s="279">
        <f>'Initial unit rates'!K198</f>
        <v>8.8640077103217668E-2</v>
      </c>
      <c r="L71" s="279">
        <f>'Initial unit rates'!L198</f>
        <v>8.6718035053722914E-2</v>
      </c>
      <c r="M71" s="279">
        <f>'Initial unit rates'!M198</f>
        <v>8.6718035053722914E-2</v>
      </c>
      <c r="N71" s="279">
        <f>'Initial unit rates'!N198</f>
        <v>6.6844321810003382E-2</v>
      </c>
      <c r="O71" s="279">
        <f>'Initial unit rates'!O198</f>
        <v>6.2223063059914763E-2</v>
      </c>
      <c r="P71" s="279">
        <f>'Initial unit rates'!P198</f>
        <v>5.6385176750150166E-2</v>
      </c>
      <c r="Q71" s="279">
        <f>'Initial unit rates'!Q198</f>
        <v>6.6052598627651046E-2</v>
      </c>
      <c r="R71" s="279">
        <f>'Initial unit rates'!R198</f>
        <v>-5.3335333136442259E-2</v>
      </c>
      <c r="S71" s="279">
        <f>'Initial unit rates'!S198</f>
        <v>-5.263223081637617E-2</v>
      </c>
      <c r="T71" s="279">
        <f>'Initial unit rates'!T198</f>
        <v>-5.3335333136442259E-2</v>
      </c>
      <c r="U71" s="279">
        <f>'Initial unit rates'!U198</f>
        <v>-5.3335333136442259E-2</v>
      </c>
      <c r="V71" s="279">
        <f>'Initial unit rates'!V198</f>
        <v>-5.263223081637617E-2</v>
      </c>
      <c r="W71" s="279">
        <f>'Initial unit rates'!W198</f>
        <v>-5.263223081637617E-2</v>
      </c>
      <c r="X71" s="279">
        <f>'Initial unit rates'!X198</f>
        <v>-5.1929128496310074E-2</v>
      </c>
      <c r="Y71" s="279">
        <f>'Initial unit rates'!Y198</f>
        <v>-5.1929128496310074E-2</v>
      </c>
      <c r="Z71" s="268"/>
      <c r="AA71" s="268"/>
    </row>
    <row r="72" spans="3:27" x14ac:dyDescent="0.25">
      <c r="D72"/>
      <c r="F72" t="s">
        <v>197</v>
      </c>
      <c r="G72" t="s">
        <v>270</v>
      </c>
      <c r="H72" s="268"/>
      <c r="I72" s="268"/>
      <c r="J72" s="279">
        <f>'Initial unit rates'!J199</f>
        <v>0</v>
      </c>
      <c r="K72" s="279">
        <f>'Initial unit rates'!K199</f>
        <v>0</v>
      </c>
      <c r="L72" s="279">
        <f>'Initial unit rates'!L199</f>
        <v>0</v>
      </c>
      <c r="M72" s="279">
        <f>'Initial unit rates'!M199</f>
        <v>0</v>
      </c>
      <c r="N72" s="279">
        <f>'Initial unit rates'!N199</f>
        <v>0</v>
      </c>
      <c r="O72" s="279">
        <f>'Initial unit rates'!O199</f>
        <v>0</v>
      </c>
      <c r="P72" s="279">
        <f>'Initial unit rates'!P199</f>
        <v>0</v>
      </c>
      <c r="Q72" s="279">
        <f>'Initial unit rates'!Q199</f>
        <v>0</v>
      </c>
      <c r="R72" s="279">
        <f>'Initial unit rates'!R199</f>
        <v>0</v>
      </c>
      <c r="S72" s="279">
        <f>'Initial unit rates'!S199</f>
        <v>0</v>
      </c>
      <c r="T72" s="279">
        <f>'Initial unit rates'!T199</f>
        <v>0</v>
      </c>
      <c r="U72" s="279">
        <f>'Initial unit rates'!U199</f>
        <v>0</v>
      </c>
      <c r="V72" s="279">
        <f>'Initial unit rates'!V199</f>
        <v>0</v>
      </c>
      <c r="W72" s="279">
        <f>'Initial unit rates'!W199</f>
        <v>0</v>
      </c>
      <c r="X72" s="279">
        <f>'Initial unit rates'!X199</f>
        <v>0</v>
      </c>
      <c r="Y72" s="279">
        <f>'Initial unit rates'!Y199</f>
        <v>0</v>
      </c>
      <c r="Z72" s="268"/>
      <c r="AA72" s="268"/>
    </row>
    <row r="73" spans="3:27" x14ac:dyDescent="0.25">
      <c r="D73"/>
      <c r="F73" t="s">
        <v>198</v>
      </c>
      <c r="G73" t="s">
        <v>270</v>
      </c>
      <c r="H73" s="268"/>
      <c r="I73" s="268"/>
      <c r="J73" s="279">
        <f>'Initial unit rates'!J200</f>
        <v>0.40818832802191968</v>
      </c>
      <c r="K73" s="279">
        <f>'Initial unit rates'!K200</f>
        <v>0.40818832802191968</v>
      </c>
      <c r="L73" s="279">
        <f>'Initial unit rates'!L200</f>
        <v>0.39933730762335307</v>
      </c>
      <c r="M73" s="279">
        <f>'Initial unit rates'!M200</f>
        <v>0.39933730762335307</v>
      </c>
      <c r="N73" s="279">
        <f>'Initial unit rates'!N200</f>
        <v>0.30781868483273195</v>
      </c>
      <c r="O73" s="279">
        <f>'Initial unit rates'!O200</f>
        <v>0.28653774799014803</v>
      </c>
      <c r="P73" s="279">
        <f>'Initial unit rates'!P200</f>
        <v>0.25965423062598764</v>
      </c>
      <c r="Q73" s="279">
        <f>'Initial unit rates'!Q200</f>
        <v>0.30417279267399344</v>
      </c>
      <c r="R73" s="279">
        <f>'Initial unit rates'!R200</f>
        <v>-0.24560967418953389</v>
      </c>
      <c r="S73" s="279">
        <f>'Initial unit rates'!S200</f>
        <v>-0.24237188187441761</v>
      </c>
      <c r="T73" s="279">
        <f>'Initial unit rates'!T200</f>
        <v>-0.24560967418953389</v>
      </c>
      <c r="U73" s="279">
        <f>'Initial unit rates'!U200</f>
        <v>-0.24560967418953389</v>
      </c>
      <c r="V73" s="279">
        <f>'Initial unit rates'!V200</f>
        <v>-0.24237188187441761</v>
      </c>
      <c r="W73" s="279">
        <f>'Initial unit rates'!W200</f>
        <v>-0.24237188187441761</v>
      </c>
      <c r="X73" s="279">
        <f>'Initial unit rates'!X200</f>
        <v>0</v>
      </c>
      <c r="Y73" s="279">
        <f>'Initial unit rates'!Y200</f>
        <v>0</v>
      </c>
      <c r="Z73" s="268"/>
      <c r="AA73" s="268"/>
    </row>
    <row r="74" spans="3:27" x14ac:dyDescent="0.25">
      <c r="D74"/>
      <c r="F74" t="s">
        <v>199</v>
      </c>
      <c r="G74" t="s">
        <v>270</v>
      </c>
      <c r="H74" s="268"/>
      <c r="I74" s="268"/>
      <c r="J74" s="279">
        <f>'Initial unit rates'!J201</f>
        <v>0.16747355655213617</v>
      </c>
      <c r="K74" s="279">
        <f>'Initial unit rates'!K201</f>
        <v>0.16747355655213617</v>
      </c>
      <c r="L74" s="279">
        <f>'Initial unit rates'!L201</f>
        <v>0.16384211546599159</v>
      </c>
      <c r="M74" s="279">
        <f>'Initial unit rates'!M201</f>
        <v>0.16384211546599159</v>
      </c>
      <c r="N74" s="279">
        <f>'Initial unit rates'!N201</f>
        <v>0.12629339543332166</v>
      </c>
      <c r="O74" s="279">
        <f>'Initial unit rates'!O201</f>
        <v>0.11756214582346625</v>
      </c>
      <c r="P74" s="279">
        <f>'Initial unit rates'!P201</f>
        <v>0</v>
      </c>
      <c r="Q74" s="279">
        <f>'Initial unit rates'!Q201</f>
        <v>0.12479754049403811</v>
      </c>
      <c r="R74" s="279">
        <f>'Initial unit rates'!R201</f>
        <v>-0.10076997022296971</v>
      </c>
      <c r="S74" s="279">
        <f>'Initial unit rates'!S201</f>
        <v>0</v>
      </c>
      <c r="T74" s="279">
        <f>'Initial unit rates'!T201</f>
        <v>-0.10076997022296971</v>
      </c>
      <c r="U74" s="279">
        <f>'Initial unit rates'!U201</f>
        <v>-0.10076997022296971</v>
      </c>
      <c r="V74" s="279">
        <f>'Initial unit rates'!V201</f>
        <v>0</v>
      </c>
      <c r="W74" s="279">
        <f>'Initial unit rates'!W201</f>
        <v>0</v>
      </c>
      <c r="X74" s="279">
        <f>'Initial unit rates'!X201</f>
        <v>0</v>
      </c>
      <c r="Y74" s="279">
        <f>'Initial unit rates'!Y201</f>
        <v>0</v>
      </c>
      <c r="Z74" s="268"/>
      <c r="AA74" s="268"/>
    </row>
    <row r="75" spans="3:27" x14ac:dyDescent="0.25">
      <c r="D75"/>
      <c r="F75" t="s">
        <v>200</v>
      </c>
      <c r="G75" t="s">
        <v>270</v>
      </c>
      <c r="H75" s="268"/>
      <c r="I75" s="268"/>
      <c r="J75" s="279">
        <f>'Initial unit rates'!J202</f>
        <v>0.4132920896879842</v>
      </c>
      <c r="K75" s="279">
        <f>'Initial unit rates'!K202</f>
        <v>0.4132920896879842</v>
      </c>
      <c r="L75" s="279">
        <f>'Initial unit rates'!L202</f>
        <v>0.40433040101324552</v>
      </c>
      <c r="M75" s="279">
        <f>'Initial unit rates'!M202</f>
        <v>0.40433040101324552</v>
      </c>
      <c r="N75" s="279">
        <f>'Initial unit rates'!N202</f>
        <v>0.31166747985183729</v>
      </c>
      <c r="O75" s="279">
        <f>'Initial unit rates'!O202</f>
        <v>0</v>
      </c>
      <c r="P75" s="279">
        <f>'Initial unit rates'!P202</f>
        <v>0</v>
      </c>
      <c r="Q75" s="279">
        <f>'Initial unit rates'!Q202</f>
        <v>0.30797600146889548</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335</v>
      </c>
      <c r="G76" s="95" t="s">
        <v>270</v>
      </c>
      <c r="H76" s="266"/>
      <c r="I76" s="266" t="s">
        <v>155</v>
      </c>
      <c r="J76" s="280"/>
      <c r="K76" s="280"/>
      <c r="L76" s="280"/>
      <c r="M76" s="280"/>
      <c r="N76" s="280"/>
      <c r="O76" s="280"/>
      <c r="P76" s="280"/>
      <c r="Q76" s="278">
        <f>'Service model charges'!$Q$44</f>
        <v>1.3498433202253879</v>
      </c>
      <c r="R76" s="280"/>
      <c r="S76" s="280"/>
      <c r="T76" s="280"/>
      <c r="U76" s="280"/>
      <c r="V76" s="280"/>
      <c r="W76" s="280"/>
      <c r="X76" s="280"/>
      <c r="Y76" s="280"/>
      <c r="Z76" s="268"/>
      <c r="AA76" s="268" t="s">
        <v>612</v>
      </c>
    </row>
    <row r="77" spans="3:27" x14ac:dyDescent="0.25">
      <c r="D77"/>
      <c r="F77" s="96" t="s">
        <v>336</v>
      </c>
      <c r="G77" s="96" t="s">
        <v>270</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control'!$H$42:$H$65,MATCH($A$1,'Version control'!$F$42:$F$65,0),1)&amp;"-C: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579</v>
      </c>
      <c r="J81" s="106"/>
      <c r="K81" s="106"/>
      <c r="L81" s="106"/>
      <c r="M81" s="106"/>
      <c r="N81" s="106"/>
      <c r="O81" s="106"/>
      <c r="P81" s="106"/>
      <c r="Q81" s="106"/>
      <c r="R81" s="106"/>
      <c r="S81" s="106"/>
      <c r="T81" s="106"/>
      <c r="U81" s="106"/>
      <c r="V81" s="106"/>
      <c r="W81" s="106"/>
      <c r="X81" s="106"/>
      <c r="Y81" s="106"/>
    </row>
    <row r="82" spans="4:27" x14ac:dyDescent="0.25">
      <c r="D82"/>
      <c r="F82" s="95" t="s">
        <v>190</v>
      </c>
      <c r="G82" s="95" t="s">
        <v>270</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192</v>
      </c>
      <c r="G83" t="s">
        <v>270</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193</v>
      </c>
      <c r="G84" t="s">
        <v>270</v>
      </c>
      <c r="H84" s="268"/>
      <c r="I84" s="268"/>
      <c r="J84" s="279">
        <f>'Initial unit rates'!J212</f>
        <v>1.6257343460483308E-2</v>
      </c>
      <c r="K84" s="279">
        <f>'Initial unit rates'!K212</f>
        <v>1.6257343460483308E-2</v>
      </c>
      <c r="L84" s="279">
        <f>'Initial unit rates'!L212</f>
        <v>1.5904824613870151E-2</v>
      </c>
      <c r="M84" s="279">
        <f>'Initial unit rates'!M212</f>
        <v>1.5904824613870151E-2</v>
      </c>
      <c r="N84" s="279">
        <f>'Initial unit rates'!N212</f>
        <v>1.2259816705516518E-2</v>
      </c>
      <c r="O84" s="279">
        <f>'Initial unit rates'!O212</f>
        <v>1.1412238576354133E-2</v>
      </c>
      <c r="P84" s="279">
        <f>'Initial unit rates'!P212</f>
        <v>1.034152061307236E-2</v>
      </c>
      <c r="Q84" s="279">
        <f>'Initial unit rates'!Q212</f>
        <v>1.1770843828223746E-2</v>
      </c>
      <c r="R84" s="279">
        <f>'Initial unit rates'!R212</f>
        <v>-9.7821533748075062E-3</v>
      </c>
      <c r="S84" s="279">
        <f>'Initial unit rates'!S212</f>
        <v>-9.6531984338966703E-3</v>
      </c>
      <c r="T84" s="279">
        <f>'Initial unit rates'!T212</f>
        <v>-9.7821533748075062E-3</v>
      </c>
      <c r="U84" s="279">
        <f>'Initial unit rates'!U212</f>
        <v>-9.7821533748075062E-3</v>
      </c>
      <c r="V84" s="279">
        <f>'Initial unit rates'!V212</f>
        <v>-9.6531984338966703E-3</v>
      </c>
      <c r="W84" s="279">
        <f>'Initial unit rates'!W212</f>
        <v>-9.6531984338966703E-3</v>
      </c>
      <c r="X84" s="279">
        <f>'Initial unit rates'!X212</f>
        <v>-9.5242434929858379E-3</v>
      </c>
      <c r="Y84" s="279">
        <f>'Initial unit rates'!Y212</f>
        <v>-9.5242434929858379E-3</v>
      </c>
      <c r="Z84" s="268"/>
      <c r="AA84" s="268"/>
    </row>
    <row r="85" spans="4:27" x14ac:dyDescent="0.25">
      <c r="D85"/>
      <c r="F85" t="s">
        <v>194</v>
      </c>
      <c r="G85" t="s">
        <v>270</v>
      </c>
      <c r="H85" s="268"/>
      <c r="I85" s="268"/>
      <c r="J85" s="279">
        <f>'Initial unit rates'!J213</f>
        <v>2.3287259084968683E-3</v>
      </c>
      <c r="K85" s="279">
        <f>'Initial unit rates'!K213</f>
        <v>2.3287259084968683E-3</v>
      </c>
      <c r="L85" s="279">
        <f>'Initial unit rates'!L213</f>
        <v>2.2782305878230507E-3</v>
      </c>
      <c r="M85" s="279">
        <f>'Initial unit rates'!M213</f>
        <v>2.2782305878230507E-3</v>
      </c>
      <c r="N85" s="279">
        <f>'Initial unit rates'!N213</f>
        <v>1.7561142670667481E-3</v>
      </c>
      <c r="O85" s="279">
        <f>'Initial unit rates'!O213</f>
        <v>1.6347059229757592E-3</v>
      </c>
      <c r="P85" s="279">
        <f>'Initial unit rates'!P213</f>
        <v>1.4813346992055291E-3</v>
      </c>
      <c r="Q85" s="279">
        <f>'Initial unit rates'!Q213</f>
        <v>1.6860730693352899E-3</v>
      </c>
      <c r="R85" s="279">
        <f>'Initial unit rates'!R213</f>
        <v>-1.401210109153165E-3</v>
      </c>
      <c r="S85" s="279">
        <f>'Initial unit rates'!S213</f>
        <v>-1.3827384127989802E-3</v>
      </c>
      <c r="T85" s="279">
        <f>'Initial unit rates'!T213</f>
        <v>-1.401210109153165E-3</v>
      </c>
      <c r="U85" s="279">
        <f>'Initial unit rates'!U213</f>
        <v>-1.401210109153165E-3</v>
      </c>
      <c r="V85" s="279">
        <f>'Initial unit rates'!V213</f>
        <v>-1.3827384127989802E-3</v>
      </c>
      <c r="W85" s="279">
        <f>'Initial unit rates'!W213</f>
        <v>-1.3827384127989802E-3</v>
      </c>
      <c r="X85" s="279">
        <f>'Initial unit rates'!X213</f>
        <v>-1.3642667164447952E-3</v>
      </c>
      <c r="Y85" s="279">
        <f>'Initial unit rates'!Y213</f>
        <v>-1.3642667164447952E-3</v>
      </c>
      <c r="Z85" s="268"/>
      <c r="AA85" s="268"/>
    </row>
    <row r="86" spans="4:27" x14ac:dyDescent="0.25">
      <c r="D86"/>
      <c r="F86" t="s">
        <v>195</v>
      </c>
      <c r="G86" t="s">
        <v>270</v>
      </c>
      <c r="H86" s="268"/>
      <c r="I86" s="268"/>
      <c r="J86" s="279">
        <f>'Initial unit rates'!J214</f>
        <v>1.361090859350441E-2</v>
      </c>
      <c r="K86" s="279">
        <f>'Initial unit rates'!K214</f>
        <v>1.361090859350441E-2</v>
      </c>
      <c r="L86" s="279">
        <f>'Initial unit rates'!L214</f>
        <v>1.3315774163306635E-2</v>
      </c>
      <c r="M86" s="279">
        <f>'Initial unit rates'!M214</f>
        <v>1.3315774163306635E-2</v>
      </c>
      <c r="N86" s="279">
        <f>'Initial unit rates'!N214</f>
        <v>1.026411510327672E-2</v>
      </c>
      <c r="O86" s="279">
        <f>'Initial unit rates'!O214</f>
        <v>9.5545091046137787E-3</v>
      </c>
      <c r="P86" s="279">
        <f>'Initial unit rates'!P214</f>
        <v>8.6580868593019843E-3</v>
      </c>
      <c r="Q86" s="279">
        <f>'Initial unit rates'!Q214</f>
        <v>9.8547391708734954E-3</v>
      </c>
      <c r="R86" s="279">
        <f>'Initial unit rates'!R214</f>
        <v>-8.1897756392843926E-3</v>
      </c>
      <c r="S86" s="279">
        <f>'Initial unit rates'!S214</f>
        <v>-8.0818124952636954E-3</v>
      </c>
      <c r="T86" s="279">
        <f>'Initial unit rates'!T214</f>
        <v>-8.1897756392843926E-3</v>
      </c>
      <c r="U86" s="279">
        <f>'Initial unit rates'!U214</f>
        <v>-8.1897756392843926E-3</v>
      </c>
      <c r="V86" s="279">
        <f>'Initial unit rates'!V214</f>
        <v>-8.0818124952636954E-3</v>
      </c>
      <c r="W86" s="279">
        <f>'Initial unit rates'!W214</f>
        <v>-8.0818124952636954E-3</v>
      </c>
      <c r="X86" s="279">
        <f>'Initial unit rates'!X214</f>
        <v>-7.9738493512429964E-3</v>
      </c>
      <c r="Y86" s="279">
        <f>'Initial unit rates'!Y214</f>
        <v>-7.9738493512429964E-3</v>
      </c>
      <c r="Z86" s="268"/>
      <c r="AA86" s="268"/>
    </row>
    <row r="87" spans="4:27" x14ac:dyDescent="0.25">
      <c r="D87"/>
      <c r="F87" t="s">
        <v>196</v>
      </c>
      <c r="G87" t="s">
        <v>270</v>
      </c>
      <c r="H87" s="268"/>
      <c r="I87" s="268"/>
      <c r="J87" s="279">
        <f>'Initial unit rates'!J215</f>
        <v>1.0765672759883483E-2</v>
      </c>
      <c r="K87" s="279">
        <f>'Initial unit rates'!K215</f>
        <v>1.0765672759883483E-2</v>
      </c>
      <c r="L87" s="279">
        <f>'Initial unit rates'!L215</f>
        <v>1.0532233480363215E-2</v>
      </c>
      <c r="M87" s="279">
        <f>'Initial unit rates'!M215</f>
        <v>1.0532233480363215E-2</v>
      </c>
      <c r="N87" s="279">
        <f>'Initial unit rates'!N215</f>
        <v>8.1184958088976709E-3</v>
      </c>
      <c r="O87" s="279">
        <f>'Initial unit rates'!O215</f>
        <v>7.5572264478131852E-3</v>
      </c>
      <c r="P87" s="279">
        <f>'Initial unit rates'!P215</f>
        <v>6.8481930661392866E-3</v>
      </c>
      <c r="Q87" s="279">
        <f>'Initial unit rates'!Q215</f>
        <v>7.7946961673271906E-3</v>
      </c>
      <c r="R87" s="279">
        <f>'Initial unit rates'!R215</f>
        <v>-6.4777780192777383E-3</v>
      </c>
      <c r="S87" s="279">
        <f>'Initial unit rates'!S215</f>
        <v>-6.3923835821121178E-3</v>
      </c>
      <c r="T87" s="279">
        <f>'Initial unit rates'!T215</f>
        <v>-6.4777780192777383E-3</v>
      </c>
      <c r="U87" s="279">
        <f>'Initial unit rates'!U215</f>
        <v>-6.4777780192777383E-3</v>
      </c>
      <c r="V87" s="279">
        <f>'Initial unit rates'!V215</f>
        <v>-6.3923835821121178E-3</v>
      </c>
      <c r="W87" s="279">
        <f>'Initial unit rates'!W215</f>
        <v>-6.3923835821121178E-3</v>
      </c>
      <c r="X87" s="279">
        <f>'Initial unit rates'!X215</f>
        <v>-6.3069891449464991E-3</v>
      </c>
      <c r="Y87" s="279">
        <f>'Initial unit rates'!Y215</f>
        <v>-6.3069891449464991E-3</v>
      </c>
      <c r="Z87" s="268"/>
      <c r="AA87" s="268"/>
    </row>
    <row r="88" spans="4:27" x14ac:dyDescent="0.25">
      <c r="D88"/>
      <c r="F88" t="s">
        <v>197</v>
      </c>
      <c r="G88" t="s">
        <v>270</v>
      </c>
      <c r="H88" s="268"/>
      <c r="I88" s="268"/>
      <c r="J88" s="279">
        <f>'Initial unit rates'!J216</f>
        <v>0</v>
      </c>
      <c r="K88" s="279">
        <f>'Initial unit rates'!K216</f>
        <v>0</v>
      </c>
      <c r="L88" s="279">
        <f>'Initial unit rates'!L216</f>
        <v>0</v>
      </c>
      <c r="M88" s="279">
        <f>'Initial unit rates'!M216</f>
        <v>0</v>
      </c>
      <c r="N88" s="279">
        <f>'Initial unit rates'!N216</f>
        <v>0</v>
      </c>
      <c r="O88" s="279">
        <f>'Initial unit rates'!O216</f>
        <v>0</v>
      </c>
      <c r="P88" s="279">
        <f>'Initial unit rates'!P216</f>
        <v>0</v>
      </c>
      <c r="Q88" s="279">
        <f>'Initial unit rates'!Q216</f>
        <v>0</v>
      </c>
      <c r="R88" s="279">
        <f>'Initial unit rates'!R216</f>
        <v>0</v>
      </c>
      <c r="S88" s="279">
        <f>'Initial unit rates'!S216</f>
        <v>0</v>
      </c>
      <c r="T88" s="279">
        <f>'Initial unit rates'!T216</f>
        <v>0</v>
      </c>
      <c r="U88" s="279">
        <f>'Initial unit rates'!U216</f>
        <v>0</v>
      </c>
      <c r="V88" s="279">
        <f>'Initial unit rates'!V216</f>
        <v>0</v>
      </c>
      <c r="W88" s="279">
        <f>'Initial unit rates'!W216</f>
        <v>0</v>
      </c>
      <c r="X88" s="279">
        <f>'Initial unit rates'!X216</f>
        <v>0</v>
      </c>
      <c r="Y88" s="279">
        <f>'Initial unit rates'!Y216</f>
        <v>0</v>
      </c>
      <c r="Z88" s="268"/>
      <c r="AA88" s="268"/>
    </row>
    <row r="89" spans="4:27" x14ac:dyDescent="0.25">
      <c r="D89"/>
      <c r="F89" t="s">
        <v>198</v>
      </c>
      <c r="G89" t="s">
        <v>270</v>
      </c>
      <c r="H89" s="268"/>
      <c r="I89" s="268"/>
      <c r="J89" s="279">
        <f>'Initial unit rates'!J217</f>
        <v>4.9576016938374774E-2</v>
      </c>
      <c r="K89" s="279">
        <f>'Initial unit rates'!K217</f>
        <v>4.9576016938374774E-2</v>
      </c>
      <c r="L89" s="279">
        <f>'Initial unit rates'!L217</f>
        <v>4.8501027020540398E-2</v>
      </c>
      <c r="M89" s="279">
        <f>'Initial unit rates'!M217</f>
        <v>4.8501027020540398E-2</v>
      </c>
      <c r="N89" s="279">
        <f>'Initial unit rates'!N217</f>
        <v>3.7385743995100917E-2</v>
      </c>
      <c r="O89" s="279">
        <f>'Initial unit rates'!O217</f>
        <v>3.4801093692910574E-2</v>
      </c>
      <c r="P89" s="279">
        <f>'Initial unit rates'!P217</f>
        <v>3.153598878737017E-2</v>
      </c>
      <c r="Q89" s="279">
        <f>'Initial unit rates'!Q217</f>
        <v>3.5894643822062457E-2</v>
      </c>
      <c r="R89" s="279">
        <f>'Initial unit rates'!R217</f>
        <v>-2.9830224266469401E-2</v>
      </c>
      <c r="S89" s="279">
        <f>'Initial unit rates'!S217</f>
        <v>-2.9436982138662835E-2</v>
      </c>
      <c r="T89" s="279">
        <f>'Initial unit rates'!T217</f>
        <v>-2.9830224266469401E-2</v>
      </c>
      <c r="U89" s="279">
        <f>'Initial unit rates'!U217</f>
        <v>-2.9830224266469401E-2</v>
      </c>
      <c r="V89" s="279">
        <f>'Initial unit rates'!V217</f>
        <v>-2.9436982138662835E-2</v>
      </c>
      <c r="W89" s="279">
        <f>'Initial unit rates'!W217</f>
        <v>-2.9436982138662835E-2</v>
      </c>
      <c r="X89" s="279">
        <f>'Initial unit rates'!X217</f>
        <v>0</v>
      </c>
      <c r="Y89" s="279">
        <f>'Initial unit rates'!Y217</f>
        <v>0</v>
      </c>
      <c r="Z89" s="268"/>
      <c r="AA89" s="268"/>
    </row>
    <row r="90" spans="4:27" x14ac:dyDescent="0.25">
      <c r="D90"/>
      <c r="F90" t="s">
        <v>199</v>
      </c>
      <c r="G90" t="s">
        <v>270</v>
      </c>
      <c r="H90" s="268"/>
      <c r="I90" s="268"/>
      <c r="J90" s="279">
        <f>'Initial unit rates'!J218</f>
        <v>2.0340297128517384E-2</v>
      </c>
      <c r="K90" s="279">
        <f>'Initial unit rates'!K218</f>
        <v>2.0340297128517384E-2</v>
      </c>
      <c r="L90" s="279">
        <f>'Initial unit rates'!L218</f>
        <v>1.9899244867984001E-2</v>
      </c>
      <c r="M90" s="279">
        <f>'Initial unit rates'!M218</f>
        <v>1.9899244867984001E-2</v>
      </c>
      <c r="N90" s="279">
        <f>'Initial unit rates'!N218</f>
        <v>1.5338810743434572E-2</v>
      </c>
      <c r="O90" s="279">
        <f>'Initial unit rates'!O218</f>
        <v>1.4278367441077024E-2</v>
      </c>
      <c r="P90" s="279">
        <f>'Initial unit rates'!P218</f>
        <v>0</v>
      </c>
      <c r="Q90" s="279">
        <f>'Initial unit rates'!Q218</f>
        <v>1.4727034678292289E-2</v>
      </c>
      <c r="R90" s="279">
        <f>'Initial unit rates'!R218</f>
        <v>-1.2238894176281283E-2</v>
      </c>
      <c r="S90" s="279">
        <f>'Initial unit rates'!S218</f>
        <v>0</v>
      </c>
      <c r="T90" s="279">
        <f>'Initial unit rates'!T218</f>
        <v>-1.2238894176281283E-2</v>
      </c>
      <c r="U90" s="279">
        <f>'Initial unit rates'!U218</f>
        <v>-1.2238894176281283E-2</v>
      </c>
      <c r="V90" s="279">
        <f>'Initial unit rates'!V218</f>
        <v>0</v>
      </c>
      <c r="W90" s="279">
        <f>'Initial unit rates'!W218</f>
        <v>0</v>
      </c>
      <c r="X90" s="279">
        <f>'Initial unit rates'!X218</f>
        <v>0</v>
      </c>
      <c r="Y90" s="279">
        <f>'Initial unit rates'!Y218</f>
        <v>0</v>
      </c>
      <c r="Z90" s="268"/>
      <c r="AA90" s="268"/>
    </row>
    <row r="91" spans="4:27" x14ac:dyDescent="0.25">
      <c r="D91"/>
      <c r="F91" t="s">
        <v>200</v>
      </c>
      <c r="G91" t="s">
        <v>270</v>
      </c>
      <c r="H91" s="268"/>
      <c r="I91" s="268"/>
      <c r="J91" s="279">
        <f>'Initial unit rates'!J219</f>
        <v>5.0195888104295643E-2</v>
      </c>
      <c r="K91" s="279">
        <f>'Initial unit rates'!K219</f>
        <v>5.0195888104295643E-2</v>
      </c>
      <c r="L91" s="279">
        <f>'Initial unit rates'!L219</f>
        <v>4.9107457105574327E-2</v>
      </c>
      <c r="M91" s="279">
        <f>'Initial unit rates'!M219</f>
        <v>4.9107457105574327E-2</v>
      </c>
      <c r="N91" s="279">
        <f>'Initial unit rates'!N219</f>
        <v>3.7853194713214661E-2</v>
      </c>
      <c r="O91" s="279">
        <f>'Initial unit rates'!O219</f>
        <v>0</v>
      </c>
      <c r="P91" s="279">
        <f>'Initial unit rates'!P219</f>
        <v>0</v>
      </c>
      <c r="Q91" s="279">
        <f>'Initial unit rates'!Q219</f>
        <v>3.6343450646216038E-2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335</v>
      </c>
      <c r="G92" s="95" t="s">
        <v>270</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336</v>
      </c>
      <c r="G93" s="96" t="s">
        <v>270</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580</v>
      </c>
      <c r="J95" s="106"/>
      <c r="K95" s="106"/>
      <c r="L95" s="106"/>
      <c r="M95" s="106"/>
      <c r="N95" s="106"/>
      <c r="O95" s="106"/>
      <c r="P95" s="106"/>
      <c r="Q95" s="106"/>
      <c r="R95" s="106"/>
      <c r="S95" s="106"/>
      <c r="T95" s="106"/>
      <c r="U95" s="106"/>
      <c r="V95" s="106"/>
      <c r="W95" s="106"/>
      <c r="X95" s="106"/>
      <c r="Y95" s="106"/>
    </row>
    <row r="96" spans="4:27" x14ac:dyDescent="0.25">
      <c r="D96"/>
      <c r="F96" s="95" t="s">
        <v>190</v>
      </c>
      <c r="G96" s="95" t="s">
        <v>270</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8"/>
      <c r="AA96" s="268"/>
    </row>
    <row r="97" spans="3:42" x14ac:dyDescent="0.25">
      <c r="D97"/>
      <c r="F97" t="s">
        <v>192</v>
      </c>
      <c r="G97" t="s">
        <v>270</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193</v>
      </c>
      <c r="G98" t="s">
        <v>270</v>
      </c>
      <c r="H98" s="268"/>
      <c r="I98" s="268"/>
      <c r="J98" s="279">
        <f>'Initial unit rates'!J224</f>
        <v>1.2588548664211946E-2</v>
      </c>
      <c r="K98" s="279">
        <f>'Initial unit rates'!K224</f>
        <v>1.2588548664211946E-2</v>
      </c>
      <c r="L98" s="279">
        <f>'Initial unit rates'!L224</f>
        <v>1.2315582747829094E-2</v>
      </c>
      <c r="M98" s="279">
        <f>'Initial unit rates'!M224</f>
        <v>1.2315582747829094E-2</v>
      </c>
      <c r="N98" s="279">
        <f>'Initial unit rates'!N224</f>
        <v>9.49314379602368E-3</v>
      </c>
      <c r="O98" s="279">
        <f>'Initial unit rates'!O224</f>
        <v>8.8368386283548418E-3</v>
      </c>
      <c r="P98" s="279">
        <f>'Initial unit rates'!P224</f>
        <v>8.0077495942711754E-3</v>
      </c>
      <c r="Q98" s="279">
        <f>'Initial unit rates'!Q224</f>
        <v>9.1145174308834044E-3</v>
      </c>
      <c r="R98" s="279">
        <f>'Initial unit rates'!R224</f>
        <v>-7.5746147640217551E-3</v>
      </c>
      <c r="S98" s="279">
        <f>'Initial unit rates'!S224</f>
        <v>-7.4747610853999977E-3</v>
      </c>
      <c r="T98" s="279">
        <f>'Initial unit rates'!T224</f>
        <v>-7.5746147640217551E-3</v>
      </c>
      <c r="U98" s="279">
        <f>'Initial unit rates'!U224</f>
        <v>-7.5746147640217551E-3</v>
      </c>
      <c r="V98" s="279">
        <f>'Initial unit rates'!V224</f>
        <v>-7.4747610853999977E-3</v>
      </c>
      <c r="W98" s="279">
        <f>'Initial unit rates'!W224</f>
        <v>-7.4747610853999977E-3</v>
      </c>
      <c r="X98" s="279">
        <f>'Initial unit rates'!X224</f>
        <v>-7.374907406778243E-3</v>
      </c>
      <c r="Y98" s="279">
        <f>'Initial unit rates'!Y224</f>
        <v>-7.374907406778243E-3</v>
      </c>
      <c r="Z98" s="268"/>
      <c r="AA98" s="268"/>
    </row>
    <row r="99" spans="3:42" x14ac:dyDescent="0.25">
      <c r="D99"/>
      <c r="F99" t="s">
        <v>194</v>
      </c>
      <c r="G99" t="s">
        <v>270</v>
      </c>
      <c r="H99" s="268"/>
      <c r="I99" s="268"/>
      <c r="J99" s="279">
        <f>'Initial unit rates'!J225</f>
        <v>1.80320231875402E-3</v>
      </c>
      <c r="K99" s="279">
        <f>'Initial unit rates'!K225</f>
        <v>1.80320231875402E-3</v>
      </c>
      <c r="L99" s="279">
        <f>'Initial unit rates'!L225</f>
        <v>1.764102277399635E-3</v>
      </c>
      <c r="M99" s="279">
        <f>'Initial unit rates'!M225</f>
        <v>1.764102277399635E-3</v>
      </c>
      <c r="N99" s="279">
        <f>'Initial unit rates'!N225</f>
        <v>1.3598119498811061E-3</v>
      </c>
      <c r="O99" s="279">
        <f>'Initial unit rates'!O225</f>
        <v>1.2658018275295809E-3</v>
      </c>
      <c r="P99" s="279">
        <f>'Initial unit rates'!P225</f>
        <v>1.1470418887478066E-3</v>
      </c>
      <c r="Q99" s="279">
        <f>'Initial unit rates'!Q225</f>
        <v>1.3055769496619534E-3</v>
      </c>
      <c r="R99" s="279">
        <f>'Initial unit rates'!R225</f>
        <v>-1.0849990154133068E-3</v>
      </c>
      <c r="S99" s="279">
        <f>'Initial unit rates'!S225</f>
        <v>-1.0706958268862012E-3</v>
      </c>
      <c r="T99" s="279">
        <f>'Initial unit rates'!T225</f>
        <v>-1.0849990154133068E-3</v>
      </c>
      <c r="U99" s="279">
        <f>'Initial unit rates'!U225</f>
        <v>-1.0849990154133068E-3</v>
      </c>
      <c r="V99" s="279">
        <f>'Initial unit rates'!V225</f>
        <v>-1.0706958268862012E-3</v>
      </c>
      <c r="W99" s="279">
        <f>'Initial unit rates'!W225</f>
        <v>-1.0706958268862012E-3</v>
      </c>
      <c r="X99" s="279">
        <f>'Initial unit rates'!X225</f>
        <v>-1.0563926383590956E-3</v>
      </c>
      <c r="Y99" s="279">
        <f>'Initial unit rates'!Y225</f>
        <v>-1.0563926383590956E-3</v>
      </c>
      <c r="Z99" s="268"/>
      <c r="AA99" s="268"/>
    </row>
    <row r="100" spans="3:42" x14ac:dyDescent="0.25">
      <c r="D100"/>
      <c r="F100" t="s">
        <v>195</v>
      </c>
      <c r="G100" t="s">
        <v>270</v>
      </c>
      <c r="H100" s="268"/>
      <c r="I100" s="268"/>
      <c r="J100" s="279">
        <f>'Initial unit rates'!J226</f>
        <v>1.053933476954279E-2</v>
      </c>
      <c r="K100" s="279">
        <f>'Initial unit rates'!K226</f>
        <v>1.053933476954279E-2</v>
      </c>
      <c r="L100" s="279">
        <f>'Initial unit rates'!L226</f>
        <v>1.0310803327978553E-2</v>
      </c>
      <c r="M100" s="279">
        <f>'Initial unit rates'!M226</f>
        <v>1.0310803327978553E-2</v>
      </c>
      <c r="N100" s="279">
        <f>'Initial unit rates'!N226</f>
        <v>7.9478121863355497E-3</v>
      </c>
      <c r="O100" s="279">
        <f>'Initial unit rates'!O226</f>
        <v>7.398342977648513E-3</v>
      </c>
      <c r="P100" s="279">
        <f>'Initial unit rates'!P226</f>
        <v>6.7042163458147681E-3</v>
      </c>
      <c r="Q100" s="279">
        <f>'Initial unit rates'!Q226</f>
        <v>7.6308201230540192E-3</v>
      </c>
      <c r="R100" s="279">
        <f>'Initial unit rates'!R226</f>
        <v>-6.3415889216284129E-3</v>
      </c>
      <c r="S100" s="279">
        <f>'Initial unit rates'!S226</f>
        <v>-6.2579898209666465E-3</v>
      </c>
      <c r="T100" s="279">
        <f>'Initial unit rates'!T226</f>
        <v>-6.3415889216284129E-3</v>
      </c>
      <c r="U100" s="279">
        <f>'Initial unit rates'!U226</f>
        <v>-6.3415889216284129E-3</v>
      </c>
      <c r="V100" s="279">
        <f>'Initial unit rates'!V226</f>
        <v>-6.2579898209666465E-3</v>
      </c>
      <c r="W100" s="279">
        <f>'Initial unit rates'!W226</f>
        <v>-6.2579898209666465E-3</v>
      </c>
      <c r="X100" s="279">
        <f>'Initial unit rates'!X226</f>
        <v>-6.1743907203048775E-3</v>
      </c>
      <c r="Y100" s="279">
        <f>'Initial unit rates'!Y226</f>
        <v>-6.1743907203048775E-3</v>
      </c>
      <c r="Z100" s="268"/>
      <c r="AA100" s="268"/>
    </row>
    <row r="101" spans="3:42" x14ac:dyDescent="0.25">
      <c r="D101"/>
      <c r="F101" t="s">
        <v>196</v>
      </c>
      <c r="G101" t="s">
        <v>270</v>
      </c>
      <c r="H101" s="268"/>
      <c r="I101" s="268"/>
      <c r="J101" s="279">
        <f>'Initial unit rates'!J227</f>
        <v>8.3361833235665213E-3</v>
      </c>
      <c r="K101" s="279">
        <f>'Initial unit rates'!K227</f>
        <v>8.3361833235665213E-3</v>
      </c>
      <c r="L101" s="279">
        <f>'Initial unit rates'!L227</f>
        <v>8.1554242876562249E-3</v>
      </c>
      <c r="M101" s="279">
        <f>'Initial unit rates'!M227</f>
        <v>8.1554242876562249E-3</v>
      </c>
      <c r="N101" s="279">
        <f>'Initial unit rates'!N227</f>
        <v>6.2863948109927415E-3</v>
      </c>
      <c r="O101" s="279">
        <f>'Initial unit rates'!O227</f>
        <v>5.8517871099918097E-3</v>
      </c>
      <c r="P101" s="279">
        <f>'Initial unit rates'!P227</f>
        <v>5.3027612958144619E-3</v>
      </c>
      <c r="Q101" s="279">
        <f>'Initial unit rates'!Q227</f>
        <v>6.0356670364782707E-3</v>
      </c>
      <c r="R101" s="279">
        <f>'Initial unit rates'!R227</f>
        <v>-5.0159378148006495E-3</v>
      </c>
      <c r="S101" s="279">
        <f>'Initial unit rates'!S227</f>
        <v>-4.9498143407825631E-3</v>
      </c>
      <c r="T101" s="279">
        <f>'Initial unit rates'!T227</f>
        <v>-5.0159378148006495E-3</v>
      </c>
      <c r="U101" s="279">
        <f>'Initial unit rates'!U227</f>
        <v>-5.0159378148006495E-3</v>
      </c>
      <c r="V101" s="279">
        <f>'Initial unit rates'!V227</f>
        <v>-4.9498143407825631E-3</v>
      </c>
      <c r="W101" s="279">
        <f>'Initial unit rates'!W227</f>
        <v>-4.9498143407825631E-3</v>
      </c>
      <c r="X101" s="279">
        <f>'Initial unit rates'!X227</f>
        <v>-4.8836908667644749E-3</v>
      </c>
      <c r="Y101" s="279">
        <f>'Initial unit rates'!Y227</f>
        <v>-4.8836908667644749E-3</v>
      </c>
      <c r="Z101" s="268"/>
      <c r="AA101" s="268"/>
    </row>
    <row r="102" spans="3:42" x14ac:dyDescent="0.25">
      <c r="D102"/>
      <c r="F102" t="s">
        <v>197</v>
      </c>
      <c r="G102" t="s">
        <v>270</v>
      </c>
      <c r="H102" s="268"/>
      <c r="I102" s="268"/>
      <c r="J102" s="279">
        <f>'Initial unit rates'!J228</f>
        <v>0</v>
      </c>
      <c r="K102" s="279">
        <f>'Initial unit rates'!K228</f>
        <v>0</v>
      </c>
      <c r="L102" s="279">
        <f>'Initial unit rates'!L228</f>
        <v>0</v>
      </c>
      <c r="M102" s="279">
        <f>'Initial unit rates'!M228</f>
        <v>0</v>
      </c>
      <c r="N102" s="279">
        <f>'Initial unit rates'!N228</f>
        <v>0</v>
      </c>
      <c r="O102" s="279">
        <f>'Initial unit rates'!O228</f>
        <v>0</v>
      </c>
      <c r="P102" s="279">
        <f>'Initial unit rates'!P228</f>
        <v>0</v>
      </c>
      <c r="Q102" s="279">
        <f>'Initial unit rates'!Q228</f>
        <v>0</v>
      </c>
      <c r="R102" s="279">
        <f>'Initial unit rates'!R228</f>
        <v>0</v>
      </c>
      <c r="S102" s="279">
        <f>'Initial unit rates'!S228</f>
        <v>0</v>
      </c>
      <c r="T102" s="279">
        <f>'Initial unit rates'!T228</f>
        <v>0</v>
      </c>
      <c r="U102" s="279">
        <f>'Initial unit rates'!U228</f>
        <v>0</v>
      </c>
      <c r="V102" s="279">
        <f>'Initial unit rates'!V228</f>
        <v>0</v>
      </c>
      <c r="W102" s="279">
        <f>'Initial unit rates'!W228</f>
        <v>0</v>
      </c>
      <c r="X102" s="279">
        <f>'Initial unit rates'!X228</f>
        <v>0</v>
      </c>
      <c r="Y102" s="279">
        <f>'Initial unit rates'!Y228</f>
        <v>0</v>
      </c>
      <c r="Z102" s="268"/>
      <c r="AA102" s="268"/>
    </row>
    <row r="103" spans="3:42" x14ac:dyDescent="0.25">
      <c r="D103"/>
      <c r="F103" t="s">
        <v>198</v>
      </c>
      <c r="G103" t="s">
        <v>270</v>
      </c>
      <c r="H103" s="268"/>
      <c r="I103" s="268"/>
      <c r="J103" s="279">
        <f>'Initial unit rates'!J229</f>
        <v>3.8388196898435534E-2</v>
      </c>
      <c r="K103" s="279">
        <f>'Initial unit rates'!K229</f>
        <v>3.8388196898435534E-2</v>
      </c>
      <c r="L103" s="279">
        <f>'Initial unit rates'!L229</f>
        <v>3.7555799961808779E-2</v>
      </c>
      <c r="M103" s="279">
        <f>'Initial unit rates'!M229</f>
        <v>3.7555799961808779E-2</v>
      </c>
      <c r="N103" s="279">
        <f>'Initial unit rates'!N229</f>
        <v>2.894890292341195E-2</v>
      </c>
      <c r="O103" s="279">
        <f>'Initial unit rates'!O229</f>
        <v>2.6947530670424807E-2</v>
      </c>
      <c r="P103" s="279">
        <f>'Initial unit rates'!P229</f>
        <v>2.4419262008508337E-2</v>
      </c>
      <c r="Q103" s="279">
        <f>'Initial unit rates'!Q229</f>
        <v>2.7794299335369681E-2</v>
      </c>
      <c r="R103" s="279">
        <f>'Initial unit rates'!R229</f>
        <v>-2.3098437377273844E-2</v>
      </c>
      <c r="S103" s="279">
        <f>'Initial unit rates'!S229</f>
        <v>-2.2793938202808839E-2</v>
      </c>
      <c r="T103" s="279">
        <f>'Initial unit rates'!T229</f>
        <v>-2.3098437377273844E-2</v>
      </c>
      <c r="U103" s="279">
        <f>'Initial unit rates'!U229</f>
        <v>-2.3098437377273844E-2</v>
      </c>
      <c r="V103" s="279">
        <f>'Initial unit rates'!V229</f>
        <v>-2.2793938202808839E-2</v>
      </c>
      <c r="W103" s="279">
        <f>'Initial unit rates'!W229</f>
        <v>-2.2793938202808839E-2</v>
      </c>
      <c r="X103" s="279">
        <f>'Initial unit rates'!X229</f>
        <v>0</v>
      </c>
      <c r="Y103" s="279">
        <f>'Initial unit rates'!Y229</f>
        <v>0</v>
      </c>
      <c r="Z103" s="268"/>
      <c r="AA103" s="268"/>
    </row>
    <row r="104" spans="3:42" x14ac:dyDescent="0.25">
      <c r="D104"/>
      <c r="F104" t="s">
        <v>199</v>
      </c>
      <c r="G104" t="s">
        <v>270</v>
      </c>
      <c r="H104" s="268"/>
      <c r="I104" s="268"/>
      <c r="J104" s="279">
        <f>'Initial unit rates'!J230</f>
        <v>1.5750102153483044E-2</v>
      </c>
      <c r="K104" s="279">
        <f>'Initial unit rates'!K230</f>
        <v>1.5750102153483044E-2</v>
      </c>
      <c r="L104" s="279">
        <f>'Initial unit rates'!L230</f>
        <v>1.5408582159230542E-2</v>
      </c>
      <c r="M104" s="279">
        <f>'Initial unit rates'!M230</f>
        <v>1.5408582159230542E-2</v>
      </c>
      <c r="N104" s="279">
        <f>'Initial unit rates'!N230</f>
        <v>1.1877301230930799E-2</v>
      </c>
      <c r="O104" s="279">
        <f>'Initial unit rates'!O230</f>
        <v>1.1056168174978939E-2</v>
      </c>
      <c r="P104" s="279">
        <f>'Initial unit rates'!P230</f>
        <v>0</v>
      </c>
      <c r="Q104" s="279">
        <f>'Initial unit rates'!Q230</f>
        <v>1.1403584674079831E-2</v>
      </c>
      <c r="R104" s="279">
        <f>'Initial unit rates'!R230</f>
        <v>-9.4769428540864963E-3</v>
      </c>
      <c r="S104" s="279">
        <f>'Initial unit rates'!S230</f>
        <v>0</v>
      </c>
      <c r="T104" s="279">
        <f>'Initial unit rates'!T230</f>
        <v>-9.4769428540864963E-3</v>
      </c>
      <c r="U104" s="279">
        <f>'Initial unit rates'!U230</f>
        <v>-9.4769428540864963E-3</v>
      </c>
      <c r="V104" s="279">
        <f>'Initial unit rates'!V230</f>
        <v>0</v>
      </c>
      <c r="W104" s="279">
        <f>'Initial unit rates'!W230</f>
        <v>0</v>
      </c>
      <c r="X104" s="279">
        <f>'Initial unit rates'!X230</f>
        <v>0</v>
      </c>
      <c r="Y104" s="279">
        <f>'Initial unit rates'!Y230</f>
        <v>0</v>
      </c>
      <c r="Z104" s="268"/>
      <c r="AA104" s="268"/>
    </row>
    <row r="105" spans="3:42" x14ac:dyDescent="0.25">
      <c r="D105"/>
      <c r="F105" t="s">
        <v>200</v>
      </c>
      <c r="G105" t="s">
        <v>270</v>
      </c>
      <c r="H105" s="268"/>
      <c r="I105" s="268"/>
      <c r="J105" s="279">
        <f>'Initial unit rates'!J231</f>
        <v>3.8868181734623822E-2</v>
      </c>
      <c r="K105" s="279">
        <f>'Initial unit rates'!K231</f>
        <v>3.8868181734623822E-2</v>
      </c>
      <c r="L105" s="279">
        <f>'Initial unit rates'!L231</f>
        <v>3.8025376965914529E-2</v>
      </c>
      <c r="M105" s="279">
        <f>'Initial unit rates'!M231</f>
        <v>3.8025376965914529E-2</v>
      </c>
      <c r="N105" s="279">
        <f>'Initial unit rates'!N231</f>
        <v>2.9310864035164263E-2</v>
      </c>
      <c r="O105" s="279">
        <f>'Initial unit rates'!O231</f>
        <v>0</v>
      </c>
      <c r="P105" s="279">
        <f>'Initial unit rates'!P231</f>
        <v>0</v>
      </c>
      <c r="Q105" s="279">
        <f>'Initial unit rates'!Q231</f>
        <v>2.8141823920823688E-2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335</v>
      </c>
      <c r="G106" s="95" t="s">
        <v>270</v>
      </c>
      <c r="H106" s="266"/>
      <c r="I106" s="266" t="s">
        <v>155</v>
      </c>
      <c r="J106" s="280"/>
      <c r="K106" s="280"/>
      <c r="L106" s="280"/>
      <c r="M106" s="280"/>
      <c r="N106" s="280"/>
      <c r="O106" s="280"/>
      <c r="P106" s="280"/>
      <c r="Q106" s="278">
        <f>'Service model charges'!$Q$44</f>
        <v>1.3498433202253879</v>
      </c>
      <c r="R106" s="280"/>
      <c r="S106" s="280"/>
      <c r="T106" s="280"/>
      <c r="U106" s="280"/>
      <c r="V106" s="280"/>
      <c r="W106" s="280"/>
      <c r="X106" s="280"/>
      <c r="Y106" s="280"/>
      <c r="Z106" s="268"/>
      <c r="AA106" s="268" t="s">
        <v>612</v>
      </c>
    </row>
    <row r="107" spans="3:42" x14ac:dyDescent="0.25">
      <c r="D107"/>
      <c r="F107" s="96" t="s">
        <v>336</v>
      </c>
      <c r="G107" s="96" t="s">
        <v>270</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control'!$H$42:$H$65,MATCH($A$1,'Version control'!$F$42:$F$65,0),1)&amp;"-D: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122</v>
      </c>
      <c r="H111" s="62"/>
      <c r="I111" t="s">
        <v>155</v>
      </c>
      <c r="J111" s="97"/>
      <c r="L111" s="97"/>
      <c r="AA111" t="s">
        <v>204</v>
      </c>
      <c r="AP111" s="3"/>
    </row>
    <row r="112" spans="3:42" x14ac:dyDescent="0.25">
      <c r="C112" s="75"/>
      <c r="D112"/>
      <c r="E112"/>
      <c r="F112" s="95" t="s">
        <v>192</v>
      </c>
      <c r="G112" s="95" t="s">
        <v>168</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193</v>
      </c>
      <c r="G113" t="s">
        <v>168</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194</v>
      </c>
      <c r="G114" t="s">
        <v>168</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195</v>
      </c>
      <c r="G115" t="s">
        <v>168</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196</v>
      </c>
      <c r="G116" t="s">
        <v>168</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197</v>
      </c>
      <c r="G117" t="s">
        <v>168</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198</v>
      </c>
      <c r="G118" t="s">
        <v>168</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199</v>
      </c>
      <c r="G119" t="s">
        <v>168</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200</v>
      </c>
      <c r="G120" s="96" t="s">
        <v>168</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613</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control'!$H$42:$H$65,MATCH($A$1,'Version control'!$F$42:$F$65,0),1)&amp;"-E: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155</v>
      </c>
      <c r="AA125" t="s">
        <v>614</v>
      </c>
    </row>
    <row r="126" spans="2:42" x14ac:dyDescent="0.25">
      <c r="E126" s="75" t="s">
        <v>579</v>
      </c>
    </row>
    <row r="127" spans="2:42" x14ac:dyDescent="0.25">
      <c r="F127" s="95" t="s">
        <v>190</v>
      </c>
      <c r="G127" s="95" t="s">
        <v>270</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192</v>
      </c>
      <c r="G128" t="s">
        <v>270</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193</v>
      </c>
      <c r="G129" t="s">
        <v>270</v>
      </c>
      <c r="H129" s="268"/>
      <c r="I129" s="268"/>
      <c r="J129" s="282">
        <f t="shared" ref="J129:K129" si="14">J24 * (1 - J$113)</f>
        <v>4.1835646619113733</v>
      </c>
      <c r="K129" s="282">
        <f t="shared" si="14"/>
        <v>4.1835646619113733</v>
      </c>
      <c r="L129" s="282">
        <f t="shared" ref="L129:M129" si="15">L24 * (1 - L$113)</f>
        <v>4.0928496325504371</v>
      </c>
      <c r="M129" s="282">
        <f t="shared" si="15"/>
        <v>4.0928496325504371</v>
      </c>
      <c r="N129" s="282">
        <f t="shared" ref="N129:P129" si="16">N24 * (1 - N$113)</f>
        <v>3.1548657414650472</v>
      </c>
      <c r="O129" s="282">
        <f t="shared" si="16"/>
        <v>2.9367552046487644</v>
      </c>
      <c r="P129" s="282">
        <f t="shared" si="16"/>
        <v>2.6612232368984698</v>
      </c>
      <c r="Q129" s="282">
        <f t="shared" ref="Q129:S129" si="17">Q24 * (1 - Q$113)</f>
        <v>9.1108363475313343</v>
      </c>
      <c r="R129" s="282">
        <f t="shared" si="17"/>
        <v>-2.5172791160939854</v>
      </c>
      <c r="S129" s="282">
        <f t="shared" si="17"/>
        <v>-2.4840946456370019</v>
      </c>
      <c r="T129" s="282">
        <f t="shared" ref="T129:U129" si="18">T24 * (1 - T$113)</f>
        <v>-2.5172791160939854</v>
      </c>
      <c r="U129" s="282">
        <f t="shared" si="18"/>
        <v>-2.5172791160939854</v>
      </c>
      <c r="V129" s="282">
        <f t="shared" ref="V129:W129" si="19">V24 * (1 - V$113)</f>
        <v>-2.4840946456370019</v>
      </c>
      <c r="W129" s="282">
        <f t="shared" si="19"/>
        <v>-2.4840946456370019</v>
      </c>
      <c r="X129" s="282">
        <f t="shared" ref="X129:Y129" si="20">X24 * (1 - X$113)</f>
        <v>-2.4509101751800193</v>
      </c>
      <c r="Y129" s="282">
        <f t="shared" si="20"/>
        <v>-2.4509101751800193</v>
      </c>
      <c r="Z129" s="268"/>
      <c r="AA129" s="268"/>
    </row>
    <row r="130" spans="4:27" x14ac:dyDescent="0.25">
      <c r="F130" t="s">
        <v>194</v>
      </c>
      <c r="G130" t="s">
        <v>270</v>
      </c>
      <c r="H130" s="268"/>
      <c r="I130" s="268"/>
      <c r="J130" s="282">
        <f t="shared" ref="J130:K130" si="21">J25 * (1 - J$114)</f>
        <v>0.59925998621765775</v>
      </c>
      <c r="K130" s="282">
        <f t="shared" si="21"/>
        <v>0.59925998621765775</v>
      </c>
      <c r="L130" s="282">
        <f t="shared" ref="L130:M130" si="22">L25 * (1 - L$114)</f>
        <v>0.58626583131920507</v>
      </c>
      <c r="M130" s="282">
        <f t="shared" si="22"/>
        <v>0.58626583131920507</v>
      </c>
      <c r="N130" s="282">
        <f t="shared" ref="N130:P130" si="23">N25 * (1 - N$114)</f>
        <v>0.4519076322547243</v>
      </c>
      <c r="O130" s="282">
        <f t="shared" si="23"/>
        <v>0.42066515655536807</v>
      </c>
      <c r="P130" s="282">
        <f t="shared" si="23"/>
        <v>0.38119755021003476</v>
      </c>
      <c r="Q130" s="282">
        <f t="shared" ref="Q130:S130" si="24">Q25 * (1 - Q$114)</f>
        <v>1.3050496658413129</v>
      </c>
      <c r="R130" s="282">
        <f t="shared" si="24"/>
        <v>-0.36057878157123513</v>
      </c>
      <c r="S130" s="282">
        <f t="shared" si="24"/>
        <v>-0.35582538897048444</v>
      </c>
      <c r="T130" s="282">
        <f t="shared" ref="T130:U130" si="25">T25 * (1 - T$114)</f>
        <v>-0.36057878157123513</v>
      </c>
      <c r="U130" s="282">
        <f t="shared" si="25"/>
        <v>-0.36057878157123513</v>
      </c>
      <c r="V130" s="282">
        <f t="shared" ref="V130:W130" si="26">V25 * (1 - V$114)</f>
        <v>-0.35582538897048444</v>
      </c>
      <c r="W130" s="282">
        <f t="shared" si="26"/>
        <v>-0.35582538897048444</v>
      </c>
      <c r="X130" s="282">
        <f t="shared" ref="X130:Y130" si="27">X25 * (1 - X$114)</f>
        <v>-0.35107199636973363</v>
      </c>
      <c r="Y130" s="282">
        <f t="shared" si="27"/>
        <v>-0.35107199636973363</v>
      </c>
      <c r="Z130" s="268"/>
      <c r="AA130" s="268"/>
    </row>
    <row r="131" spans="4:27" x14ac:dyDescent="0.25">
      <c r="F131" t="s">
        <v>195</v>
      </c>
      <c r="G131" t="s">
        <v>270</v>
      </c>
      <c r="H131" s="268"/>
      <c r="I131" s="268"/>
      <c r="J131" s="282">
        <f t="shared" ref="J131:K131" si="28">J26 * (1 - J$115)</f>
        <v>1.251236085638566</v>
      </c>
      <c r="K131" s="282">
        <f t="shared" si="28"/>
        <v>1.251236085638566</v>
      </c>
      <c r="L131" s="282">
        <f t="shared" ref="L131:M131" si="29">L26 * (1 - L$115)</f>
        <v>1.2241046971172977</v>
      </c>
      <c r="M131" s="282">
        <f t="shared" si="29"/>
        <v>1.2241046971172977</v>
      </c>
      <c r="N131" s="282">
        <f t="shared" ref="N131:P131" si="30">N26 * (1 - N$115)</f>
        <v>0.94356898484328111</v>
      </c>
      <c r="O131" s="282">
        <f t="shared" si="30"/>
        <v>0.87833567392850553</v>
      </c>
      <c r="P131" s="282">
        <f t="shared" si="30"/>
        <v>0.63674283823325339</v>
      </c>
      <c r="Q131" s="282">
        <f t="shared" ref="Q131:S131" si="31">Q26 * (1 - Q$115)</f>
        <v>2.7547424204406159</v>
      </c>
      <c r="R131" s="282">
        <f t="shared" si="31"/>
        <v>-0.75287720454214724</v>
      </c>
      <c r="S131" s="282">
        <f t="shared" si="31"/>
        <v>-0.74295226964234495</v>
      </c>
      <c r="T131" s="282">
        <f t="shared" ref="T131:U131" si="32">T26 * (1 - T$115)</f>
        <v>-0.75287720454214724</v>
      </c>
      <c r="U131" s="282">
        <f t="shared" si="32"/>
        <v>-0.75287720454214724</v>
      </c>
      <c r="V131" s="282">
        <f t="shared" ref="V131:W131" si="33">V26 * (1 - V$115)</f>
        <v>-0.74295226964234495</v>
      </c>
      <c r="W131" s="282">
        <f t="shared" si="33"/>
        <v>-0.74295226964234495</v>
      </c>
      <c r="X131" s="282">
        <f t="shared" ref="X131:Y131" si="34">X26 * (1 - X$115)</f>
        <v>-0.73302733474254256</v>
      </c>
      <c r="Y131" s="282">
        <f t="shared" si="34"/>
        <v>-0.73302733474254256</v>
      </c>
      <c r="Z131" s="268"/>
      <c r="AA131" s="268"/>
    </row>
    <row r="132" spans="4:27" x14ac:dyDescent="0.25">
      <c r="F132" t="s">
        <v>196</v>
      </c>
      <c r="G132" t="s">
        <v>270</v>
      </c>
      <c r="H132" s="268"/>
      <c r="I132" s="268"/>
      <c r="J132" s="282">
        <f t="shared" ref="J132:K132" si="35">J27 * (1 - J$116)</f>
        <v>0.9896766370006248</v>
      </c>
      <c r="K132" s="282">
        <f t="shared" si="35"/>
        <v>0.9896766370006248</v>
      </c>
      <c r="L132" s="282">
        <f t="shared" ref="L132:M132" si="36">L27 * (1 - L$116)</f>
        <v>0.96821681686189975</v>
      </c>
      <c r="M132" s="282">
        <f t="shared" si="36"/>
        <v>0.96821681686189975</v>
      </c>
      <c r="N132" s="282">
        <f t="shared" ref="N132:P132" si="37">N27 * (1 - N$116)</f>
        <v>0.74632452693467077</v>
      </c>
      <c r="O132" s="282">
        <f t="shared" si="37"/>
        <v>0.69472764245574914</v>
      </c>
      <c r="P132" s="282">
        <f t="shared" si="37"/>
        <v>0</v>
      </c>
      <c r="Q132" s="282">
        <f t="shared" ref="Q132:S132" si="38">Q27 * (1 - Q$116)</f>
        <v>2.1788887371109231</v>
      </c>
      <c r="R132" s="282">
        <f t="shared" si="38"/>
        <v>-0.59549511752247841</v>
      </c>
      <c r="S132" s="282">
        <f t="shared" si="38"/>
        <v>-0.58764489940071318</v>
      </c>
      <c r="T132" s="282">
        <f t="shared" ref="T132:U132" si="39">T27 * (1 - T$116)</f>
        <v>-0.59549511752247841</v>
      </c>
      <c r="U132" s="282">
        <f t="shared" si="39"/>
        <v>-0.59549511752247841</v>
      </c>
      <c r="V132" s="282">
        <f t="shared" ref="V132:W132" si="40">V27 * (1 - V$116)</f>
        <v>-0.58764489940071318</v>
      </c>
      <c r="W132" s="282">
        <f t="shared" si="40"/>
        <v>-0.58764489940071318</v>
      </c>
      <c r="X132" s="282">
        <f t="shared" ref="X132:Y132" si="41">X27 * (1 - X$116)</f>
        <v>-0.57979468127894795</v>
      </c>
      <c r="Y132" s="282">
        <f t="shared" si="41"/>
        <v>-0.57979468127894795</v>
      </c>
      <c r="Z132" s="268"/>
      <c r="AA132" s="268"/>
    </row>
    <row r="133" spans="4:27" x14ac:dyDescent="0.25">
      <c r="F133" t="s">
        <v>197</v>
      </c>
      <c r="G133" t="s">
        <v>270</v>
      </c>
      <c r="H133" s="268"/>
      <c r="I133" s="268"/>
      <c r="J133" s="282">
        <f t="shared" ref="J133:K133" si="42">J28 * (1 - J$117)</f>
        <v>0</v>
      </c>
      <c r="K133" s="282">
        <f t="shared" si="42"/>
        <v>0</v>
      </c>
      <c r="L133" s="282">
        <f t="shared" ref="L133:M133" si="43">L28 * (1 - L$117)</f>
        <v>0</v>
      </c>
      <c r="M133" s="282">
        <f t="shared" si="43"/>
        <v>0</v>
      </c>
      <c r="N133" s="282">
        <f t="shared" ref="N133:P133" si="44">N28 * (1 - N$117)</f>
        <v>0</v>
      </c>
      <c r="O133" s="282">
        <f t="shared" si="44"/>
        <v>0</v>
      </c>
      <c r="P133" s="282">
        <f t="shared" si="44"/>
        <v>0</v>
      </c>
      <c r="Q133" s="282">
        <f t="shared" ref="Q133:S133" si="45">Q28 * (1 - Q$117)</f>
        <v>0</v>
      </c>
      <c r="R133" s="282">
        <f t="shared" si="45"/>
        <v>0</v>
      </c>
      <c r="S133" s="282">
        <f t="shared" si="45"/>
        <v>0</v>
      </c>
      <c r="T133" s="282">
        <f t="shared" ref="T133:U133" si="46">T28 * (1 - T$117)</f>
        <v>0</v>
      </c>
      <c r="U133" s="282">
        <f t="shared" si="46"/>
        <v>0</v>
      </c>
      <c r="V133" s="282">
        <f t="shared" ref="V133:W133" si="47">V28 * (1 - V$117)</f>
        <v>0</v>
      </c>
      <c r="W133" s="282">
        <f t="shared" si="47"/>
        <v>0</v>
      </c>
      <c r="X133" s="282">
        <f t="shared" ref="X133:Y133" si="48">X28 * (1 - X$117)</f>
        <v>0</v>
      </c>
      <c r="Y133" s="282">
        <f t="shared" si="48"/>
        <v>0</v>
      </c>
      <c r="Z133" s="268"/>
      <c r="AA133" s="268"/>
    </row>
    <row r="134" spans="4:27" x14ac:dyDescent="0.25">
      <c r="F134" t="s">
        <v>198</v>
      </c>
      <c r="G134" t="s">
        <v>270</v>
      </c>
      <c r="H134" s="268"/>
      <c r="I134" s="268"/>
      <c r="J134" s="282">
        <f t="shared" ref="J134:K134" si="49">J29 * (1 - J$118)</f>
        <v>4.5574695435929051</v>
      </c>
      <c r="K134" s="282">
        <f t="shared" si="49"/>
        <v>4.5574695435929051</v>
      </c>
      <c r="L134" s="282">
        <f t="shared" ref="L134:M134" si="50">L29 * (1 - L$118)</f>
        <v>4.4586468847195713</v>
      </c>
      <c r="M134" s="282">
        <f t="shared" si="50"/>
        <v>4.4586468847195713</v>
      </c>
      <c r="N134" s="282">
        <f t="shared" ref="N134:P134" si="51">N29 * (1 - N$118)</f>
        <v>2.749464763722818</v>
      </c>
      <c r="O134" s="282">
        <f t="shared" si="51"/>
        <v>0</v>
      </c>
      <c r="P134" s="282">
        <f t="shared" si="51"/>
        <v>0</v>
      </c>
      <c r="Q134" s="282">
        <f t="shared" ref="Q134:S134" si="52">Q29 * (1 - Q$118)</f>
        <v>10.03380163480041</v>
      </c>
      <c r="R134" s="282">
        <f t="shared" si="52"/>
        <v>-2.7422602090436738</v>
      </c>
      <c r="S134" s="282">
        <f t="shared" si="52"/>
        <v>-2.7061098861372597</v>
      </c>
      <c r="T134" s="282">
        <f t="shared" ref="T134:U134" si="53">T29 * (1 - T$118)</f>
        <v>-2.7422602090436738</v>
      </c>
      <c r="U134" s="282">
        <f t="shared" si="53"/>
        <v>-2.7422602090436738</v>
      </c>
      <c r="V134" s="282">
        <f t="shared" ref="V134:W134" si="54">V29 * (1 - V$118)</f>
        <v>-2.7061098861372597</v>
      </c>
      <c r="W134" s="282">
        <f t="shared" si="54"/>
        <v>-2.7061098861372597</v>
      </c>
      <c r="X134" s="282">
        <f t="shared" ref="X134:Y134" si="55">X29 * (1 - X$118)</f>
        <v>0</v>
      </c>
      <c r="Y134" s="282">
        <f t="shared" si="55"/>
        <v>0</v>
      </c>
      <c r="Z134" s="268"/>
      <c r="AA134" s="268"/>
    </row>
    <row r="135" spans="4:27" x14ac:dyDescent="0.25">
      <c r="F135" t="s">
        <v>199</v>
      </c>
      <c r="G135" t="s">
        <v>270</v>
      </c>
      <c r="H135" s="268"/>
      <c r="I135" s="268"/>
      <c r="J135" s="282">
        <f t="shared" ref="J135:K135" si="56">J30 * (1 - J$119)</f>
        <v>1.8698614853645636</v>
      </c>
      <c r="K135" s="282">
        <f t="shared" si="56"/>
        <v>1.8698614853645636</v>
      </c>
      <c r="L135" s="282">
        <f t="shared" ref="L135:M135" si="57">L30 * (1 - L$119)</f>
        <v>1.8293160287375749</v>
      </c>
      <c r="M135" s="282">
        <f t="shared" si="57"/>
        <v>1.8293160287375749</v>
      </c>
      <c r="N135" s="282">
        <f t="shared" ref="N135:P135" si="58">N30 * (1 - N$119)</f>
        <v>0</v>
      </c>
      <c r="O135" s="282">
        <f t="shared" si="58"/>
        <v>0</v>
      </c>
      <c r="P135" s="282">
        <f t="shared" si="58"/>
        <v>0</v>
      </c>
      <c r="Q135" s="282">
        <f t="shared" ref="Q135:S135" si="59">Q30 * (1 - Q$119)</f>
        <v>4.1167185099629435</v>
      </c>
      <c r="R135" s="282">
        <f t="shared" si="59"/>
        <v>-1.1251082862302872</v>
      </c>
      <c r="S135" s="282">
        <f t="shared" si="59"/>
        <v>0</v>
      </c>
      <c r="T135" s="282">
        <f t="shared" ref="T135:U135" si="60">T30 * (1 - T$119)</f>
        <v>-1.1251082862302872</v>
      </c>
      <c r="U135" s="282">
        <f t="shared" si="60"/>
        <v>-1.1251082862302872</v>
      </c>
      <c r="V135" s="282">
        <f t="shared" ref="V135:W135" si="61">V30 * (1 - V$119)</f>
        <v>0</v>
      </c>
      <c r="W135" s="282">
        <f t="shared" si="61"/>
        <v>0</v>
      </c>
      <c r="X135" s="282">
        <f t="shared" ref="X135:Y135" si="62">X30 * (1 - X$119)</f>
        <v>0</v>
      </c>
      <c r="Y135" s="282">
        <f t="shared" si="62"/>
        <v>0</v>
      </c>
      <c r="Z135" s="268"/>
      <c r="AA135" s="268"/>
    </row>
    <row r="136" spans="4:27" x14ac:dyDescent="0.25">
      <c r="F136" t="s">
        <v>200</v>
      </c>
      <c r="G136" t="s">
        <v>270</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10.15925875503889</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335</v>
      </c>
      <c r="G137" s="95" t="s">
        <v>270</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336</v>
      </c>
      <c r="G138" s="96" t="s">
        <v>270</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580</v>
      </c>
      <c r="J140" s="106"/>
      <c r="K140" s="106"/>
      <c r="L140" s="106"/>
      <c r="M140" s="106"/>
      <c r="N140" s="106"/>
      <c r="O140" s="106"/>
      <c r="P140" s="106"/>
      <c r="Q140" s="106"/>
      <c r="R140" s="106"/>
      <c r="S140" s="106"/>
      <c r="T140" s="106"/>
      <c r="U140" s="106"/>
      <c r="V140" s="106"/>
      <c r="W140" s="106"/>
      <c r="X140" s="106"/>
      <c r="Y140" s="106"/>
    </row>
    <row r="141" spans="4:27" x14ac:dyDescent="0.25">
      <c r="F141" s="95" t="s">
        <v>190</v>
      </c>
      <c r="G141" s="95" t="s">
        <v>270</v>
      </c>
      <c r="H141" s="266"/>
      <c r="I141" s="266"/>
      <c r="J141" s="281">
        <f t="shared" ref="J141:K141" si="70">J36 * (1 - J$112)</f>
        <v>1.5285027400517139</v>
      </c>
      <c r="K141" s="281">
        <f t="shared" si="70"/>
        <v>1.5285027400517139</v>
      </c>
      <c r="L141" s="281">
        <f t="shared" ref="L141:M141" si="71">L36 * (1 - L$112)</f>
        <v>1.4953591933044974</v>
      </c>
      <c r="M141" s="281">
        <f t="shared" si="71"/>
        <v>1.4953591933044974</v>
      </c>
      <c r="N141" s="281">
        <f t="shared" ref="N141:P141" si="72">N36 * (1 - N$112)</f>
        <v>1.1526583954176166</v>
      </c>
      <c r="O141" s="281">
        <f t="shared" si="72"/>
        <v>1.0729697614177482</v>
      </c>
      <c r="P141" s="281">
        <f t="shared" si="72"/>
        <v>0.97230169441917325</v>
      </c>
      <c r="Q141" s="281">
        <f t="shared" ref="Q141:S141" si="73">Q36 * (1 - Q$112)</f>
        <v>3.5870200135481278</v>
      </c>
      <c r="R141" s="281">
        <f t="shared" si="73"/>
        <v>-0.91971042337533826</v>
      </c>
      <c r="S141" s="281">
        <f t="shared" si="73"/>
        <v>-0.90758618050598361</v>
      </c>
      <c r="T141" s="281">
        <f t="shared" ref="T141:U141" si="74">T36 * (1 - T$112)</f>
        <v>-0.91971042337533826</v>
      </c>
      <c r="U141" s="281">
        <f t="shared" si="74"/>
        <v>-0.91971042337533826</v>
      </c>
      <c r="V141" s="281">
        <f t="shared" ref="V141:W141" si="75">V36 * (1 - V$112)</f>
        <v>-0.90758618050598361</v>
      </c>
      <c r="W141" s="281">
        <f t="shared" si="75"/>
        <v>-0.90758618050598361</v>
      </c>
      <c r="X141" s="281">
        <f t="shared" ref="X141:Y141" si="76">X36 * (1 - X$112)</f>
        <v>-0.89546193763662885</v>
      </c>
      <c r="Y141" s="281">
        <f t="shared" si="76"/>
        <v>-0.89546193763662885</v>
      </c>
      <c r="Z141" s="268"/>
      <c r="AA141" s="268"/>
    </row>
    <row r="142" spans="4:27" x14ac:dyDescent="0.25">
      <c r="F142" t="s">
        <v>192</v>
      </c>
      <c r="G142" t="s">
        <v>270</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193</v>
      </c>
      <c r="G143" t="s">
        <v>270</v>
      </c>
      <c r="H143" s="268"/>
      <c r="I143" s="268"/>
      <c r="J143" s="282">
        <f t="shared" ref="J143:K143" si="84">J38 * (1 - J$113)</f>
        <v>3.239459599556437</v>
      </c>
      <c r="K143" s="282">
        <f t="shared" si="84"/>
        <v>3.239459599556437</v>
      </c>
      <c r="L143" s="282">
        <f t="shared" ref="L143:M143" si="85">L38 * (1 - L$113)</f>
        <v>3.1692162314156738</v>
      </c>
      <c r="M143" s="282">
        <f t="shared" si="85"/>
        <v>3.1692162314156738</v>
      </c>
      <c r="N143" s="282">
        <f t="shared" ref="N143:P143" si="86">N38 * (1 - N$113)</f>
        <v>2.4429071706594292</v>
      </c>
      <c r="O143" s="282">
        <f t="shared" si="86"/>
        <v>2.2740176399951406</v>
      </c>
      <c r="P143" s="282">
        <f t="shared" si="86"/>
        <v>2.0606649730602475</v>
      </c>
      <c r="Q143" s="282">
        <f t="shared" ref="Q143:S143" si="87">Q38 * (1 - Q$113)</f>
        <v>7.054793854318901</v>
      </c>
      <c r="R143" s="282">
        <f t="shared" si="87"/>
        <v>-1.949204722861376</v>
      </c>
      <c r="S143" s="282">
        <f t="shared" si="87"/>
        <v>-1.9235089920515269</v>
      </c>
      <c r="T143" s="282">
        <f t="shared" ref="T143:U143" si="88">T38 * (1 - T$113)</f>
        <v>-1.949204722861376</v>
      </c>
      <c r="U143" s="282">
        <f t="shared" si="88"/>
        <v>-1.949204722861376</v>
      </c>
      <c r="V143" s="282">
        <f t="shared" ref="V143:W143" si="89">V38 * (1 - V$113)</f>
        <v>-1.9235089920515269</v>
      </c>
      <c r="W143" s="282">
        <f t="shared" si="89"/>
        <v>-1.9235089920515269</v>
      </c>
      <c r="X143" s="282">
        <f t="shared" ref="X143:Y143" si="90">X38 * (1 - X$113)</f>
        <v>-1.8978132612416783</v>
      </c>
      <c r="Y143" s="282">
        <f t="shared" si="90"/>
        <v>-1.8978132612416783</v>
      </c>
      <c r="Z143" s="268"/>
      <c r="AA143" s="268"/>
    </row>
    <row r="144" spans="4:27" x14ac:dyDescent="0.25">
      <c r="F144" t="s">
        <v>194</v>
      </c>
      <c r="G144" t="s">
        <v>270</v>
      </c>
      <c r="H144" s="268"/>
      <c r="I144" s="268"/>
      <c r="J144" s="282">
        <f t="shared" ref="J144:K144" si="91">J39 * (1 - J$114)</f>
        <v>0.46402498153235783</v>
      </c>
      <c r="K144" s="282">
        <f t="shared" si="91"/>
        <v>0.46402498153235783</v>
      </c>
      <c r="L144" s="282">
        <f t="shared" ref="L144:M144" si="92">L39 * (1 - L$114)</f>
        <v>0.45396321764780395</v>
      </c>
      <c r="M144" s="282">
        <f t="shared" si="92"/>
        <v>0.45396321764780395</v>
      </c>
      <c r="N144" s="282">
        <f t="shared" ref="N144:P144" si="93">N39 * (1 - N$114)</f>
        <v>0.34992563417235401</v>
      </c>
      <c r="O144" s="282">
        <f t="shared" si="93"/>
        <v>0.32573364815152639</v>
      </c>
      <c r="P144" s="282">
        <f t="shared" si="93"/>
        <v>0.29517269676695018</v>
      </c>
      <c r="Q144" s="282">
        <f t="shared" ref="Q144:S144" si="94">Q39 * (1 - Q$114)</f>
        <v>1.0105390999206032</v>
      </c>
      <c r="R144" s="282">
        <f t="shared" si="94"/>
        <v>-0.27920696577058113</v>
      </c>
      <c r="S144" s="282">
        <f t="shared" si="94"/>
        <v>-0.27552627130656215</v>
      </c>
      <c r="T144" s="282">
        <f t="shared" ref="T144:U144" si="95">T39 * (1 - T$114)</f>
        <v>-0.27920696577058113</v>
      </c>
      <c r="U144" s="282">
        <f t="shared" si="95"/>
        <v>-0.27920696577058113</v>
      </c>
      <c r="V144" s="282">
        <f t="shared" ref="V144:W144" si="96">V39 * (1 - V$114)</f>
        <v>-0.27552627130656215</v>
      </c>
      <c r="W144" s="282">
        <f t="shared" si="96"/>
        <v>-0.27552627130656215</v>
      </c>
      <c r="X144" s="282">
        <f t="shared" ref="X144:Y144" si="97">X39 * (1 - X$114)</f>
        <v>-0.27184557684254324</v>
      </c>
      <c r="Y144" s="282">
        <f t="shared" si="97"/>
        <v>-0.27184557684254324</v>
      </c>
      <c r="Z144" s="268"/>
      <c r="AA144" s="268"/>
    </row>
    <row r="145" spans="3:27" x14ac:dyDescent="0.25">
      <c r="F145" t="s">
        <v>195</v>
      </c>
      <c r="G145" t="s">
        <v>270</v>
      </c>
      <c r="H145" s="268"/>
      <c r="I145" s="268"/>
      <c r="J145" s="282">
        <f t="shared" ref="J145:K145" si="98">J40 * (1 - J$115)</f>
        <v>0.96886963068509169</v>
      </c>
      <c r="K145" s="282">
        <f t="shared" si="98"/>
        <v>0.96886963068509169</v>
      </c>
      <c r="L145" s="282">
        <f t="shared" ref="L145:M145" si="99">L40 * (1 - L$115)</f>
        <v>0.9478609827742065</v>
      </c>
      <c r="M145" s="282">
        <f t="shared" si="99"/>
        <v>0.9478609827742065</v>
      </c>
      <c r="N145" s="282">
        <f t="shared" ref="N145:P145" si="100">N40 * (1 - N$115)</f>
        <v>0.73063376637228183</v>
      </c>
      <c r="O145" s="282">
        <f t="shared" si="100"/>
        <v>0.68012165712304395</v>
      </c>
      <c r="P145" s="282">
        <f t="shared" si="100"/>
        <v>0.49304907810869686</v>
      </c>
      <c r="Q145" s="282">
        <f t="shared" ref="Q145:S145" si="101">Q40 * (1 - Q$115)</f>
        <v>2.133079681891322</v>
      </c>
      <c r="R145" s="282">
        <f t="shared" si="101"/>
        <v>-0.58297540127585601</v>
      </c>
      <c r="S145" s="282">
        <f t="shared" si="101"/>
        <v>-0.57529022649444184</v>
      </c>
      <c r="T145" s="282">
        <f t="shared" ref="T145:U145" si="102">T40 * (1 - T$115)</f>
        <v>-0.58297540127585601</v>
      </c>
      <c r="U145" s="282">
        <f t="shared" si="102"/>
        <v>-0.58297540127585601</v>
      </c>
      <c r="V145" s="282">
        <f t="shared" ref="V145:W145" si="103">V40 * (1 - V$115)</f>
        <v>-0.57529022649444184</v>
      </c>
      <c r="W145" s="282">
        <f t="shared" si="103"/>
        <v>-0.57529022649444184</v>
      </c>
      <c r="X145" s="282">
        <f t="shared" ref="X145:Y145" si="104">X40 * (1 - X$115)</f>
        <v>-0.56760505171302755</v>
      </c>
      <c r="Y145" s="282">
        <f t="shared" si="104"/>
        <v>-0.56760505171302755</v>
      </c>
      <c r="Z145" s="268"/>
      <c r="AA145" s="268"/>
    </row>
    <row r="146" spans="3:27" x14ac:dyDescent="0.25">
      <c r="F146" t="s">
        <v>196</v>
      </c>
      <c r="G146" t="s">
        <v>270</v>
      </c>
      <c r="H146" s="268"/>
      <c r="I146" s="268"/>
      <c r="J146" s="282">
        <f t="shared" ref="J146:K146" si="105">J41 * (1 - J$116)</f>
        <v>0.76633630439063194</v>
      </c>
      <c r="K146" s="282">
        <f t="shared" si="105"/>
        <v>0.76633630439063194</v>
      </c>
      <c r="L146" s="282">
        <f t="shared" ref="L146:M146" si="106">L41 * (1 - L$116)</f>
        <v>0.74971932199137192</v>
      </c>
      <c r="M146" s="282">
        <f t="shared" si="106"/>
        <v>0.74971932199137192</v>
      </c>
      <c r="N146" s="282">
        <f t="shared" ref="N146:P146" si="107">N41 * (1 - N$116)</f>
        <v>0.57790146646337492</v>
      </c>
      <c r="O146" s="282">
        <f t="shared" si="107"/>
        <v>0.53794845121439294</v>
      </c>
      <c r="P146" s="282">
        <f t="shared" si="107"/>
        <v>0</v>
      </c>
      <c r="Q146" s="282">
        <f t="shared" ref="Q146:S146" si="108">Q41 * (1 - Q$116)</f>
        <v>1.6871789027337643</v>
      </c>
      <c r="R146" s="282">
        <f t="shared" si="108"/>
        <v>-0.46110973077820883</v>
      </c>
      <c r="S146" s="282">
        <f t="shared" si="108"/>
        <v>-0.45503107142708371</v>
      </c>
      <c r="T146" s="282">
        <f t="shared" ref="T146:U146" si="109">T41 * (1 - T$116)</f>
        <v>-0.46110973077820883</v>
      </c>
      <c r="U146" s="282">
        <f t="shared" si="109"/>
        <v>-0.46110973077820883</v>
      </c>
      <c r="V146" s="282">
        <f t="shared" ref="V146:W146" si="110">V41 * (1 - V$116)</f>
        <v>-0.45503107142708371</v>
      </c>
      <c r="W146" s="282">
        <f t="shared" si="110"/>
        <v>-0.45503107142708371</v>
      </c>
      <c r="X146" s="282">
        <f t="shared" ref="X146:Y146" si="111">X41 * (1 - X$116)</f>
        <v>-0.44895241207595854</v>
      </c>
      <c r="Y146" s="282">
        <f t="shared" si="111"/>
        <v>-0.44895241207595854</v>
      </c>
      <c r="Z146" s="268"/>
      <c r="AA146" s="268"/>
    </row>
    <row r="147" spans="3:27" x14ac:dyDescent="0.25">
      <c r="F147" t="s">
        <v>197</v>
      </c>
      <c r="G147" t="s">
        <v>270</v>
      </c>
      <c r="H147" s="268"/>
      <c r="I147" s="268"/>
      <c r="J147" s="282">
        <f t="shared" ref="J147:K147" si="112">J42 * (1 - J$117)</f>
        <v>0</v>
      </c>
      <c r="K147" s="282">
        <f t="shared" si="112"/>
        <v>0</v>
      </c>
      <c r="L147" s="282">
        <f t="shared" ref="L147:M147" si="113">L42 * (1 - L$117)</f>
        <v>0</v>
      </c>
      <c r="M147" s="282">
        <f t="shared" si="113"/>
        <v>0</v>
      </c>
      <c r="N147" s="282">
        <f t="shared" ref="N147:P147" si="114">N42 * (1 - N$117)</f>
        <v>0</v>
      </c>
      <c r="O147" s="282">
        <f t="shared" si="114"/>
        <v>0</v>
      </c>
      <c r="P147" s="282">
        <f t="shared" si="114"/>
        <v>0</v>
      </c>
      <c r="Q147" s="282">
        <f t="shared" ref="Q147:S147" si="115">Q42 * (1 - Q$117)</f>
        <v>0</v>
      </c>
      <c r="R147" s="282">
        <f t="shared" si="115"/>
        <v>0</v>
      </c>
      <c r="S147" s="282">
        <f t="shared" si="115"/>
        <v>0</v>
      </c>
      <c r="T147" s="282">
        <f t="shared" ref="T147:U147" si="116">T42 * (1 - T$117)</f>
        <v>0</v>
      </c>
      <c r="U147" s="282">
        <f t="shared" si="116"/>
        <v>0</v>
      </c>
      <c r="V147" s="282">
        <f t="shared" ref="V147:W147" si="117">V42 * (1 - V$117)</f>
        <v>0</v>
      </c>
      <c r="W147" s="282">
        <f t="shared" si="117"/>
        <v>0</v>
      </c>
      <c r="X147" s="282">
        <f t="shared" ref="X147:Y147" si="118">X42 * (1 - X$117)</f>
        <v>0</v>
      </c>
      <c r="Y147" s="282">
        <f t="shared" si="118"/>
        <v>0</v>
      </c>
      <c r="Z147" s="268"/>
      <c r="AA147" s="268"/>
    </row>
    <row r="148" spans="3:27" x14ac:dyDescent="0.25">
      <c r="F148" t="s">
        <v>198</v>
      </c>
      <c r="G148" t="s">
        <v>270</v>
      </c>
      <c r="H148" s="268"/>
      <c r="I148" s="268"/>
      <c r="J148" s="282">
        <f t="shared" ref="J148:K148" si="119">J43 * (1 - J$118)</f>
        <v>3.5289853643454676</v>
      </c>
      <c r="K148" s="282">
        <f t="shared" si="119"/>
        <v>3.5289853643454676</v>
      </c>
      <c r="L148" s="282">
        <f t="shared" ref="L148:M148" si="120">L43 * (1 - L$118)</f>
        <v>3.4524640154930148</v>
      </c>
      <c r="M148" s="282">
        <f t="shared" si="120"/>
        <v>3.4524640154930148</v>
      </c>
      <c r="N148" s="282">
        <f t="shared" ref="N148:P148" si="121">N43 * (1 - N$118)</f>
        <v>2.1289930339966952</v>
      </c>
      <c r="O148" s="282">
        <f t="shared" si="121"/>
        <v>0</v>
      </c>
      <c r="P148" s="282">
        <f t="shared" si="121"/>
        <v>0</v>
      </c>
      <c r="Q148" s="282">
        <f t="shared" ref="Q148:S148" si="122">Q43 * (1 - Q$118)</f>
        <v>7.7694735596721705</v>
      </c>
      <c r="R148" s="282">
        <f t="shared" si="122"/>
        <v>-2.1234143312152209</v>
      </c>
      <c r="S148" s="282">
        <f t="shared" si="122"/>
        <v>-2.0954220518959992</v>
      </c>
      <c r="T148" s="282">
        <f t="shared" ref="T148:U148" si="123">T43 * (1 - T$118)</f>
        <v>-2.1234143312152209</v>
      </c>
      <c r="U148" s="282">
        <f t="shared" si="123"/>
        <v>-2.1234143312152209</v>
      </c>
      <c r="V148" s="282">
        <f t="shared" ref="V148:W148" si="124">V43 * (1 - V$118)</f>
        <v>-2.0954220518959992</v>
      </c>
      <c r="W148" s="282">
        <f t="shared" si="124"/>
        <v>-2.0954220518959992</v>
      </c>
      <c r="X148" s="282">
        <f t="shared" ref="X148:Y148" si="125">X43 * (1 - X$118)</f>
        <v>0</v>
      </c>
      <c r="Y148" s="282">
        <f t="shared" si="125"/>
        <v>0</v>
      </c>
      <c r="Z148" s="268"/>
      <c r="AA148" s="268"/>
    </row>
    <row r="149" spans="3:27" x14ac:dyDescent="0.25">
      <c r="F149" t="s">
        <v>199</v>
      </c>
      <c r="G149" t="s">
        <v>270</v>
      </c>
      <c r="H149" s="268"/>
      <c r="I149" s="268"/>
      <c r="J149" s="282">
        <f t="shared" ref="J149:K149" si="126">J44 * (1 - J$119)</f>
        <v>1.44788983274317</v>
      </c>
      <c r="K149" s="282">
        <f t="shared" si="126"/>
        <v>1.44788983274317</v>
      </c>
      <c r="L149" s="282">
        <f t="shared" ref="L149:M149" si="127">L44 * (1 - L$119)</f>
        <v>1.4164942695564668</v>
      </c>
      <c r="M149" s="282">
        <f t="shared" si="127"/>
        <v>1.4164942695564668</v>
      </c>
      <c r="N149" s="282">
        <f t="shared" ref="N149:P149" si="128">N44 * (1 - N$119)</f>
        <v>0</v>
      </c>
      <c r="O149" s="282">
        <f t="shared" si="128"/>
        <v>0</v>
      </c>
      <c r="P149" s="282">
        <f t="shared" si="128"/>
        <v>0</v>
      </c>
      <c r="Q149" s="282">
        <f t="shared" ref="Q149:S149" si="129">Q44 * (1 - Q$119)</f>
        <v>3.1876986191192866</v>
      </c>
      <c r="R149" s="282">
        <f t="shared" si="129"/>
        <v>-0.87120509252604628</v>
      </c>
      <c r="S149" s="282">
        <f t="shared" si="129"/>
        <v>0</v>
      </c>
      <c r="T149" s="282">
        <f t="shared" ref="T149:U149" si="130">T44 * (1 - T$119)</f>
        <v>-0.87120509252604628</v>
      </c>
      <c r="U149" s="282">
        <f t="shared" si="130"/>
        <v>-0.87120509252604628</v>
      </c>
      <c r="V149" s="282">
        <f t="shared" ref="V149:W149" si="131">V44 * (1 - V$119)</f>
        <v>0</v>
      </c>
      <c r="W149" s="282">
        <f t="shared" si="131"/>
        <v>0</v>
      </c>
      <c r="X149" s="282">
        <f t="shared" ref="X149:Y149" si="132">X44 * (1 - X$119)</f>
        <v>0</v>
      </c>
      <c r="Y149" s="282">
        <f t="shared" si="132"/>
        <v>0</v>
      </c>
      <c r="Z149" s="268"/>
      <c r="AA149" s="268"/>
    </row>
    <row r="150" spans="3:27" x14ac:dyDescent="0.25">
      <c r="F150" t="s">
        <v>200</v>
      </c>
      <c r="G150" t="s">
        <v>270</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7.8666187708336901</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335</v>
      </c>
      <c r="G151" s="95" t="s">
        <v>270</v>
      </c>
      <c r="H151" s="266"/>
      <c r="I151" s="266" t="s">
        <v>155</v>
      </c>
      <c r="J151" s="280"/>
      <c r="K151" s="280"/>
      <c r="L151" s="280"/>
      <c r="M151" s="280"/>
      <c r="N151" s="280"/>
      <c r="O151" s="280"/>
      <c r="P151" s="280"/>
      <c r="Q151" s="283">
        <f t="shared" ref="Q151" si="140">Q46</f>
        <v>1.3498433202253879</v>
      </c>
      <c r="R151" s="280"/>
      <c r="S151" s="280"/>
      <c r="T151" s="280"/>
      <c r="U151" s="280"/>
      <c r="V151" s="280"/>
      <c r="W151" s="280"/>
      <c r="X151" s="280"/>
      <c r="Y151" s="280"/>
      <c r="Z151" s="268"/>
      <c r="AA151" s="268" t="s">
        <v>612</v>
      </c>
    </row>
    <row r="152" spans="3:27" x14ac:dyDescent="0.25">
      <c r="D152"/>
      <c r="F152" s="96" t="s">
        <v>336</v>
      </c>
      <c r="G152" s="96" t="s">
        <v>270</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control'!$H$42:$H$65,MATCH($A$1,'Version control'!$F$42:$F$65,0),1)&amp;"-F: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155</v>
      </c>
      <c r="J155" s="106"/>
      <c r="K155" s="106"/>
      <c r="L155" s="106"/>
      <c r="M155" s="106"/>
      <c r="N155" s="106"/>
      <c r="O155" s="106"/>
      <c r="P155" s="106"/>
      <c r="Q155" s="106"/>
      <c r="R155" s="106"/>
      <c r="S155" s="106"/>
      <c r="T155" s="106"/>
      <c r="U155" s="106"/>
      <c r="V155" s="106"/>
      <c r="W155" s="106"/>
      <c r="X155" s="106"/>
      <c r="Y155" s="106"/>
      <c r="AA155" t="s">
        <v>614</v>
      </c>
    </row>
    <row r="156" spans="3:27" x14ac:dyDescent="0.25">
      <c r="E156" s="75" t="s">
        <v>579</v>
      </c>
      <c r="J156" s="106"/>
      <c r="K156" s="106"/>
      <c r="L156" s="106"/>
      <c r="M156" s="106"/>
      <c r="N156" s="106"/>
      <c r="O156" s="106"/>
      <c r="P156" s="106"/>
      <c r="Q156" s="106"/>
      <c r="R156" s="106"/>
      <c r="S156" s="106"/>
      <c r="T156" s="106"/>
      <c r="U156" s="106"/>
      <c r="V156" s="106"/>
      <c r="W156" s="106"/>
      <c r="X156" s="106"/>
      <c r="Y156" s="106"/>
    </row>
    <row r="157" spans="3:27" x14ac:dyDescent="0.25">
      <c r="F157" s="95" t="s">
        <v>190</v>
      </c>
      <c r="G157" s="95" t="s">
        <v>270</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192</v>
      </c>
      <c r="G158" t="s">
        <v>270</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193</v>
      </c>
      <c r="G159" t="s">
        <v>270</v>
      </c>
      <c r="H159" s="268"/>
      <c r="I159" s="268"/>
      <c r="J159" s="282">
        <f t="shared" ref="J159:K159" si="155">J54 * (1 - J$113)</f>
        <v>0.11455728989753813</v>
      </c>
      <c r="K159" s="282">
        <f t="shared" si="155"/>
        <v>0.11455728989753813</v>
      </c>
      <c r="L159" s="282">
        <f t="shared" ref="L159:M159" si="156">L54 * (1 - L$113)</f>
        <v>0.11207326759684863</v>
      </c>
      <c r="M159" s="282">
        <f t="shared" si="156"/>
        <v>0.11207326759684863</v>
      </c>
      <c r="N159" s="282">
        <f t="shared" ref="N159:P159" si="157">N54 * (1 - N$113)</f>
        <v>8.6388737485821973E-2</v>
      </c>
      <c r="O159" s="282">
        <f t="shared" si="157"/>
        <v>8.0416282411025747E-2</v>
      </c>
      <c r="P159" s="282">
        <f t="shared" si="157"/>
        <v>7.2871473604081527E-2</v>
      </c>
      <c r="Q159" s="282">
        <f t="shared" ref="Q159:S159" si="158">Q54 * (1 - Q$113)</f>
        <v>0.12305227058159532</v>
      </c>
      <c r="R159" s="282">
        <f t="shared" si="158"/>
        <v>-6.8929895139626343E-2</v>
      </c>
      <c r="S159" s="282">
        <f t="shared" si="158"/>
        <v>-6.8021214789386442E-2</v>
      </c>
      <c r="T159" s="282">
        <f t="shared" ref="T159:U159" si="159">T54 * (1 - T$113)</f>
        <v>-6.8929895139626343E-2</v>
      </c>
      <c r="U159" s="282">
        <f t="shared" si="159"/>
        <v>-6.8929895139626343E-2</v>
      </c>
      <c r="V159" s="282">
        <f t="shared" ref="V159:W159" si="160">V54 * (1 - V$113)</f>
        <v>-6.8021214789386442E-2</v>
      </c>
      <c r="W159" s="282">
        <f t="shared" si="160"/>
        <v>-6.8021214789386442E-2</v>
      </c>
      <c r="X159" s="282">
        <f t="shared" ref="X159:Y159" si="161">X54 * (1 - X$113)</f>
        <v>-6.711253443914654E-2</v>
      </c>
      <c r="Y159" s="282">
        <f t="shared" si="161"/>
        <v>-6.711253443914654E-2</v>
      </c>
      <c r="Z159" s="268"/>
      <c r="AA159" s="268"/>
    </row>
    <row r="160" spans="3:27" x14ac:dyDescent="0.25">
      <c r="F160" t="s">
        <v>194</v>
      </c>
      <c r="G160" t="s">
        <v>270</v>
      </c>
      <c r="H160" s="268"/>
      <c r="I160" s="268"/>
      <c r="J160" s="282">
        <f t="shared" ref="J160:K160" si="162">J55 * (1 - J$114)</f>
        <v>1.6409355540776206E-2</v>
      </c>
      <c r="K160" s="282">
        <f t="shared" si="162"/>
        <v>1.6409355540776206E-2</v>
      </c>
      <c r="L160" s="282">
        <f t="shared" ref="L160:M160" si="163">L55 * (1 - L$114)</f>
        <v>1.6053540514602942E-2</v>
      </c>
      <c r="M160" s="282">
        <f t="shared" si="163"/>
        <v>1.6053540514602942E-2</v>
      </c>
      <c r="N160" s="282">
        <f t="shared" ref="N160:P160" si="164">N55 * (1 - N$114)</f>
        <v>1.2374450455239844E-2</v>
      </c>
      <c r="O160" s="282">
        <f t="shared" si="164"/>
        <v>1.1518947161985437E-2</v>
      </c>
      <c r="P160" s="282">
        <f t="shared" si="164"/>
        <v>1.0438217595922368E-2</v>
      </c>
      <c r="Q160" s="282">
        <f t="shared" ref="Q160:S160" si="165">Q55 * (1 - Q$114)</f>
        <v>1.762618913103833E-2</v>
      </c>
      <c r="R160" s="282">
        <f t="shared" si="165"/>
        <v>-9.8736200703265584E-3</v>
      </c>
      <c r="S160" s="282">
        <f t="shared" si="165"/>
        <v>-9.7434593537685799E-3</v>
      </c>
      <c r="T160" s="282">
        <f t="shared" ref="T160:U160" si="166">T55 * (1 - T$114)</f>
        <v>-9.8736200703265584E-3</v>
      </c>
      <c r="U160" s="282">
        <f t="shared" si="166"/>
        <v>-9.8736200703265584E-3</v>
      </c>
      <c r="V160" s="282">
        <f t="shared" ref="V160:W160" si="167">V55 * (1 - V$114)</f>
        <v>-9.7434593537685799E-3</v>
      </c>
      <c r="W160" s="282">
        <f t="shared" si="167"/>
        <v>-9.7434593537685799E-3</v>
      </c>
      <c r="X160" s="282">
        <f t="shared" ref="X160:Y160" si="168">X55 * (1 - X$114)</f>
        <v>-9.613298637210603E-3</v>
      </c>
      <c r="Y160" s="282">
        <f t="shared" si="168"/>
        <v>-9.613298637210603E-3</v>
      </c>
      <c r="Z160" s="268"/>
      <c r="AA160" s="268"/>
    </row>
    <row r="161" spans="4:27" x14ac:dyDescent="0.25">
      <c r="F161" t="s">
        <v>195</v>
      </c>
      <c r="G161" t="s">
        <v>270</v>
      </c>
      <c r="H161" s="268"/>
      <c r="I161" s="268"/>
      <c r="J161" s="282">
        <f t="shared" ref="J161:K161" si="169">J56 * (1 - J$115)</f>
        <v>0.14472714194784608</v>
      </c>
      <c r="K161" s="282">
        <f t="shared" si="169"/>
        <v>0.14472714194784608</v>
      </c>
      <c r="L161" s="282">
        <f t="shared" ref="L161:M161" si="170">L56 * (1 - L$115)</f>
        <v>0.14158892657599978</v>
      </c>
      <c r="M161" s="282">
        <f t="shared" si="170"/>
        <v>0.14158892657599978</v>
      </c>
      <c r="N161" s="282">
        <f t="shared" ref="N161:P161" si="171">N56 * (1 - N$115)</f>
        <v>0.10914010870882565</v>
      </c>
      <c r="O161" s="282">
        <f t="shared" si="171"/>
        <v>0.10159474556205188</v>
      </c>
      <c r="P161" s="282">
        <f t="shared" si="171"/>
        <v>7.3650346398240155E-2</v>
      </c>
      <c r="Q161" s="282">
        <f t="shared" ref="Q161:S161" si="172">Q56 * (1 - Q$115)</f>
        <v>0.10784742218213998</v>
      </c>
      <c r="R161" s="282">
        <f t="shared" si="172"/>
        <v>-8.708329890874307E-2</v>
      </c>
      <c r="S161" s="282">
        <f t="shared" si="172"/>
        <v>-8.59353081510007E-2</v>
      </c>
      <c r="T161" s="282">
        <f t="shared" ref="T161:U161" si="173">T56 * (1 - T$115)</f>
        <v>-8.708329890874307E-2</v>
      </c>
      <c r="U161" s="282">
        <f t="shared" si="173"/>
        <v>-8.708329890874307E-2</v>
      </c>
      <c r="V161" s="282">
        <f t="shared" ref="V161:W161" si="174">V56 * (1 - V$115)</f>
        <v>-8.59353081510007E-2</v>
      </c>
      <c r="W161" s="282">
        <f t="shared" si="174"/>
        <v>-8.59353081510007E-2</v>
      </c>
      <c r="X161" s="282">
        <f t="shared" ref="X161:Y161" si="175">X56 * (1 - X$115)</f>
        <v>-8.4787317393258316E-2</v>
      </c>
      <c r="Y161" s="282">
        <f t="shared" si="175"/>
        <v>-8.4787317393258316E-2</v>
      </c>
      <c r="Z161" s="268"/>
      <c r="AA161" s="268"/>
    </row>
    <row r="162" spans="4:27" x14ac:dyDescent="0.25">
      <c r="F162" t="s">
        <v>196</v>
      </c>
      <c r="G162" t="s">
        <v>270</v>
      </c>
      <c r="H162" s="268"/>
      <c r="I162" s="268"/>
      <c r="J162" s="282">
        <f t="shared" ref="J162:K162" si="176">J57 * (1 - J$116)</f>
        <v>0.1144732579004526</v>
      </c>
      <c r="K162" s="282">
        <f t="shared" si="176"/>
        <v>0.1144732579004526</v>
      </c>
      <c r="L162" s="282">
        <f t="shared" ref="L162:M162" si="177">L57 * (1 - L$116)</f>
        <v>0.11199105772173294</v>
      </c>
      <c r="M162" s="282">
        <f t="shared" si="177"/>
        <v>0.11199105772173294</v>
      </c>
      <c r="N162" s="282">
        <f t="shared" ref="N162:P162" si="178">N57 * (1 - N$116)</f>
        <v>8.6325368160804536E-2</v>
      </c>
      <c r="O162" s="282">
        <f t="shared" si="178"/>
        <v>8.0357294102073637E-2</v>
      </c>
      <c r="P162" s="282">
        <f t="shared" si="178"/>
        <v>0</v>
      </c>
      <c r="Q162" s="282">
        <f t="shared" ref="Q162:S162" si="179">Q57 * (1 - Q$116)</f>
        <v>8.5302905917978969E-2</v>
      </c>
      <c r="R162" s="282">
        <f t="shared" si="179"/>
        <v>-6.8879332519363054E-2</v>
      </c>
      <c r="S162" s="282">
        <f t="shared" si="179"/>
        <v>-6.7971318719672755E-2</v>
      </c>
      <c r="T162" s="282">
        <f t="shared" ref="T162:U162" si="180">T57 * (1 - T$116)</f>
        <v>-6.8879332519363054E-2</v>
      </c>
      <c r="U162" s="282">
        <f t="shared" si="180"/>
        <v>-6.8879332519363054E-2</v>
      </c>
      <c r="V162" s="282">
        <f t="shared" ref="V162:W162" si="181">V57 * (1 - V$116)</f>
        <v>-6.7971318719672755E-2</v>
      </c>
      <c r="W162" s="282">
        <f t="shared" si="181"/>
        <v>-6.7971318719672755E-2</v>
      </c>
      <c r="X162" s="282">
        <f t="shared" ref="X162:Y162" si="182">X57 * (1 - X$116)</f>
        <v>-6.7063304919982497E-2</v>
      </c>
      <c r="Y162" s="282">
        <f t="shared" si="182"/>
        <v>-6.7063304919982497E-2</v>
      </c>
      <c r="Z162" s="268"/>
      <c r="AA162" s="268"/>
    </row>
    <row r="163" spans="4:27" x14ac:dyDescent="0.25">
      <c r="F163" t="s">
        <v>197</v>
      </c>
      <c r="G163" t="s">
        <v>270</v>
      </c>
      <c r="H163" s="268"/>
      <c r="I163" s="268"/>
      <c r="J163" s="282">
        <f t="shared" ref="J163:K163" si="183">J58 * (1 - J$117)</f>
        <v>0</v>
      </c>
      <c r="K163" s="282">
        <f t="shared" si="183"/>
        <v>0</v>
      </c>
      <c r="L163" s="282">
        <f t="shared" ref="L163:M163" si="184">L58 * (1 - L$117)</f>
        <v>0</v>
      </c>
      <c r="M163" s="282">
        <f t="shared" si="184"/>
        <v>0</v>
      </c>
      <c r="N163" s="282">
        <f t="shared" ref="N163:P163" si="185">N58 * (1 - N$117)</f>
        <v>0</v>
      </c>
      <c r="O163" s="282">
        <f t="shared" si="185"/>
        <v>0</v>
      </c>
      <c r="P163" s="282">
        <f t="shared" si="185"/>
        <v>0</v>
      </c>
      <c r="Q163" s="282">
        <f t="shared" ref="Q163:S163" si="186">Q58 * (1 - Q$117)</f>
        <v>0</v>
      </c>
      <c r="R163" s="282">
        <f t="shared" si="186"/>
        <v>0</v>
      </c>
      <c r="S163" s="282">
        <f t="shared" si="186"/>
        <v>0</v>
      </c>
      <c r="T163" s="282">
        <f t="shared" ref="T163:U163" si="187">T58 * (1 - T$117)</f>
        <v>0</v>
      </c>
      <c r="U163" s="282">
        <f t="shared" si="187"/>
        <v>0</v>
      </c>
      <c r="V163" s="282">
        <f t="shared" ref="V163:W163" si="188">V58 * (1 - V$117)</f>
        <v>0</v>
      </c>
      <c r="W163" s="282">
        <f t="shared" si="188"/>
        <v>0</v>
      </c>
      <c r="X163" s="282">
        <f t="shared" ref="X163:Y163" si="189">X58 * (1 - X$117)</f>
        <v>0</v>
      </c>
      <c r="Y163" s="282">
        <f t="shared" si="189"/>
        <v>0</v>
      </c>
      <c r="Z163" s="268"/>
      <c r="AA163" s="268"/>
    </row>
    <row r="164" spans="4:27" x14ac:dyDescent="0.25">
      <c r="F164" t="s">
        <v>198</v>
      </c>
      <c r="G164" t="s">
        <v>270</v>
      </c>
      <c r="H164" s="268"/>
      <c r="I164" s="268"/>
      <c r="J164" s="282">
        <f t="shared" ref="J164:K164" si="190">J59 * (1 - J$118)</f>
        <v>0.52715035086438977</v>
      </c>
      <c r="K164" s="282">
        <f t="shared" si="190"/>
        <v>0.52715035086438977</v>
      </c>
      <c r="L164" s="282">
        <f t="shared" ref="L164:M164" si="191">L59 * (1 - L$118)</f>
        <v>0.51571979739603657</v>
      </c>
      <c r="M164" s="282">
        <f t="shared" si="191"/>
        <v>0.51571979739603657</v>
      </c>
      <c r="N164" s="282">
        <f t="shared" ref="N164:P164" si="192">N59 * (1 - N$118)</f>
        <v>0.31802325852585567</v>
      </c>
      <c r="O164" s="282">
        <f t="shared" si="192"/>
        <v>0</v>
      </c>
      <c r="P164" s="282">
        <f t="shared" si="192"/>
        <v>0</v>
      </c>
      <c r="Q164" s="282">
        <f t="shared" ref="Q164:S164" si="193">Q59 * (1 - Q$118)</f>
        <v>0.3928206256130049</v>
      </c>
      <c r="R164" s="282">
        <f t="shared" si="193"/>
        <v>-0.31718992689508885</v>
      </c>
      <c r="S164" s="282">
        <f t="shared" si="193"/>
        <v>-0.31300851542942848</v>
      </c>
      <c r="T164" s="282">
        <f t="shared" ref="T164:U164" si="194">T59 * (1 - T$118)</f>
        <v>-0.31718992689508885</v>
      </c>
      <c r="U164" s="282">
        <f t="shared" si="194"/>
        <v>-0.31718992689508885</v>
      </c>
      <c r="V164" s="282">
        <f t="shared" ref="V164:W164" si="195">V59 * (1 - V$118)</f>
        <v>-0.31300851542942848</v>
      </c>
      <c r="W164" s="282">
        <f t="shared" si="195"/>
        <v>-0.31300851542942848</v>
      </c>
      <c r="X164" s="282">
        <f t="shared" ref="X164:Y164" si="196">X59 * (1 - X$118)</f>
        <v>0</v>
      </c>
      <c r="Y164" s="282">
        <f t="shared" si="196"/>
        <v>0</v>
      </c>
      <c r="Z164" s="268"/>
      <c r="AA164" s="268"/>
    </row>
    <row r="165" spans="4:27" x14ac:dyDescent="0.25">
      <c r="F165" t="s">
        <v>199</v>
      </c>
      <c r="G165" t="s">
        <v>270</v>
      </c>
      <c r="H165" s="268"/>
      <c r="I165" s="268"/>
      <c r="J165" s="282">
        <f t="shared" ref="J165:K165" si="197">J60 * (1 - J$119)</f>
        <v>0.21628189253913441</v>
      </c>
      <c r="K165" s="282">
        <f t="shared" si="197"/>
        <v>0.21628189253913441</v>
      </c>
      <c r="L165" s="282">
        <f t="shared" ref="L165:M165" si="198">L60 * (1 - L$119)</f>
        <v>0.21159210767443423</v>
      </c>
      <c r="M165" s="282">
        <f t="shared" si="198"/>
        <v>0.21159210767443423</v>
      </c>
      <c r="N165" s="282">
        <f t="shared" ref="N165:P165" si="199">N60 * (1 - N$119)</f>
        <v>0</v>
      </c>
      <c r="O165" s="282">
        <f t="shared" si="199"/>
        <v>0</v>
      </c>
      <c r="P165" s="282">
        <f t="shared" si="199"/>
        <v>0</v>
      </c>
      <c r="Q165" s="282">
        <f t="shared" ref="Q165:S165" si="200">Q60 * (1 - Q$119)</f>
        <v>0.1611684184534358</v>
      </c>
      <c r="R165" s="282">
        <f t="shared" si="200"/>
        <v>-0.13013827567548669</v>
      </c>
      <c r="S165" s="282">
        <f t="shared" si="200"/>
        <v>0</v>
      </c>
      <c r="T165" s="282">
        <f t="shared" ref="T165:U165" si="201">T60 * (1 - T$119)</f>
        <v>-0.13013827567548669</v>
      </c>
      <c r="U165" s="282">
        <f t="shared" si="201"/>
        <v>-0.13013827567548669</v>
      </c>
      <c r="V165" s="282">
        <f t="shared" ref="V165:W165" si="202">V60 * (1 - V$119)</f>
        <v>0</v>
      </c>
      <c r="W165" s="282">
        <f t="shared" si="202"/>
        <v>0</v>
      </c>
      <c r="X165" s="282">
        <f t="shared" ref="X165:Y165" si="203">X60 * (1 - X$119)</f>
        <v>0</v>
      </c>
      <c r="Y165" s="282">
        <f t="shared" si="203"/>
        <v>0</v>
      </c>
      <c r="Z165" s="268"/>
      <c r="AA165" s="268"/>
    </row>
    <row r="166" spans="4:27" x14ac:dyDescent="0.25">
      <c r="F166" t="s">
        <v>200</v>
      </c>
      <c r="G166" t="s">
        <v>270</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0.397732238006134</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335</v>
      </c>
      <c r="G167" s="95" t="s">
        <v>270</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336</v>
      </c>
      <c r="G168" s="96" t="s">
        <v>270</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580</v>
      </c>
      <c r="J170" s="106"/>
      <c r="K170" s="106"/>
      <c r="L170" s="106"/>
      <c r="M170" s="106"/>
      <c r="N170" s="106"/>
      <c r="O170" s="106"/>
      <c r="P170" s="106"/>
      <c r="Q170" s="106"/>
      <c r="R170" s="106"/>
      <c r="S170" s="106"/>
      <c r="T170" s="106"/>
      <c r="U170" s="106"/>
      <c r="V170" s="106"/>
      <c r="W170" s="106"/>
      <c r="X170" s="106"/>
      <c r="Y170" s="106"/>
    </row>
    <row r="171" spans="4:27" x14ac:dyDescent="0.25">
      <c r="F171" s="95" t="s">
        <v>190</v>
      </c>
      <c r="G171" s="95" t="s">
        <v>270</v>
      </c>
      <c r="H171" s="266"/>
      <c r="I171" s="266"/>
      <c r="J171" s="281">
        <f t="shared" ref="J171:K171" si="211">J66 * (1 - J$112)</f>
        <v>1.418759971971666E-2</v>
      </c>
      <c r="K171" s="281">
        <f t="shared" si="211"/>
        <v>1.418759971971666E-2</v>
      </c>
      <c r="L171" s="281">
        <f t="shared" ref="L171:M171" si="212">L66 * (1 - L$112)</f>
        <v>1.3879960510299662E-2</v>
      </c>
      <c r="M171" s="281">
        <f t="shared" si="212"/>
        <v>1.3879960510299662E-2</v>
      </c>
      <c r="N171" s="281">
        <f t="shared" ref="N171:P171" si="213">N66 * (1 - N$112)</f>
        <v>1.0699003344411897E-2</v>
      </c>
      <c r="O171" s="281">
        <f t="shared" si="213"/>
        <v>9.9593314996869846E-3</v>
      </c>
      <c r="P171" s="281">
        <f t="shared" si="213"/>
        <v>9.0249280460922062E-3</v>
      </c>
      <c r="Q171" s="281">
        <f t="shared" ref="Q171:S171" si="214">Q66 * (1 - Q$112)</f>
        <v>1.6467107189644333E-2</v>
      </c>
      <c r="R171" s="281">
        <f t="shared" si="214"/>
        <v>-8.5367745853428909E-3</v>
      </c>
      <c r="S171" s="281">
        <f t="shared" si="214"/>
        <v>-8.4242370672686917E-3</v>
      </c>
      <c r="T171" s="281">
        <f t="shared" ref="T171:U171" si="215">T66 * (1 - T$112)</f>
        <v>-8.5367745853428909E-3</v>
      </c>
      <c r="U171" s="281">
        <f t="shared" si="215"/>
        <v>-8.5367745853428909E-3</v>
      </c>
      <c r="V171" s="281">
        <f t="shared" ref="V171:W171" si="216">V66 * (1 - V$112)</f>
        <v>-8.4242370672686917E-3</v>
      </c>
      <c r="W171" s="281">
        <f t="shared" si="216"/>
        <v>-8.4242370672686917E-3</v>
      </c>
      <c r="X171" s="281">
        <f t="shared" ref="X171:Y171" si="217">X66 * (1 - X$112)</f>
        <v>-8.3116995491944907E-3</v>
      </c>
      <c r="Y171" s="281">
        <f t="shared" si="217"/>
        <v>-8.3116995491944907E-3</v>
      </c>
      <c r="Z171" s="268"/>
      <c r="AA171" s="268"/>
    </row>
    <row r="172" spans="4:27" x14ac:dyDescent="0.25">
      <c r="F172" t="s">
        <v>192</v>
      </c>
      <c r="G172" t="s">
        <v>270</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193</v>
      </c>
      <c r="G173" t="s">
        <v>270</v>
      </c>
      <c r="H173" s="268"/>
      <c r="I173" s="268"/>
      <c r="J173" s="282">
        <f t="shared" ref="J173:K173" si="225">J68 * (1 - J$113)</f>
        <v>8.8705145599016724E-2</v>
      </c>
      <c r="K173" s="282">
        <f t="shared" si="225"/>
        <v>8.8705145599016724E-2</v>
      </c>
      <c r="L173" s="282">
        <f t="shared" ref="L173:M173" si="226">L68 * (1 - L$113)</f>
        <v>8.678169262582798E-2</v>
      </c>
      <c r="M173" s="282">
        <f t="shared" si="226"/>
        <v>8.678169262582798E-2</v>
      </c>
      <c r="N173" s="282">
        <f t="shared" ref="N173:P173" si="227">N68 * (1 - N$113)</f>
        <v>6.6893390579063933E-2</v>
      </c>
      <c r="O173" s="282">
        <f t="shared" si="227"/>
        <v>6.2268739476831723E-2</v>
      </c>
      <c r="P173" s="282">
        <f t="shared" si="227"/>
        <v>5.6426567718619453E-2</v>
      </c>
      <c r="Q173" s="282">
        <f t="shared" ref="Q173:S173" si="228">Q68 * (1 - Q$113)</f>
        <v>9.5283063941132826E-2</v>
      </c>
      <c r="R173" s="282">
        <f t="shared" si="228"/>
        <v>-5.3374485289887356E-2</v>
      </c>
      <c r="S173" s="282">
        <f t="shared" si="228"/>
        <v>-5.2670866839738172E-2</v>
      </c>
      <c r="T173" s="282">
        <f t="shared" ref="T173:U173" si="229">T68 * (1 - T$113)</f>
        <v>-5.3374485289887356E-2</v>
      </c>
      <c r="U173" s="282">
        <f t="shared" si="229"/>
        <v>-5.3374485289887356E-2</v>
      </c>
      <c r="V173" s="282">
        <f t="shared" ref="V173:W173" si="230">V68 * (1 - V$113)</f>
        <v>-5.2670866839738172E-2</v>
      </c>
      <c r="W173" s="282">
        <f t="shared" si="230"/>
        <v>-5.2670866839738172E-2</v>
      </c>
      <c r="X173" s="282">
        <f t="shared" ref="X173:Y173" si="231">X68 * (1 - X$113)</f>
        <v>-5.1967248389589001E-2</v>
      </c>
      <c r="Y173" s="282">
        <f t="shared" si="231"/>
        <v>-5.1967248389589001E-2</v>
      </c>
      <c r="Z173" s="268"/>
      <c r="AA173" s="268"/>
    </row>
    <row r="174" spans="4:27" x14ac:dyDescent="0.25">
      <c r="F174" t="s">
        <v>194</v>
      </c>
      <c r="G174" t="s">
        <v>270</v>
      </c>
      <c r="H174" s="268"/>
      <c r="I174" s="268"/>
      <c r="J174" s="282">
        <f t="shared" ref="J174:K174" si="232">J69 * (1 - J$114)</f>
        <v>1.2706256177433074E-2</v>
      </c>
      <c r="K174" s="282">
        <f t="shared" si="232"/>
        <v>1.2706256177433074E-2</v>
      </c>
      <c r="L174" s="282">
        <f t="shared" ref="L174:M174" si="233">L69 * (1 - L$114)</f>
        <v>1.243073793035122E-2</v>
      </c>
      <c r="M174" s="282">
        <f t="shared" si="233"/>
        <v>1.243073793035122E-2</v>
      </c>
      <c r="N174" s="282">
        <f t="shared" ref="N174:P174" si="234">N69 * (1 - N$114)</f>
        <v>9.5819081467591431E-3</v>
      </c>
      <c r="O174" s="282">
        <f t="shared" si="234"/>
        <v>8.9194662868264767E-3</v>
      </c>
      <c r="P174" s="282">
        <f t="shared" si="234"/>
        <v>8.0826249684212408E-3</v>
      </c>
      <c r="Q174" s="282">
        <f t="shared" ref="Q174:S174" si="235">Q69 * (1 - Q$114)</f>
        <v>1.3648486924079743E-2</v>
      </c>
      <c r="R174" s="282">
        <f t="shared" si="235"/>
        <v>-7.6454401698142242E-3</v>
      </c>
      <c r="S174" s="282">
        <f t="shared" si="235"/>
        <v>-7.5446528229428499E-3</v>
      </c>
      <c r="T174" s="282">
        <f t="shared" ref="T174:U174" si="236">T69 * (1 - T$114)</f>
        <v>-7.6454401698142242E-3</v>
      </c>
      <c r="U174" s="282">
        <f t="shared" si="236"/>
        <v>-7.6454401698142242E-3</v>
      </c>
      <c r="V174" s="282">
        <f t="shared" ref="V174:W174" si="237">V69 * (1 - V$114)</f>
        <v>-7.5446528229428499E-3</v>
      </c>
      <c r="W174" s="282">
        <f t="shared" si="237"/>
        <v>-7.5446528229428499E-3</v>
      </c>
      <c r="X174" s="282">
        <f t="shared" ref="X174:Y174" si="238">X69 * (1 - X$114)</f>
        <v>-7.4438654760714757E-3</v>
      </c>
      <c r="Y174" s="282">
        <f t="shared" si="238"/>
        <v>-7.4438654760714757E-3</v>
      </c>
      <c r="Z174" s="268"/>
      <c r="AA174" s="268"/>
    </row>
    <row r="175" spans="4:27" x14ac:dyDescent="0.25">
      <c r="F175" t="s">
        <v>195</v>
      </c>
      <c r="G175" t="s">
        <v>270</v>
      </c>
      <c r="H175" s="268"/>
      <c r="I175" s="268"/>
      <c r="J175" s="282">
        <f t="shared" ref="J175:K175" si="239">J70 * (1 - J$115)</f>
        <v>0.1120665669561125</v>
      </c>
      <c r="K175" s="282">
        <f t="shared" si="239"/>
        <v>0.1120665669561125</v>
      </c>
      <c r="L175" s="282">
        <f t="shared" ref="L175:M175" si="240">L70 * (1 - L$115)</f>
        <v>0.10963655266606005</v>
      </c>
      <c r="M175" s="282">
        <f t="shared" si="240"/>
        <v>0.10963655266606005</v>
      </c>
      <c r="N175" s="282">
        <f t="shared" ref="N175:P175" si="241">N70 * (1 - N$115)</f>
        <v>8.4510459721664086E-2</v>
      </c>
      <c r="O175" s="282">
        <f t="shared" si="241"/>
        <v>7.8667858721494968E-2</v>
      </c>
      <c r="P175" s="282">
        <f t="shared" si="241"/>
        <v>5.7029672284647073E-2</v>
      </c>
      <c r="Q175" s="282">
        <f t="shared" ref="Q175:S175" si="242">Q70 * (1 - Q$115)</f>
        <v>8.3509493771211682E-2</v>
      </c>
      <c r="R175" s="282">
        <f t="shared" si="242"/>
        <v>-6.7431210321507035E-2</v>
      </c>
      <c r="S175" s="282">
        <f t="shared" si="242"/>
        <v>-6.6542286644952348E-2</v>
      </c>
      <c r="T175" s="282">
        <f t="shared" ref="T175:U175" si="243">T70 * (1 - T$115)</f>
        <v>-6.7431210321507035E-2</v>
      </c>
      <c r="U175" s="282">
        <f t="shared" si="243"/>
        <v>-6.7431210321507035E-2</v>
      </c>
      <c r="V175" s="282">
        <f t="shared" ref="V175:W175" si="244">V70 * (1 - V$115)</f>
        <v>-6.6542286644952348E-2</v>
      </c>
      <c r="W175" s="282">
        <f t="shared" si="244"/>
        <v>-6.6542286644952348E-2</v>
      </c>
      <c r="X175" s="282">
        <f t="shared" ref="X175:Y175" si="245">X70 * (1 - X$115)</f>
        <v>-6.5653362968397647E-2</v>
      </c>
      <c r="Y175" s="282">
        <f t="shared" si="245"/>
        <v>-6.5653362968397647E-2</v>
      </c>
      <c r="Z175" s="268"/>
      <c r="AA175" s="268"/>
    </row>
    <row r="176" spans="4:27" x14ac:dyDescent="0.25">
      <c r="F176" t="s">
        <v>196</v>
      </c>
      <c r="G176" t="s">
        <v>270</v>
      </c>
      <c r="H176" s="268"/>
      <c r="I176" s="268"/>
      <c r="J176" s="282">
        <f t="shared" ref="J176:K176" si="246">J71 * (1 - J$116)</f>
        <v>8.8640077103217668E-2</v>
      </c>
      <c r="K176" s="282">
        <f t="shared" si="246"/>
        <v>8.8640077103217668E-2</v>
      </c>
      <c r="L176" s="282">
        <f t="shared" ref="L176:M176" si="247">L71 * (1 - L$116)</f>
        <v>8.6718035053722914E-2</v>
      </c>
      <c r="M176" s="282">
        <f t="shared" si="247"/>
        <v>8.6718035053722914E-2</v>
      </c>
      <c r="N176" s="282">
        <f t="shared" ref="N176:P176" si="248">N71 * (1 - N$116)</f>
        <v>6.6844321810003382E-2</v>
      </c>
      <c r="O176" s="282">
        <f t="shared" si="248"/>
        <v>6.2223063059914763E-2</v>
      </c>
      <c r="P176" s="282">
        <f t="shared" si="248"/>
        <v>0</v>
      </c>
      <c r="Q176" s="282">
        <f t="shared" ref="Q176:S176" si="249">Q71 * (1 - Q$116)</f>
        <v>6.6052598627651046E-2</v>
      </c>
      <c r="R176" s="282">
        <f t="shared" si="249"/>
        <v>-5.3335333136442259E-2</v>
      </c>
      <c r="S176" s="282">
        <f t="shared" si="249"/>
        <v>-5.263223081637617E-2</v>
      </c>
      <c r="T176" s="282">
        <f t="shared" ref="T176:U176" si="250">T71 * (1 - T$116)</f>
        <v>-5.3335333136442259E-2</v>
      </c>
      <c r="U176" s="282">
        <f t="shared" si="250"/>
        <v>-5.3335333136442259E-2</v>
      </c>
      <c r="V176" s="282">
        <f t="shared" ref="V176:W176" si="251">V71 * (1 - V$116)</f>
        <v>-5.263223081637617E-2</v>
      </c>
      <c r="W176" s="282">
        <f t="shared" si="251"/>
        <v>-5.263223081637617E-2</v>
      </c>
      <c r="X176" s="282">
        <f t="shared" ref="X176:Y176" si="252">X71 * (1 - X$116)</f>
        <v>-5.1929128496310074E-2</v>
      </c>
      <c r="Y176" s="282">
        <f t="shared" si="252"/>
        <v>-5.1929128496310074E-2</v>
      </c>
      <c r="Z176" s="268"/>
      <c r="AA176" s="268"/>
    </row>
    <row r="177" spans="3:27" x14ac:dyDescent="0.25">
      <c r="F177" t="s">
        <v>197</v>
      </c>
      <c r="G177" t="s">
        <v>270</v>
      </c>
      <c r="H177" s="268"/>
      <c r="I177" s="268"/>
      <c r="J177" s="282">
        <f t="shared" ref="J177:K177" si="253">J72 * (1 - J$117)</f>
        <v>0</v>
      </c>
      <c r="K177" s="282">
        <f t="shared" si="253"/>
        <v>0</v>
      </c>
      <c r="L177" s="282">
        <f t="shared" ref="L177:M177" si="254">L72 * (1 - L$117)</f>
        <v>0</v>
      </c>
      <c r="M177" s="282">
        <f t="shared" si="254"/>
        <v>0</v>
      </c>
      <c r="N177" s="282">
        <f t="shared" ref="N177:P177" si="255">N72 * (1 - N$117)</f>
        <v>0</v>
      </c>
      <c r="O177" s="282">
        <f t="shared" si="255"/>
        <v>0</v>
      </c>
      <c r="P177" s="282">
        <f t="shared" si="255"/>
        <v>0</v>
      </c>
      <c r="Q177" s="282">
        <f t="shared" ref="Q177:S177" si="256">Q72 * (1 - Q$117)</f>
        <v>0</v>
      </c>
      <c r="R177" s="282">
        <f t="shared" si="256"/>
        <v>0</v>
      </c>
      <c r="S177" s="282">
        <f t="shared" si="256"/>
        <v>0</v>
      </c>
      <c r="T177" s="282">
        <f t="shared" ref="T177:U177" si="257">T72 * (1 - T$117)</f>
        <v>0</v>
      </c>
      <c r="U177" s="282">
        <f t="shared" si="257"/>
        <v>0</v>
      </c>
      <c r="V177" s="282">
        <f t="shared" ref="V177:W177" si="258">V72 * (1 - V$117)</f>
        <v>0</v>
      </c>
      <c r="W177" s="282">
        <f t="shared" si="258"/>
        <v>0</v>
      </c>
      <c r="X177" s="282">
        <f t="shared" ref="X177:Y177" si="259">X72 * (1 - X$117)</f>
        <v>0</v>
      </c>
      <c r="Y177" s="282">
        <f t="shared" si="259"/>
        <v>0</v>
      </c>
      <c r="Z177" s="268"/>
      <c r="AA177" s="268"/>
    </row>
    <row r="178" spans="3:27" x14ac:dyDescent="0.25">
      <c r="F178" t="s">
        <v>198</v>
      </c>
      <c r="G178" t="s">
        <v>270</v>
      </c>
      <c r="H178" s="268"/>
      <c r="I178" s="268"/>
      <c r="J178" s="282">
        <f t="shared" ref="J178:K178" si="260">J73 * (1 - J$118)</f>
        <v>0.40818832802191968</v>
      </c>
      <c r="K178" s="282">
        <f t="shared" si="260"/>
        <v>0.40818832802191968</v>
      </c>
      <c r="L178" s="282">
        <f t="shared" ref="L178:M178" si="261">L73 * (1 - L$118)</f>
        <v>0.39933730762335307</v>
      </c>
      <c r="M178" s="282">
        <f t="shared" si="261"/>
        <v>0.39933730762335307</v>
      </c>
      <c r="N178" s="282">
        <f t="shared" ref="N178:P178" si="262">N73 * (1 - N$118)</f>
        <v>0.24625494786618557</v>
      </c>
      <c r="O178" s="282">
        <f t="shared" si="262"/>
        <v>0</v>
      </c>
      <c r="P178" s="282">
        <f t="shared" si="262"/>
        <v>0</v>
      </c>
      <c r="Q178" s="282">
        <f t="shared" ref="Q178:S178" si="263">Q73 * (1 - Q$118)</f>
        <v>0.30417279267399344</v>
      </c>
      <c r="R178" s="282">
        <f t="shared" si="263"/>
        <v>-0.24560967418953389</v>
      </c>
      <c r="S178" s="282">
        <f t="shared" si="263"/>
        <v>-0.24237188187441761</v>
      </c>
      <c r="T178" s="282">
        <f t="shared" ref="T178:U178" si="264">T73 * (1 - T$118)</f>
        <v>-0.24560967418953389</v>
      </c>
      <c r="U178" s="282">
        <f t="shared" si="264"/>
        <v>-0.24560967418953389</v>
      </c>
      <c r="V178" s="282">
        <f t="shared" ref="V178:W178" si="265">V73 * (1 - V$118)</f>
        <v>-0.24237188187441761</v>
      </c>
      <c r="W178" s="282">
        <f t="shared" si="265"/>
        <v>-0.24237188187441761</v>
      </c>
      <c r="X178" s="282">
        <f t="shared" ref="X178:Y178" si="266">X73 * (1 - X$118)</f>
        <v>0</v>
      </c>
      <c r="Y178" s="282">
        <f t="shared" si="266"/>
        <v>0</v>
      </c>
      <c r="Z178" s="268"/>
      <c r="AA178" s="268"/>
    </row>
    <row r="179" spans="3:27" x14ac:dyDescent="0.25">
      <c r="F179" t="s">
        <v>199</v>
      </c>
      <c r="G179" t="s">
        <v>270</v>
      </c>
      <c r="H179" s="268"/>
      <c r="I179" s="268"/>
      <c r="J179" s="282">
        <f t="shared" ref="J179:K179" si="267">J74 * (1 - J$119)</f>
        <v>0.16747355655213617</v>
      </c>
      <c r="K179" s="282">
        <f t="shared" si="267"/>
        <v>0.16747355655213617</v>
      </c>
      <c r="L179" s="282">
        <f t="shared" ref="L179:M179" si="268">L74 * (1 - L$119)</f>
        <v>0.16384211546599159</v>
      </c>
      <c r="M179" s="282">
        <f t="shared" si="268"/>
        <v>0.16384211546599159</v>
      </c>
      <c r="N179" s="282">
        <f t="shared" ref="N179:P179" si="269">N74 * (1 - N$119)</f>
        <v>0</v>
      </c>
      <c r="O179" s="282">
        <f t="shared" si="269"/>
        <v>0</v>
      </c>
      <c r="P179" s="282">
        <f t="shared" si="269"/>
        <v>0</v>
      </c>
      <c r="Q179" s="282">
        <f t="shared" ref="Q179:S179" si="270">Q74 * (1 - Q$119)</f>
        <v>0.12479754049403811</v>
      </c>
      <c r="R179" s="282">
        <f t="shared" si="270"/>
        <v>-0.10076997022296971</v>
      </c>
      <c r="S179" s="282">
        <f t="shared" si="270"/>
        <v>0</v>
      </c>
      <c r="T179" s="282">
        <f t="shared" ref="T179:U179" si="271">T74 * (1 - T$119)</f>
        <v>-0.10076997022296971</v>
      </c>
      <c r="U179" s="282">
        <f t="shared" si="271"/>
        <v>-0.10076997022296971</v>
      </c>
      <c r="V179" s="282">
        <f t="shared" ref="V179:W179" si="272">V74 * (1 - V$119)</f>
        <v>0</v>
      </c>
      <c r="W179" s="282">
        <f t="shared" si="272"/>
        <v>0</v>
      </c>
      <c r="X179" s="282">
        <f t="shared" ref="X179:Y179" si="273">X74 * (1 - X$119)</f>
        <v>0</v>
      </c>
      <c r="Y179" s="282">
        <f t="shared" si="273"/>
        <v>0</v>
      </c>
      <c r="Z179" s="268"/>
      <c r="AA179" s="268"/>
    </row>
    <row r="180" spans="3:27" x14ac:dyDescent="0.25">
      <c r="F180" t="s">
        <v>200</v>
      </c>
      <c r="G180" t="s">
        <v>270</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0.30797600146889548</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335</v>
      </c>
      <c r="G181" s="95" t="s">
        <v>270</v>
      </c>
      <c r="H181" s="266"/>
      <c r="I181" s="266" t="s">
        <v>155</v>
      </c>
      <c r="J181" s="280"/>
      <c r="K181" s="280"/>
      <c r="L181" s="280"/>
      <c r="M181" s="280"/>
      <c r="N181" s="280"/>
      <c r="O181" s="280"/>
      <c r="P181" s="280"/>
      <c r="Q181" s="283">
        <f>Q76</f>
        <v>1.3498433202253879</v>
      </c>
      <c r="R181" s="280"/>
      <c r="S181" s="280"/>
      <c r="T181" s="280"/>
      <c r="U181" s="280"/>
      <c r="V181" s="280"/>
      <c r="W181" s="280"/>
      <c r="X181" s="280"/>
      <c r="Y181" s="280"/>
      <c r="Z181" s="268"/>
      <c r="AA181" s="268" t="s">
        <v>612</v>
      </c>
    </row>
    <row r="182" spans="3:27" x14ac:dyDescent="0.25">
      <c r="F182" s="96" t="s">
        <v>336</v>
      </c>
      <c r="G182" s="96" t="s">
        <v>270</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control'!$H$42:$H$65,MATCH($A$1,'Version control'!$F$42:$F$65,0),1)&amp;"-G: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155</v>
      </c>
      <c r="J185" s="106"/>
      <c r="K185" s="106"/>
      <c r="L185" s="106"/>
      <c r="M185" s="106"/>
      <c r="N185" s="106"/>
      <c r="O185" s="106"/>
      <c r="P185" s="106"/>
      <c r="Q185" s="106"/>
      <c r="R185" s="106"/>
      <c r="S185" s="106"/>
      <c r="T185" s="106"/>
      <c r="U185" s="106"/>
      <c r="V185" s="106"/>
      <c r="W185" s="106"/>
      <c r="X185" s="106"/>
      <c r="Y185" s="106"/>
      <c r="AA185" t="s">
        <v>614</v>
      </c>
    </row>
    <row r="186" spans="3:27" x14ac:dyDescent="0.25">
      <c r="E186" s="75" t="s">
        <v>579</v>
      </c>
      <c r="J186" s="106"/>
      <c r="K186" s="106"/>
      <c r="L186" s="106"/>
      <c r="M186" s="106"/>
      <c r="N186" s="106"/>
      <c r="O186" s="106"/>
      <c r="P186" s="106"/>
      <c r="Q186" s="106"/>
      <c r="R186" s="106"/>
      <c r="S186" s="106"/>
      <c r="T186" s="106"/>
      <c r="U186" s="106"/>
      <c r="V186" s="106"/>
      <c r="W186" s="106"/>
      <c r="X186" s="106"/>
      <c r="Y186" s="106"/>
    </row>
    <row r="187" spans="3:27" x14ac:dyDescent="0.25">
      <c r="F187" s="95" t="s">
        <v>190</v>
      </c>
      <c r="G187" s="95" t="s">
        <v>270</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192</v>
      </c>
      <c r="G188" t="s">
        <v>270</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193</v>
      </c>
      <c r="G189" t="s">
        <v>270</v>
      </c>
      <c r="H189" s="268"/>
      <c r="I189" s="268"/>
      <c r="J189" s="282">
        <f t="shared" ref="J189:K189" si="295">J84 * (1 - J$113)</f>
        <v>1.6257343460483308E-2</v>
      </c>
      <c r="K189" s="282">
        <f t="shared" si="295"/>
        <v>1.6257343460483308E-2</v>
      </c>
      <c r="L189" s="282">
        <f t="shared" ref="L189:M189" si="296">L84 * (1 - L$113)</f>
        <v>1.5904824613870151E-2</v>
      </c>
      <c r="M189" s="282">
        <f t="shared" si="296"/>
        <v>1.5904824613870151E-2</v>
      </c>
      <c r="N189" s="282">
        <f t="shared" ref="N189:P189" si="297">N84 * (1 - N$113)</f>
        <v>1.2259816705516518E-2</v>
      </c>
      <c r="O189" s="282">
        <f t="shared" si="297"/>
        <v>1.1412238576354133E-2</v>
      </c>
      <c r="P189" s="282">
        <f t="shared" si="297"/>
        <v>1.034152061307236E-2</v>
      </c>
      <c r="Q189" s="282">
        <f t="shared" ref="Q189:S189" si="298">Q84 * (1 - Q$113)</f>
        <v>1.1770843828223746E-2</v>
      </c>
      <c r="R189" s="282">
        <f t="shared" si="298"/>
        <v>-9.7821533748075062E-3</v>
      </c>
      <c r="S189" s="282">
        <f t="shared" si="298"/>
        <v>-9.6531984338966703E-3</v>
      </c>
      <c r="T189" s="282">
        <f t="shared" ref="T189:U189" si="299">T84 * (1 - T$113)</f>
        <v>-9.7821533748075062E-3</v>
      </c>
      <c r="U189" s="282">
        <f t="shared" si="299"/>
        <v>-9.7821533748075062E-3</v>
      </c>
      <c r="V189" s="282">
        <f t="shared" ref="V189:W189" si="300">V84 * (1 - V$113)</f>
        <v>-9.6531984338966703E-3</v>
      </c>
      <c r="W189" s="282">
        <f t="shared" si="300"/>
        <v>-9.6531984338966703E-3</v>
      </c>
      <c r="X189" s="282">
        <f t="shared" ref="X189:Y189" si="301">X84 * (1 - X$113)</f>
        <v>-9.5242434929858379E-3</v>
      </c>
      <c r="Y189" s="282">
        <f t="shared" si="301"/>
        <v>-9.5242434929858379E-3</v>
      </c>
      <c r="Z189" s="268"/>
      <c r="AA189" s="268"/>
    </row>
    <row r="190" spans="3:27" x14ac:dyDescent="0.25">
      <c r="F190" t="s">
        <v>194</v>
      </c>
      <c r="G190" t="s">
        <v>270</v>
      </c>
      <c r="H190" s="268"/>
      <c r="I190" s="268"/>
      <c r="J190" s="282">
        <f t="shared" ref="J190:K190" si="302">J85 * (1 - J$114)</f>
        <v>2.3287259084968683E-3</v>
      </c>
      <c r="K190" s="282">
        <f t="shared" si="302"/>
        <v>2.3287259084968683E-3</v>
      </c>
      <c r="L190" s="282">
        <f t="shared" ref="L190:M190" si="303">L85 * (1 - L$114)</f>
        <v>2.2782305878230507E-3</v>
      </c>
      <c r="M190" s="282">
        <f t="shared" si="303"/>
        <v>2.2782305878230507E-3</v>
      </c>
      <c r="N190" s="282">
        <f t="shared" ref="N190:P190" si="304">N85 * (1 - N$114)</f>
        <v>1.7561142670667481E-3</v>
      </c>
      <c r="O190" s="282">
        <f t="shared" si="304"/>
        <v>1.6347059229757592E-3</v>
      </c>
      <c r="P190" s="282">
        <f t="shared" si="304"/>
        <v>1.4813346992055291E-3</v>
      </c>
      <c r="Q190" s="282">
        <f t="shared" ref="Q190:S190" si="305">Q85 * (1 - Q$114)</f>
        <v>1.6860730693352899E-3</v>
      </c>
      <c r="R190" s="282">
        <f t="shared" si="305"/>
        <v>-1.401210109153165E-3</v>
      </c>
      <c r="S190" s="282">
        <f t="shared" si="305"/>
        <v>-1.3827384127989802E-3</v>
      </c>
      <c r="T190" s="282">
        <f t="shared" ref="T190:U190" si="306">T85 * (1 - T$114)</f>
        <v>-1.401210109153165E-3</v>
      </c>
      <c r="U190" s="282">
        <f t="shared" si="306"/>
        <v>-1.401210109153165E-3</v>
      </c>
      <c r="V190" s="282">
        <f t="shared" ref="V190:W190" si="307">V85 * (1 - V$114)</f>
        <v>-1.3827384127989802E-3</v>
      </c>
      <c r="W190" s="282">
        <f t="shared" si="307"/>
        <v>-1.3827384127989802E-3</v>
      </c>
      <c r="X190" s="282">
        <f t="shared" ref="X190:Y190" si="308">X85 * (1 - X$114)</f>
        <v>-1.3642667164447952E-3</v>
      </c>
      <c r="Y190" s="282">
        <f t="shared" si="308"/>
        <v>-1.3642667164447952E-3</v>
      </c>
      <c r="Z190" s="268"/>
      <c r="AA190" s="268"/>
    </row>
    <row r="191" spans="3:27" x14ac:dyDescent="0.25">
      <c r="F191" t="s">
        <v>195</v>
      </c>
      <c r="G191" t="s">
        <v>270</v>
      </c>
      <c r="H191" s="268"/>
      <c r="I191" s="268"/>
      <c r="J191" s="282">
        <f t="shared" ref="J191:K191" si="309">J86 * (1 - J$115)</f>
        <v>1.361090859350441E-2</v>
      </c>
      <c r="K191" s="282">
        <f t="shared" si="309"/>
        <v>1.361090859350441E-2</v>
      </c>
      <c r="L191" s="282">
        <f t="shared" ref="L191:M191" si="310">L86 * (1 - L$115)</f>
        <v>1.3315774163306635E-2</v>
      </c>
      <c r="M191" s="282">
        <f t="shared" si="310"/>
        <v>1.3315774163306635E-2</v>
      </c>
      <c r="N191" s="282">
        <f t="shared" ref="N191:P191" si="311">N86 * (1 - N$115)</f>
        <v>1.026411510327672E-2</v>
      </c>
      <c r="O191" s="282">
        <f t="shared" si="311"/>
        <v>9.5545091046137787E-3</v>
      </c>
      <c r="P191" s="282">
        <f t="shared" si="311"/>
        <v>6.9264694874415882E-3</v>
      </c>
      <c r="Q191" s="282">
        <f t="shared" ref="Q191:S191" si="312">Q86 * (1 - Q$115)</f>
        <v>9.8547391708734954E-3</v>
      </c>
      <c r="R191" s="282">
        <f t="shared" si="312"/>
        <v>-8.1897756392843926E-3</v>
      </c>
      <c r="S191" s="282">
        <f t="shared" si="312"/>
        <v>-8.0818124952636954E-3</v>
      </c>
      <c r="T191" s="282">
        <f t="shared" ref="T191:U191" si="313">T86 * (1 - T$115)</f>
        <v>-8.1897756392843926E-3</v>
      </c>
      <c r="U191" s="282">
        <f t="shared" si="313"/>
        <v>-8.1897756392843926E-3</v>
      </c>
      <c r="V191" s="282">
        <f t="shared" ref="V191:W191" si="314">V86 * (1 - V$115)</f>
        <v>-8.0818124952636954E-3</v>
      </c>
      <c r="W191" s="282">
        <f t="shared" si="314"/>
        <v>-8.0818124952636954E-3</v>
      </c>
      <c r="X191" s="282">
        <f t="shared" ref="X191:Y191" si="315">X86 * (1 - X$115)</f>
        <v>-7.9738493512429964E-3</v>
      </c>
      <c r="Y191" s="282">
        <f t="shared" si="315"/>
        <v>-7.9738493512429964E-3</v>
      </c>
      <c r="Z191" s="268"/>
      <c r="AA191" s="268"/>
    </row>
    <row r="192" spans="3:27" x14ac:dyDescent="0.25">
      <c r="F192" t="s">
        <v>196</v>
      </c>
      <c r="G192" t="s">
        <v>270</v>
      </c>
      <c r="H192" s="268"/>
      <c r="I192" s="268"/>
      <c r="J192" s="282">
        <f t="shared" ref="J192:K192" si="316">J87 * (1 - J$116)</f>
        <v>1.0765672759883483E-2</v>
      </c>
      <c r="K192" s="282">
        <f t="shared" si="316"/>
        <v>1.0765672759883483E-2</v>
      </c>
      <c r="L192" s="282">
        <f t="shared" ref="L192:M192" si="317">L87 * (1 - L$116)</f>
        <v>1.0532233480363215E-2</v>
      </c>
      <c r="M192" s="282">
        <f t="shared" si="317"/>
        <v>1.0532233480363215E-2</v>
      </c>
      <c r="N192" s="282">
        <f t="shared" ref="N192:P192" si="318">N87 * (1 - N$116)</f>
        <v>8.1184958088976709E-3</v>
      </c>
      <c r="O192" s="282">
        <f t="shared" si="318"/>
        <v>7.5572264478131852E-3</v>
      </c>
      <c r="P192" s="282">
        <f t="shared" si="318"/>
        <v>0</v>
      </c>
      <c r="Q192" s="282">
        <f t="shared" ref="Q192:S192" si="319">Q87 * (1 - Q$116)</f>
        <v>7.7946961673271906E-3</v>
      </c>
      <c r="R192" s="282">
        <f t="shared" si="319"/>
        <v>-6.4777780192777383E-3</v>
      </c>
      <c r="S192" s="282">
        <f t="shared" si="319"/>
        <v>-6.3923835821121178E-3</v>
      </c>
      <c r="T192" s="282">
        <f t="shared" ref="T192:U192" si="320">T87 * (1 - T$116)</f>
        <v>-6.4777780192777383E-3</v>
      </c>
      <c r="U192" s="282">
        <f t="shared" si="320"/>
        <v>-6.4777780192777383E-3</v>
      </c>
      <c r="V192" s="282">
        <f t="shared" ref="V192:W192" si="321">V87 * (1 - V$116)</f>
        <v>-6.3923835821121178E-3</v>
      </c>
      <c r="W192" s="282">
        <f t="shared" si="321"/>
        <v>-6.3923835821121178E-3</v>
      </c>
      <c r="X192" s="282">
        <f t="shared" ref="X192:Y192" si="322">X87 * (1 - X$116)</f>
        <v>-6.3069891449464991E-3</v>
      </c>
      <c r="Y192" s="282">
        <f t="shared" si="322"/>
        <v>-6.3069891449464991E-3</v>
      </c>
      <c r="Z192" s="268"/>
      <c r="AA192" s="268"/>
    </row>
    <row r="193" spans="4:27" x14ac:dyDescent="0.25">
      <c r="F193" t="s">
        <v>197</v>
      </c>
      <c r="G193" t="s">
        <v>270</v>
      </c>
      <c r="H193" s="268"/>
      <c r="I193" s="268"/>
      <c r="J193" s="282">
        <f t="shared" ref="J193:K193" si="323">J88 * (1 - J$117)</f>
        <v>0</v>
      </c>
      <c r="K193" s="282">
        <f t="shared" si="323"/>
        <v>0</v>
      </c>
      <c r="L193" s="282">
        <f t="shared" ref="L193:M193" si="324">L88 * (1 - L$117)</f>
        <v>0</v>
      </c>
      <c r="M193" s="282">
        <f t="shared" si="324"/>
        <v>0</v>
      </c>
      <c r="N193" s="282">
        <f t="shared" ref="N193:P193" si="325">N88 * (1 - N$117)</f>
        <v>0</v>
      </c>
      <c r="O193" s="282">
        <f t="shared" si="325"/>
        <v>0</v>
      </c>
      <c r="P193" s="282">
        <f t="shared" si="325"/>
        <v>0</v>
      </c>
      <c r="Q193" s="282">
        <f t="shared" ref="Q193:S193" si="326">Q88 * (1 - Q$117)</f>
        <v>0</v>
      </c>
      <c r="R193" s="282">
        <f t="shared" si="326"/>
        <v>0</v>
      </c>
      <c r="S193" s="282">
        <f t="shared" si="326"/>
        <v>0</v>
      </c>
      <c r="T193" s="282">
        <f t="shared" ref="T193:U193" si="327">T88 * (1 - T$117)</f>
        <v>0</v>
      </c>
      <c r="U193" s="282">
        <f t="shared" si="327"/>
        <v>0</v>
      </c>
      <c r="V193" s="282">
        <f t="shared" ref="V193:W193" si="328">V88 * (1 - V$117)</f>
        <v>0</v>
      </c>
      <c r="W193" s="282">
        <f t="shared" si="328"/>
        <v>0</v>
      </c>
      <c r="X193" s="282">
        <f t="shared" ref="X193:Y193" si="329">X88 * (1 - X$117)</f>
        <v>0</v>
      </c>
      <c r="Y193" s="282">
        <f t="shared" si="329"/>
        <v>0</v>
      </c>
      <c r="Z193" s="268"/>
      <c r="AA193" s="268"/>
    </row>
    <row r="194" spans="4:27" x14ac:dyDescent="0.25">
      <c r="F194" t="s">
        <v>198</v>
      </c>
      <c r="G194" t="s">
        <v>270</v>
      </c>
      <c r="H194" s="268"/>
      <c r="I194" s="268"/>
      <c r="J194" s="282">
        <f t="shared" ref="J194:K194" si="330">J89 * (1 - J$118)</f>
        <v>4.9576016938374774E-2</v>
      </c>
      <c r="K194" s="282">
        <f t="shared" si="330"/>
        <v>4.9576016938374774E-2</v>
      </c>
      <c r="L194" s="282">
        <f t="shared" ref="L194:M194" si="331">L89 * (1 - L$118)</f>
        <v>4.8501027020540398E-2</v>
      </c>
      <c r="M194" s="282">
        <f t="shared" si="331"/>
        <v>4.8501027020540398E-2</v>
      </c>
      <c r="N194" s="282">
        <f t="shared" ref="N194:P194" si="332">N89 * (1 - N$118)</f>
        <v>2.9908595196080735E-2</v>
      </c>
      <c r="O194" s="282">
        <f t="shared" si="332"/>
        <v>0</v>
      </c>
      <c r="P194" s="282">
        <f t="shared" si="332"/>
        <v>0</v>
      </c>
      <c r="Q194" s="282">
        <f t="shared" ref="Q194:S194" si="333">Q89 * (1 - Q$118)</f>
        <v>3.5894643822062457E-2</v>
      </c>
      <c r="R194" s="282">
        <f t="shared" si="333"/>
        <v>-2.9830224266469401E-2</v>
      </c>
      <c r="S194" s="282">
        <f t="shared" si="333"/>
        <v>-2.9436982138662835E-2</v>
      </c>
      <c r="T194" s="282">
        <f t="shared" ref="T194:U194" si="334">T89 * (1 - T$118)</f>
        <v>-2.9830224266469401E-2</v>
      </c>
      <c r="U194" s="282">
        <f t="shared" si="334"/>
        <v>-2.9830224266469401E-2</v>
      </c>
      <c r="V194" s="282">
        <f t="shared" ref="V194:W194" si="335">V89 * (1 - V$118)</f>
        <v>-2.9436982138662835E-2</v>
      </c>
      <c r="W194" s="282">
        <f t="shared" si="335"/>
        <v>-2.9436982138662835E-2</v>
      </c>
      <c r="X194" s="282">
        <f t="shared" ref="X194:Y194" si="336">X89 * (1 - X$118)</f>
        <v>0</v>
      </c>
      <c r="Y194" s="282">
        <f t="shared" si="336"/>
        <v>0</v>
      </c>
      <c r="Z194" s="268"/>
      <c r="AA194" s="268"/>
    </row>
    <row r="195" spans="4:27" x14ac:dyDescent="0.25">
      <c r="F195" t="s">
        <v>199</v>
      </c>
      <c r="G195" t="s">
        <v>270</v>
      </c>
      <c r="H195" s="268"/>
      <c r="I195" s="268"/>
      <c r="J195" s="282">
        <f t="shared" ref="J195:K195" si="337">J90 * (1 - J$119)</f>
        <v>2.0340297128517384E-2</v>
      </c>
      <c r="K195" s="282">
        <f t="shared" si="337"/>
        <v>2.0340297128517384E-2</v>
      </c>
      <c r="L195" s="282">
        <f t="shared" ref="L195:M195" si="338">L90 * (1 - L$119)</f>
        <v>1.9899244867984001E-2</v>
      </c>
      <c r="M195" s="282">
        <f t="shared" si="338"/>
        <v>1.9899244867984001E-2</v>
      </c>
      <c r="N195" s="282">
        <f t="shared" ref="N195:P195" si="339">N90 * (1 - N$119)</f>
        <v>0</v>
      </c>
      <c r="O195" s="282">
        <f t="shared" si="339"/>
        <v>0</v>
      </c>
      <c r="P195" s="282">
        <f t="shared" si="339"/>
        <v>0</v>
      </c>
      <c r="Q195" s="282">
        <f t="shared" ref="Q195:S195" si="340">Q90 * (1 - Q$119)</f>
        <v>1.4727034678292289E-2</v>
      </c>
      <c r="R195" s="282">
        <f t="shared" si="340"/>
        <v>-1.2238894176281283E-2</v>
      </c>
      <c r="S195" s="282">
        <f t="shared" si="340"/>
        <v>0</v>
      </c>
      <c r="T195" s="282">
        <f t="shared" ref="T195:U195" si="341">T90 * (1 - T$119)</f>
        <v>-1.2238894176281283E-2</v>
      </c>
      <c r="U195" s="282">
        <f t="shared" si="341"/>
        <v>-1.2238894176281283E-2</v>
      </c>
      <c r="V195" s="282">
        <f t="shared" ref="V195:W195" si="342">V90 * (1 - V$119)</f>
        <v>0</v>
      </c>
      <c r="W195" s="282">
        <f t="shared" si="342"/>
        <v>0</v>
      </c>
      <c r="X195" s="282">
        <f t="shared" ref="X195:Y195" si="343">X90 * (1 - X$119)</f>
        <v>0</v>
      </c>
      <c r="Y195" s="282">
        <f t="shared" si="343"/>
        <v>0</v>
      </c>
      <c r="Z195" s="268"/>
      <c r="AA195" s="268"/>
    </row>
    <row r="196" spans="4:27" x14ac:dyDescent="0.25">
      <c r="F196" t="s">
        <v>200</v>
      </c>
      <c r="G196" t="s">
        <v>270</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3.6343450646216038E-2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335</v>
      </c>
      <c r="G197" s="95" t="s">
        <v>270</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336</v>
      </c>
      <c r="G198" s="96" t="s">
        <v>270</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580</v>
      </c>
      <c r="J200" s="106"/>
      <c r="K200" s="106"/>
      <c r="L200" s="106"/>
      <c r="M200" s="106"/>
      <c r="N200" s="106"/>
      <c r="O200" s="106"/>
      <c r="P200" s="106"/>
      <c r="Q200" s="106"/>
      <c r="R200" s="106"/>
      <c r="S200" s="106"/>
      <c r="T200" s="106"/>
      <c r="U200" s="106"/>
      <c r="V200" s="106"/>
      <c r="W200" s="106"/>
      <c r="X200" s="106"/>
      <c r="Y200" s="106"/>
    </row>
    <row r="201" spans="4:27" x14ac:dyDescent="0.25">
      <c r="F201" s="95" t="s">
        <v>190</v>
      </c>
      <c r="G201" s="95" t="s">
        <v>270</v>
      </c>
      <c r="H201" s="266"/>
      <c r="I201" s="266"/>
      <c r="J201" s="281">
        <f t="shared" ref="J201:K201" si="351">J96 * (1 - J$112)</f>
        <v>0</v>
      </c>
      <c r="K201" s="281">
        <f t="shared" si="351"/>
        <v>0</v>
      </c>
      <c r="L201" s="281">
        <f t="shared" ref="L201:M201" si="352">L96 * (1 - L$112)</f>
        <v>0</v>
      </c>
      <c r="M201" s="281">
        <f t="shared" si="352"/>
        <v>0</v>
      </c>
      <c r="N201" s="281">
        <f t="shared" ref="N201:P201" si="353">N96 * (1 - N$112)</f>
        <v>0</v>
      </c>
      <c r="O201" s="281">
        <f t="shared" si="353"/>
        <v>0</v>
      </c>
      <c r="P201" s="281">
        <f t="shared" si="353"/>
        <v>0</v>
      </c>
      <c r="Q201" s="281">
        <f t="shared" ref="Q201:S201" si="354">Q96 * (1 - Q$112)</f>
        <v>0</v>
      </c>
      <c r="R201" s="281">
        <f t="shared" si="354"/>
        <v>0</v>
      </c>
      <c r="S201" s="281">
        <f t="shared" si="354"/>
        <v>0</v>
      </c>
      <c r="T201" s="281">
        <f t="shared" ref="T201:U201" si="355">T96 * (1 - T$112)</f>
        <v>0</v>
      </c>
      <c r="U201" s="281">
        <f t="shared" si="355"/>
        <v>0</v>
      </c>
      <c r="V201" s="281">
        <f t="shared" ref="V201:W201" si="356">V96 * (1 - V$112)</f>
        <v>0</v>
      </c>
      <c r="W201" s="281">
        <f t="shared" si="356"/>
        <v>0</v>
      </c>
      <c r="X201" s="281">
        <f t="shared" ref="X201:Y201" si="357">X96 * (1 - X$112)</f>
        <v>0</v>
      </c>
      <c r="Y201" s="281">
        <f t="shared" si="357"/>
        <v>0</v>
      </c>
      <c r="Z201" s="268"/>
      <c r="AA201" s="268"/>
    </row>
    <row r="202" spans="4:27" x14ac:dyDescent="0.25">
      <c r="F202" t="s">
        <v>192</v>
      </c>
      <c r="G202" t="s">
        <v>270</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193</v>
      </c>
      <c r="G203" t="s">
        <v>270</v>
      </c>
      <c r="H203" s="268"/>
      <c r="I203" s="268"/>
      <c r="J203" s="282">
        <f t="shared" ref="J203:K203" si="365">J98 * (1 - J$113)</f>
        <v>1.2588548664211946E-2</v>
      </c>
      <c r="K203" s="282">
        <f t="shared" si="365"/>
        <v>1.2588548664211946E-2</v>
      </c>
      <c r="L203" s="282">
        <f t="shared" ref="L203:M203" si="366">L98 * (1 - L$113)</f>
        <v>1.2315582747829094E-2</v>
      </c>
      <c r="M203" s="282">
        <f t="shared" si="366"/>
        <v>1.2315582747829094E-2</v>
      </c>
      <c r="N203" s="282">
        <f t="shared" ref="N203:P203" si="367">N98 * (1 - N$113)</f>
        <v>9.49314379602368E-3</v>
      </c>
      <c r="O203" s="282">
        <f t="shared" si="367"/>
        <v>8.8368386283548418E-3</v>
      </c>
      <c r="P203" s="282">
        <f t="shared" si="367"/>
        <v>8.0077495942711754E-3</v>
      </c>
      <c r="Q203" s="282">
        <f t="shared" ref="Q203:S203" si="368">Q98 * (1 - Q$113)</f>
        <v>9.1145174308834044E-3</v>
      </c>
      <c r="R203" s="282">
        <f t="shared" si="368"/>
        <v>-7.5746147640217551E-3</v>
      </c>
      <c r="S203" s="282">
        <f t="shared" si="368"/>
        <v>-7.4747610853999977E-3</v>
      </c>
      <c r="T203" s="282">
        <f t="shared" ref="T203:U203" si="369">T98 * (1 - T$113)</f>
        <v>-7.5746147640217551E-3</v>
      </c>
      <c r="U203" s="282">
        <f t="shared" si="369"/>
        <v>-7.5746147640217551E-3</v>
      </c>
      <c r="V203" s="282">
        <f t="shared" ref="V203:W203" si="370">V98 * (1 - V$113)</f>
        <v>-7.4747610853999977E-3</v>
      </c>
      <c r="W203" s="282">
        <f t="shared" si="370"/>
        <v>-7.4747610853999977E-3</v>
      </c>
      <c r="X203" s="282">
        <f t="shared" ref="X203:Y203" si="371">X98 * (1 - X$113)</f>
        <v>-7.374907406778243E-3</v>
      </c>
      <c r="Y203" s="282">
        <f t="shared" si="371"/>
        <v>-7.374907406778243E-3</v>
      </c>
      <c r="Z203" s="268"/>
      <c r="AA203" s="268"/>
    </row>
    <row r="204" spans="4:27" x14ac:dyDescent="0.25">
      <c r="F204" t="s">
        <v>194</v>
      </c>
      <c r="G204" t="s">
        <v>270</v>
      </c>
      <c r="H204" s="268"/>
      <c r="I204" s="268"/>
      <c r="J204" s="282">
        <f t="shared" ref="J204:K204" si="372">J99 * (1 - J$114)</f>
        <v>1.80320231875402E-3</v>
      </c>
      <c r="K204" s="282">
        <f t="shared" si="372"/>
        <v>1.80320231875402E-3</v>
      </c>
      <c r="L204" s="282">
        <f t="shared" ref="L204:M204" si="373">L99 * (1 - L$114)</f>
        <v>1.764102277399635E-3</v>
      </c>
      <c r="M204" s="282">
        <f t="shared" si="373"/>
        <v>1.764102277399635E-3</v>
      </c>
      <c r="N204" s="282">
        <f t="shared" ref="N204:P204" si="374">N99 * (1 - N$114)</f>
        <v>1.3598119498811061E-3</v>
      </c>
      <c r="O204" s="282">
        <f t="shared" si="374"/>
        <v>1.2658018275295809E-3</v>
      </c>
      <c r="P204" s="282">
        <f t="shared" si="374"/>
        <v>1.1470418887478066E-3</v>
      </c>
      <c r="Q204" s="282">
        <f t="shared" ref="Q204:S204" si="375">Q99 * (1 - Q$114)</f>
        <v>1.3055769496619534E-3</v>
      </c>
      <c r="R204" s="282">
        <f t="shared" si="375"/>
        <v>-1.0849990154133068E-3</v>
      </c>
      <c r="S204" s="282">
        <f t="shared" si="375"/>
        <v>-1.0706958268862012E-3</v>
      </c>
      <c r="T204" s="282">
        <f t="shared" ref="T204:U204" si="376">T99 * (1 - T$114)</f>
        <v>-1.0849990154133068E-3</v>
      </c>
      <c r="U204" s="282">
        <f t="shared" si="376"/>
        <v>-1.0849990154133068E-3</v>
      </c>
      <c r="V204" s="282">
        <f t="shared" ref="V204:W204" si="377">V99 * (1 - V$114)</f>
        <v>-1.0706958268862012E-3</v>
      </c>
      <c r="W204" s="282">
        <f t="shared" si="377"/>
        <v>-1.0706958268862012E-3</v>
      </c>
      <c r="X204" s="282">
        <f t="shared" ref="X204:Y204" si="378">X99 * (1 - X$114)</f>
        <v>-1.0563926383590956E-3</v>
      </c>
      <c r="Y204" s="282">
        <f t="shared" si="378"/>
        <v>-1.0563926383590956E-3</v>
      </c>
      <c r="Z204" s="268"/>
      <c r="AA204" s="268"/>
    </row>
    <row r="205" spans="4:27" x14ac:dyDescent="0.25">
      <c r="F205" t="s">
        <v>195</v>
      </c>
      <c r="G205" t="s">
        <v>270</v>
      </c>
      <c r="H205" s="268"/>
      <c r="I205" s="268"/>
      <c r="J205" s="282">
        <f t="shared" ref="J205:K205" si="379">J100 * (1 - J$115)</f>
        <v>1.053933476954279E-2</v>
      </c>
      <c r="K205" s="282">
        <f t="shared" si="379"/>
        <v>1.053933476954279E-2</v>
      </c>
      <c r="L205" s="282">
        <f t="shared" ref="L205:M205" si="380">L100 * (1 - L$115)</f>
        <v>1.0310803327978553E-2</v>
      </c>
      <c r="M205" s="282">
        <f t="shared" si="380"/>
        <v>1.0310803327978553E-2</v>
      </c>
      <c r="N205" s="282">
        <f t="shared" ref="N205:P205" si="381">N100 * (1 - N$115)</f>
        <v>7.9478121863355497E-3</v>
      </c>
      <c r="O205" s="282">
        <f t="shared" si="381"/>
        <v>7.398342977648513E-3</v>
      </c>
      <c r="P205" s="282">
        <f t="shared" si="381"/>
        <v>5.3633730766518145E-3</v>
      </c>
      <c r="Q205" s="282">
        <f t="shared" ref="Q205:S205" si="382">Q100 * (1 - Q$115)</f>
        <v>7.6308201230540192E-3</v>
      </c>
      <c r="R205" s="282">
        <f t="shared" si="382"/>
        <v>-6.3415889216284129E-3</v>
      </c>
      <c r="S205" s="282">
        <f t="shared" si="382"/>
        <v>-6.2579898209666465E-3</v>
      </c>
      <c r="T205" s="282">
        <f t="shared" ref="T205:U205" si="383">T100 * (1 - T$115)</f>
        <v>-6.3415889216284129E-3</v>
      </c>
      <c r="U205" s="282">
        <f t="shared" si="383"/>
        <v>-6.3415889216284129E-3</v>
      </c>
      <c r="V205" s="282">
        <f t="shared" ref="V205:W205" si="384">V100 * (1 - V$115)</f>
        <v>-6.2579898209666465E-3</v>
      </c>
      <c r="W205" s="282">
        <f t="shared" si="384"/>
        <v>-6.2579898209666465E-3</v>
      </c>
      <c r="X205" s="282">
        <f t="shared" ref="X205:Y205" si="385">X100 * (1 - X$115)</f>
        <v>-6.1743907203048775E-3</v>
      </c>
      <c r="Y205" s="282">
        <f t="shared" si="385"/>
        <v>-6.1743907203048775E-3</v>
      </c>
      <c r="Z205" s="268"/>
      <c r="AA205" s="268"/>
    </row>
    <row r="206" spans="4:27" x14ac:dyDescent="0.25">
      <c r="F206" t="s">
        <v>196</v>
      </c>
      <c r="G206" t="s">
        <v>270</v>
      </c>
      <c r="H206" s="268"/>
      <c r="I206" s="268"/>
      <c r="J206" s="282">
        <f t="shared" ref="J206:K206" si="386">J101 * (1 - J$116)</f>
        <v>8.3361833235665213E-3</v>
      </c>
      <c r="K206" s="282">
        <f t="shared" si="386"/>
        <v>8.3361833235665213E-3</v>
      </c>
      <c r="L206" s="282">
        <f t="shared" ref="L206:M206" si="387">L101 * (1 - L$116)</f>
        <v>8.1554242876562249E-3</v>
      </c>
      <c r="M206" s="282">
        <f t="shared" si="387"/>
        <v>8.1554242876562249E-3</v>
      </c>
      <c r="N206" s="282">
        <f t="shared" ref="N206:P206" si="388">N101 * (1 - N$116)</f>
        <v>6.2863948109927415E-3</v>
      </c>
      <c r="O206" s="282">
        <f t="shared" si="388"/>
        <v>5.8517871099918097E-3</v>
      </c>
      <c r="P206" s="282">
        <f t="shared" si="388"/>
        <v>0</v>
      </c>
      <c r="Q206" s="282">
        <f t="shared" ref="Q206:S206" si="389">Q101 * (1 - Q$116)</f>
        <v>6.0356670364782707E-3</v>
      </c>
      <c r="R206" s="282">
        <f t="shared" si="389"/>
        <v>-5.0159378148006495E-3</v>
      </c>
      <c r="S206" s="282">
        <f t="shared" si="389"/>
        <v>-4.9498143407825631E-3</v>
      </c>
      <c r="T206" s="282">
        <f t="shared" ref="T206:U206" si="390">T101 * (1 - T$116)</f>
        <v>-5.0159378148006495E-3</v>
      </c>
      <c r="U206" s="282">
        <f t="shared" si="390"/>
        <v>-5.0159378148006495E-3</v>
      </c>
      <c r="V206" s="282">
        <f t="shared" ref="V206:W206" si="391">V101 * (1 - V$116)</f>
        <v>-4.9498143407825631E-3</v>
      </c>
      <c r="W206" s="282">
        <f t="shared" si="391"/>
        <v>-4.9498143407825631E-3</v>
      </c>
      <c r="X206" s="282">
        <f t="shared" ref="X206:Y206" si="392">X101 * (1 - X$116)</f>
        <v>-4.8836908667644749E-3</v>
      </c>
      <c r="Y206" s="282">
        <f t="shared" si="392"/>
        <v>-4.8836908667644749E-3</v>
      </c>
      <c r="Z206" s="268"/>
      <c r="AA206" s="268"/>
    </row>
    <row r="207" spans="4:27" x14ac:dyDescent="0.25">
      <c r="F207" t="s">
        <v>197</v>
      </c>
      <c r="G207" t="s">
        <v>270</v>
      </c>
      <c r="H207" s="268"/>
      <c r="I207" s="268"/>
      <c r="J207" s="282">
        <f t="shared" ref="J207:K207" si="393">J102 * (1 - J$117)</f>
        <v>0</v>
      </c>
      <c r="K207" s="282">
        <f t="shared" si="393"/>
        <v>0</v>
      </c>
      <c r="L207" s="282">
        <f t="shared" ref="L207:M207" si="394">L102 * (1 - L$117)</f>
        <v>0</v>
      </c>
      <c r="M207" s="282">
        <f t="shared" si="394"/>
        <v>0</v>
      </c>
      <c r="N207" s="282">
        <f t="shared" ref="N207:P207" si="395">N102 * (1 - N$117)</f>
        <v>0</v>
      </c>
      <c r="O207" s="282">
        <f t="shared" si="395"/>
        <v>0</v>
      </c>
      <c r="P207" s="282">
        <f t="shared" si="395"/>
        <v>0</v>
      </c>
      <c r="Q207" s="282">
        <f t="shared" ref="Q207:S207" si="396">Q102 * (1 - Q$117)</f>
        <v>0</v>
      </c>
      <c r="R207" s="282">
        <f t="shared" si="396"/>
        <v>0</v>
      </c>
      <c r="S207" s="282">
        <f t="shared" si="396"/>
        <v>0</v>
      </c>
      <c r="T207" s="282">
        <f t="shared" ref="T207:U207" si="397">T102 * (1 - T$117)</f>
        <v>0</v>
      </c>
      <c r="U207" s="282">
        <f t="shared" si="397"/>
        <v>0</v>
      </c>
      <c r="V207" s="282">
        <f t="shared" ref="V207:W207" si="398">V102 * (1 - V$117)</f>
        <v>0</v>
      </c>
      <c r="W207" s="282">
        <f t="shared" si="398"/>
        <v>0</v>
      </c>
      <c r="X207" s="282">
        <f t="shared" ref="X207:Y207" si="399">X102 * (1 - X$117)</f>
        <v>0</v>
      </c>
      <c r="Y207" s="282">
        <f t="shared" si="399"/>
        <v>0</v>
      </c>
      <c r="Z207" s="268"/>
      <c r="AA207" s="268"/>
    </row>
    <row r="208" spans="4:27" x14ac:dyDescent="0.25">
      <c r="F208" t="s">
        <v>198</v>
      </c>
      <c r="G208" t="s">
        <v>270</v>
      </c>
      <c r="H208" s="268"/>
      <c r="I208" s="268"/>
      <c r="J208" s="282">
        <f t="shared" ref="J208:K208" si="400">J103 * (1 - J$118)</f>
        <v>3.8388196898435534E-2</v>
      </c>
      <c r="K208" s="282">
        <f t="shared" si="400"/>
        <v>3.8388196898435534E-2</v>
      </c>
      <c r="L208" s="282">
        <f t="shared" ref="L208:M208" si="401">L103 * (1 - L$118)</f>
        <v>3.7555799961808779E-2</v>
      </c>
      <c r="M208" s="282">
        <f t="shared" si="401"/>
        <v>3.7555799961808779E-2</v>
      </c>
      <c r="N208" s="282">
        <f t="shared" ref="N208:P208" si="402">N103 * (1 - N$118)</f>
        <v>2.3159122338729562E-2</v>
      </c>
      <c r="O208" s="282">
        <f t="shared" si="402"/>
        <v>0</v>
      </c>
      <c r="P208" s="282">
        <f t="shared" si="402"/>
        <v>0</v>
      </c>
      <c r="Q208" s="282">
        <f t="shared" ref="Q208:S208" si="403">Q103 * (1 - Q$118)</f>
        <v>2.7794299335369681E-2</v>
      </c>
      <c r="R208" s="282">
        <f t="shared" si="403"/>
        <v>-2.3098437377273844E-2</v>
      </c>
      <c r="S208" s="282">
        <f t="shared" si="403"/>
        <v>-2.2793938202808839E-2</v>
      </c>
      <c r="T208" s="282">
        <f t="shared" ref="T208:U208" si="404">T103 * (1 - T$118)</f>
        <v>-2.3098437377273844E-2</v>
      </c>
      <c r="U208" s="282">
        <f t="shared" si="404"/>
        <v>-2.3098437377273844E-2</v>
      </c>
      <c r="V208" s="282">
        <f t="shared" ref="V208:W208" si="405">V103 * (1 - V$118)</f>
        <v>-2.2793938202808839E-2</v>
      </c>
      <c r="W208" s="282">
        <f t="shared" si="405"/>
        <v>-2.2793938202808839E-2</v>
      </c>
      <c r="X208" s="282">
        <f t="shared" ref="X208:Y208" si="406">X103 * (1 - X$118)</f>
        <v>0</v>
      </c>
      <c r="Y208" s="282">
        <f t="shared" si="406"/>
        <v>0</v>
      </c>
      <c r="Z208" s="268"/>
      <c r="AA208" s="268"/>
    </row>
    <row r="209" spans="2:27" x14ac:dyDescent="0.25">
      <c r="F209" t="s">
        <v>199</v>
      </c>
      <c r="G209" t="s">
        <v>270</v>
      </c>
      <c r="H209" s="268"/>
      <c r="I209" s="268"/>
      <c r="J209" s="282">
        <f t="shared" ref="J209:K209" si="407">J104 * (1 - J$119)</f>
        <v>1.5750102153483044E-2</v>
      </c>
      <c r="K209" s="282">
        <f t="shared" si="407"/>
        <v>1.5750102153483044E-2</v>
      </c>
      <c r="L209" s="282">
        <f t="shared" ref="L209:M209" si="408">L104 * (1 - L$119)</f>
        <v>1.5408582159230542E-2</v>
      </c>
      <c r="M209" s="282">
        <f t="shared" si="408"/>
        <v>1.5408582159230542E-2</v>
      </c>
      <c r="N209" s="282">
        <f t="shared" ref="N209:P209" si="409">N104 * (1 - N$119)</f>
        <v>0</v>
      </c>
      <c r="O209" s="282">
        <f t="shared" si="409"/>
        <v>0</v>
      </c>
      <c r="P209" s="282">
        <f t="shared" si="409"/>
        <v>0</v>
      </c>
      <c r="Q209" s="282">
        <f t="shared" ref="Q209:S209" si="410">Q104 * (1 - Q$119)</f>
        <v>1.1403584674079831E-2</v>
      </c>
      <c r="R209" s="282">
        <f t="shared" si="410"/>
        <v>-9.4769428540864963E-3</v>
      </c>
      <c r="S209" s="282">
        <f t="shared" si="410"/>
        <v>0</v>
      </c>
      <c r="T209" s="282">
        <f t="shared" ref="T209:U209" si="411">T104 * (1 - T$119)</f>
        <v>-9.4769428540864963E-3</v>
      </c>
      <c r="U209" s="282">
        <f t="shared" si="411"/>
        <v>-9.4769428540864963E-3</v>
      </c>
      <c r="V209" s="282">
        <f t="shared" ref="V209:W209" si="412">V104 * (1 - V$119)</f>
        <v>0</v>
      </c>
      <c r="W209" s="282">
        <f t="shared" si="412"/>
        <v>0</v>
      </c>
      <c r="X209" s="282">
        <f t="shared" ref="X209:Y209" si="413">X104 * (1 - X$119)</f>
        <v>0</v>
      </c>
      <c r="Y209" s="282">
        <f t="shared" si="413"/>
        <v>0</v>
      </c>
      <c r="Z209" s="268"/>
      <c r="AA209" s="268"/>
    </row>
    <row r="210" spans="2:27" x14ac:dyDescent="0.25">
      <c r="F210" t="s">
        <v>200</v>
      </c>
      <c r="G210" t="s">
        <v>270</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2.8141823920823688E-2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335</v>
      </c>
      <c r="G211" s="95" t="s">
        <v>270</v>
      </c>
      <c r="H211" s="266"/>
      <c r="I211" s="266" t="s">
        <v>155</v>
      </c>
      <c r="J211" s="280"/>
      <c r="K211" s="280"/>
      <c r="L211" s="280"/>
      <c r="M211" s="280"/>
      <c r="N211" s="280"/>
      <c r="O211" s="280"/>
      <c r="P211" s="280"/>
      <c r="Q211" s="283">
        <f>Q106</f>
        <v>1.3498433202253879</v>
      </c>
      <c r="R211" s="280"/>
      <c r="S211" s="280"/>
      <c r="T211" s="280"/>
      <c r="U211" s="280"/>
      <c r="V211" s="280"/>
      <c r="W211" s="280"/>
      <c r="X211" s="280"/>
      <c r="Y211" s="280"/>
      <c r="Z211" s="268"/>
      <c r="AA211" s="268" t="s">
        <v>612</v>
      </c>
    </row>
    <row r="212" spans="2:27" x14ac:dyDescent="0.25">
      <c r="D212"/>
      <c r="F212" s="96" t="s">
        <v>336</v>
      </c>
      <c r="G212" s="96" t="s">
        <v>270</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control'!$H$42:$H$65,MATCH($A$1,'Version control'!$F$42:$F$65,0),1)&amp;"-H: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615</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616</v>
      </c>
      <c r="G217" s="95" t="s">
        <v>270</v>
      </c>
      <c r="H217" s="266"/>
      <c r="I217" s="266"/>
      <c r="J217" s="284">
        <f t="shared" ref="J217:K217" si="421">SUM(J127:J138,J141:J152)</f>
        <v>25.395136853030557</v>
      </c>
      <c r="K217" s="284">
        <f t="shared" si="421"/>
        <v>25.395136853030557</v>
      </c>
      <c r="L217" s="284">
        <f t="shared" ref="L217:M217" si="422">SUM(L127:L138,L141:L152)</f>
        <v>24.844477123489018</v>
      </c>
      <c r="M217" s="284">
        <f t="shared" si="422"/>
        <v>24.844477123489018</v>
      </c>
      <c r="N217" s="284">
        <f t="shared" ref="N217:P217" si="423">SUM(N127:N138,N141:N152)</f>
        <v>15.429151116302295</v>
      </c>
      <c r="O217" s="284">
        <f t="shared" si="423"/>
        <v>9.8212748354902395</v>
      </c>
      <c r="P217" s="284">
        <f t="shared" si="423"/>
        <v>7.5003520676968254</v>
      </c>
      <c r="Q217" s="284">
        <f t="shared" ref="Q217:S217" si="424">SUM(Q127:Q138,Q141:Q152)</f>
        <v>75.305541892989694</v>
      </c>
      <c r="R217" s="284">
        <f t="shared" si="424"/>
        <v>-15.280425382806436</v>
      </c>
      <c r="S217" s="284">
        <f t="shared" si="424"/>
        <v>-13.108991883469402</v>
      </c>
      <c r="T217" s="284">
        <f t="shared" ref="T217:U217" si="425">SUM(T127:T138,T141:T152)</f>
        <v>-15.280425382806436</v>
      </c>
      <c r="U217" s="284">
        <f t="shared" si="425"/>
        <v>-15.280425382806436</v>
      </c>
      <c r="V217" s="284">
        <f t="shared" ref="V217:W217" si="426">SUM(V127:V138,V141:V152)</f>
        <v>-13.108991883469402</v>
      </c>
      <c r="W217" s="284">
        <f t="shared" si="426"/>
        <v>-13.108991883469402</v>
      </c>
      <c r="X217" s="284">
        <f t="shared" ref="X217:Y217" si="427">SUM(X127:X138,X141:X152)</f>
        <v>-8.1964824270810812</v>
      </c>
      <c r="Y217" s="284">
        <f t="shared" si="427"/>
        <v>-8.1964824270810812</v>
      </c>
      <c r="Z217" s="268"/>
      <c r="AA217" s="268"/>
    </row>
    <row r="218" spans="2:27" x14ac:dyDescent="0.25">
      <c r="D218"/>
      <c r="F218" t="s">
        <v>617</v>
      </c>
      <c r="G218" t="s">
        <v>270</v>
      </c>
      <c r="H218" s="268"/>
      <c r="I218" s="268"/>
      <c r="J218" s="284">
        <f t="shared" ref="J218:K218" si="428">SUM(J157:J168,J171:J182)</f>
        <v>2.0255668188196898</v>
      </c>
      <c r="K218" s="284">
        <f t="shared" si="428"/>
        <v>2.0255668188196898</v>
      </c>
      <c r="L218" s="284">
        <f t="shared" ref="L218:M218" si="429">SUM(L157:L168,L171:L182)</f>
        <v>1.9816450993552617</v>
      </c>
      <c r="M218" s="284">
        <f t="shared" si="429"/>
        <v>1.9816450993552617</v>
      </c>
      <c r="N218" s="284">
        <f t="shared" ref="N218:P218" si="430">SUM(N157:N168,N171:N182)</f>
        <v>1.0970359548046356</v>
      </c>
      <c r="O218" s="284">
        <f t="shared" si="430"/>
        <v>0.49592572828189158</v>
      </c>
      <c r="P218" s="284">
        <f t="shared" si="430"/>
        <v>0.28752383061602405</v>
      </c>
      <c r="Q218" s="284">
        <f t="shared" ref="Q218:S218" si="431">SUM(Q157:Q168,Q171:Q182)</f>
        <v>3.6473004752013618</v>
      </c>
      <c r="R218" s="284">
        <f t="shared" si="431"/>
        <v>-1.2187972371241318</v>
      </c>
      <c r="S218" s="284">
        <f t="shared" si="431"/>
        <v>-0.97486597250895268</v>
      </c>
      <c r="T218" s="284">
        <f t="shared" ref="T218:U218" si="432">SUM(T157:T168,T171:T182)</f>
        <v>-1.2187972371241318</v>
      </c>
      <c r="U218" s="284">
        <f t="shared" si="432"/>
        <v>-1.2187972371241318</v>
      </c>
      <c r="V218" s="284">
        <f t="shared" ref="V218:W218" si="433">SUM(V157:V168,V171:V182)</f>
        <v>-0.97486597250895268</v>
      </c>
      <c r="W218" s="284">
        <f t="shared" si="433"/>
        <v>-0.97486597250895268</v>
      </c>
      <c r="X218" s="284">
        <f t="shared" ref="X218:Y218" si="434">SUM(X157:X168,X171:X182)</f>
        <v>-0.41388176026916063</v>
      </c>
      <c r="Y218" s="284">
        <f t="shared" si="434"/>
        <v>-0.41388176026916063</v>
      </c>
      <c r="Z218" s="268"/>
      <c r="AA218" s="268"/>
    </row>
    <row r="219" spans="2:27" x14ac:dyDescent="0.25">
      <c r="D219"/>
      <c r="F219" s="96" t="s">
        <v>618</v>
      </c>
      <c r="G219" s="96" t="s">
        <v>270</v>
      </c>
      <c r="H219" s="270"/>
      <c r="I219" s="270"/>
      <c r="J219" s="285">
        <f t="shared" ref="J219:K219" si="435">SUM(J187:J198,J201:J212)</f>
        <v>0.20028453291725412</v>
      </c>
      <c r="K219" s="285">
        <f t="shared" si="435"/>
        <v>0.20028453291725412</v>
      </c>
      <c r="L219" s="285">
        <f t="shared" ref="L219:M219" si="436">SUM(L187:L198,L201:L212)</f>
        <v>0.19594162949579028</v>
      </c>
      <c r="M219" s="285">
        <f t="shared" si="436"/>
        <v>0.19594162949579028</v>
      </c>
      <c r="N219" s="285">
        <f t="shared" ref="N219:P219" si="437">SUM(N187:N198,N201:N212)</f>
        <v>0.11055342216280105</v>
      </c>
      <c r="O219" s="285">
        <f t="shared" si="437"/>
        <v>5.3511450595281604E-2</v>
      </c>
      <c r="P219" s="285">
        <f t="shared" si="437"/>
        <v>3.3267489359390272E-2</v>
      </c>
      <c r="Q219" s="285">
        <f t="shared" ref="Q219:S219" si="438">SUM(Q187:Q198,Q201:Q212)</f>
        <v>1.5593410910780692</v>
      </c>
      <c r="R219" s="285">
        <f t="shared" si="438"/>
        <v>-0.12051255633249795</v>
      </c>
      <c r="S219" s="285">
        <f t="shared" si="438"/>
        <v>-9.7494314339578544E-2</v>
      </c>
      <c r="T219" s="285">
        <f t="shared" ref="T219:U219" si="439">SUM(T187:T198,T201:T212)</f>
        <v>-0.12051255633249795</v>
      </c>
      <c r="U219" s="285">
        <f t="shared" si="439"/>
        <v>-0.12051255633249795</v>
      </c>
      <c r="V219" s="285">
        <f t="shared" ref="V219:W219" si="440">SUM(V187:V198,V201:V212)</f>
        <v>-9.7494314339578544E-2</v>
      </c>
      <c r="W219" s="285">
        <f t="shared" si="440"/>
        <v>-9.7494314339578544E-2</v>
      </c>
      <c r="X219" s="285">
        <f t="shared" ref="X219:Y219" si="441">SUM(X187:X198,X201:X212)</f>
        <v>-4.4658730337826823E-2</v>
      </c>
      <c r="Y219" s="285">
        <f t="shared" si="441"/>
        <v>-4.4658730337826823E-2</v>
      </c>
      <c r="Z219" s="268"/>
      <c r="AA219" s="268"/>
    </row>
    <row r="221" spans="2:27" x14ac:dyDescent="0.25">
      <c r="B221" s="85" t="s">
        <v>232</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233</v>
      </c>
      <c r="G223" s="6" t="s">
        <v>57</v>
      </c>
      <c r="H223" s="113">
        <f t="array" ref="H223">SUM(IF(ISERROR(H22:Y219), 1))</f>
        <v>0</v>
      </c>
      <c r="AA223" s="3"/>
    </row>
    <row r="225" spans="2:27" x14ac:dyDescent="0.25">
      <c r="B225" s="85" t="s">
        <v>108</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643</v>
      </c>
      <c r="E9"/>
    </row>
    <row r="10" spans="1:27" x14ac:dyDescent="0.25">
      <c r="D10" s="86" t="s">
        <v>644</v>
      </c>
      <c r="E10"/>
    </row>
    <row r="11" spans="1:27" x14ac:dyDescent="0.25">
      <c r="D11" s="86" t="s">
        <v>645</v>
      </c>
      <c r="E11"/>
    </row>
    <row r="12" spans="1:27" x14ac:dyDescent="0.25">
      <c r="D12" s="86" t="s">
        <v>646</v>
      </c>
      <c r="E12"/>
    </row>
    <row r="13" spans="1:27" x14ac:dyDescent="0.25">
      <c r="D13" s="86" t="s">
        <v>647</v>
      </c>
      <c r="E13"/>
    </row>
    <row r="14" spans="1:27" x14ac:dyDescent="0.25">
      <c r="D14" s="86" t="s">
        <v>648</v>
      </c>
      <c r="E14"/>
    </row>
    <row r="15" spans="1:27" x14ac:dyDescent="0.25">
      <c r="D15" s="86" t="s">
        <v>649</v>
      </c>
    </row>
    <row r="17" spans="2:27" x14ac:dyDescent="0.25">
      <c r="B17" s="85" t="s">
        <v>650</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control'!$H$42:$H$65,MATCH($A$1,'Version control'!$F$42:$F$65,0),1)&amp;"-A: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651</v>
      </c>
      <c r="F21" s="2"/>
    </row>
    <row r="22" spans="2:27" x14ac:dyDescent="0.25">
      <c r="D22"/>
      <c r="E22" s="86" t="s">
        <v>652</v>
      </c>
      <c r="F22" s="2"/>
    </row>
    <row r="23" spans="2:27" x14ac:dyDescent="0.25">
      <c r="C23" s="105"/>
      <c r="F23" s="145" t="s">
        <v>190</v>
      </c>
      <c r="G23" s="145" t="s">
        <v>168</v>
      </c>
      <c r="H23" s="287">
        <f>'System peak demand'!H226</f>
        <v>2.200000000000002E-2</v>
      </c>
    </row>
    <row r="24" spans="2:27" x14ac:dyDescent="0.25">
      <c r="C24" s="105"/>
      <c r="F24" t="s">
        <v>192</v>
      </c>
      <c r="G24" t="s">
        <v>168</v>
      </c>
      <c r="H24" s="155">
        <f>'System peak demand'!H226</f>
        <v>2.200000000000002E-2</v>
      </c>
    </row>
    <row r="25" spans="2:27" x14ac:dyDescent="0.25">
      <c r="C25" s="105"/>
      <c r="F25" t="s">
        <v>193</v>
      </c>
      <c r="G25" t="s">
        <v>168</v>
      </c>
      <c r="H25" s="155">
        <f>'System peak demand'!H227</f>
        <v>5.3682000000000007E-2</v>
      </c>
    </row>
    <row r="26" spans="2:27" x14ac:dyDescent="0.25">
      <c r="C26" s="105"/>
      <c r="F26" t="s">
        <v>194</v>
      </c>
      <c r="G26" t="s">
        <v>168</v>
      </c>
      <c r="H26" s="155">
        <f>'System peak demand'!H228</f>
        <v>5.3682000000000007E-2</v>
      </c>
    </row>
    <row r="27" spans="2:27" x14ac:dyDescent="0.25">
      <c r="C27" s="105"/>
      <c r="F27" t="s">
        <v>195</v>
      </c>
      <c r="G27" t="s">
        <v>168</v>
      </c>
      <c r="H27" s="155">
        <f>'System peak demand'!H229</f>
        <v>0.13270815000000002</v>
      </c>
    </row>
    <row r="28" spans="2:27" x14ac:dyDescent="0.25">
      <c r="C28" s="105"/>
      <c r="F28" t="s">
        <v>196</v>
      </c>
      <c r="G28" t="s">
        <v>168</v>
      </c>
      <c r="H28" s="155">
        <f>'System peak demand'!H230</f>
        <v>0.13270815000000002</v>
      </c>
    </row>
    <row r="29" spans="2:27" x14ac:dyDescent="0.25">
      <c r="C29" s="105"/>
      <c r="F29" t="s">
        <v>197</v>
      </c>
      <c r="G29" t="s">
        <v>168</v>
      </c>
      <c r="H29" s="155">
        <f>'System peak demand'!H231</f>
        <v>5.3682000000000007E-2</v>
      </c>
    </row>
    <row r="30" spans="2:27" x14ac:dyDescent="0.25">
      <c r="C30" s="105"/>
      <c r="F30" t="s">
        <v>198</v>
      </c>
      <c r="G30" t="s">
        <v>168</v>
      </c>
      <c r="H30" s="155">
        <f>'System peak demand'!H232</f>
        <v>0.55181016550000006</v>
      </c>
    </row>
    <row r="31" spans="2:27" x14ac:dyDescent="0.25">
      <c r="C31" s="105"/>
      <c r="F31" t="s">
        <v>199</v>
      </c>
      <c r="G31" t="s">
        <v>168</v>
      </c>
      <c r="H31" s="155">
        <f>'System peak demand'!H233</f>
        <v>0.55181016550000006</v>
      </c>
    </row>
    <row r="32" spans="2:27" x14ac:dyDescent="0.25">
      <c r="C32" s="105"/>
      <c r="F32" t="s">
        <v>200</v>
      </c>
      <c r="G32" t="s">
        <v>168</v>
      </c>
      <c r="H32" s="155">
        <f>'System peak demand'!H234</f>
        <v>0.5475255457503736</v>
      </c>
    </row>
    <row r="33" spans="3:8" x14ac:dyDescent="0.25">
      <c r="C33" s="105"/>
      <c r="F33" t="s">
        <v>335</v>
      </c>
      <c r="G33" t="s">
        <v>168</v>
      </c>
      <c r="H33" s="100"/>
    </row>
    <row r="34" spans="3:8" x14ac:dyDescent="0.25">
      <c r="C34" s="105"/>
      <c r="F34" s="96" t="s">
        <v>336</v>
      </c>
      <c r="G34" s="96" t="s">
        <v>168</v>
      </c>
      <c r="H34" s="102"/>
    </row>
    <row r="35" spans="3:8" x14ac:dyDescent="0.25">
      <c r="C35" s="105"/>
      <c r="F35" s="2"/>
    </row>
    <row r="36" spans="3:8" x14ac:dyDescent="0.25">
      <c r="E36" s="105" t="s">
        <v>353</v>
      </c>
      <c r="F36" s="2"/>
    </row>
    <row r="37" spans="3:8" x14ac:dyDescent="0.25">
      <c r="C37" s="105"/>
      <c r="F37" s="95" t="s">
        <v>190</v>
      </c>
      <c r="G37" s="98" t="s">
        <v>284</v>
      </c>
      <c r="H37" s="171">
        <f t="array" ref="H37:H46">TRANSPOSE('Load &amp; loss characteristics'!J29:S29)</f>
        <v>1</v>
      </c>
    </row>
    <row r="38" spans="3:8" x14ac:dyDescent="0.25">
      <c r="C38" s="105"/>
      <c r="F38" t="s">
        <v>192</v>
      </c>
      <c r="G38" s="94" t="s">
        <v>284</v>
      </c>
      <c r="H38" s="167">
        <v>1</v>
      </c>
    </row>
    <row r="39" spans="3:8" x14ac:dyDescent="0.25">
      <c r="C39" s="105"/>
      <c r="F39" t="s">
        <v>193</v>
      </c>
      <c r="G39" s="94" t="s">
        <v>284</v>
      </c>
      <c r="H39" s="167">
        <v>1.0009999999999999</v>
      </c>
    </row>
    <row r="40" spans="3:8" x14ac:dyDescent="0.25">
      <c r="C40" s="105"/>
      <c r="F40" t="s">
        <v>194</v>
      </c>
      <c r="G40" s="94" t="s">
        <v>284</v>
      </c>
      <c r="H40" s="167">
        <v>1.0049999999999999</v>
      </c>
    </row>
    <row r="41" spans="3:8" x14ac:dyDescent="0.25">
      <c r="C41" s="105"/>
      <c r="F41" t="s">
        <v>195</v>
      </c>
      <c r="G41" s="94" t="s">
        <v>284</v>
      </c>
      <c r="H41" s="167">
        <v>1.012</v>
      </c>
    </row>
    <row r="42" spans="3:8" x14ac:dyDescent="0.25">
      <c r="C42" s="105"/>
      <c r="F42" t="s">
        <v>196</v>
      </c>
      <c r="G42" s="94" t="s">
        <v>284</v>
      </c>
      <c r="H42" s="167">
        <v>1.018</v>
      </c>
    </row>
    <row r="43" spans="3:8" x14ac:dyDescent="0.25">
      <c r="C43" s="105"/>
      <c r="F43" t="s">
        <v>197</v>
      </c>
      <c r="G43" s="94" t="s">
        <v>284</v>
      </c>
      <c r="H43" s="167">
        <v>1.018</v>
      </c>
    </row>
    <row r="44" spans="3:8" x14ac:dyDescent="0.25">
      <c r="C44" s="105"/>
      <c r="F44" t="s">
        <v>198</v>
      </c>
      <c r="G44" s="94" t="s">
        <v>284</v>
      </c>
      <c r="H44" s="167">
        <v>1.034</v>
      </c>
    </row>
    <row r="45" spans="3:8" x14ac:dyDescent="0.25">
      <c r="C45" s="105"/>
      <c r="F45" t="s">
        <v>199</v>
      </c>
      <c r="G45" s="94" t="s">
        <v>284</v>
      </c>
      <c r="H45" s="167">
        <v>1.048</v>
      </c>
    </row>
    <row r="46" spans="3:8" x14ac:dyDescent="0.25">
      <c r="C46" s="105"/>
      <c r="F46" t="s">
        <v>200</v>
      </c>
      <c r="G46" s="94" t="s">
        <v>284</v>
      </c>
      <c r="H46" s="167">
        <v>1.0620000000000001</v>
      </c>
    </row>
    <row r="47" spans="3:8" x14ac:dyDescent="0.25">
      <c r="C47" s="105"/>
      <c r="F47" t="s">
        <v>335</v>
      </c>
      <c r="G47" s="94" t="s">
        <v>284</v>
      </c>
      <c r="H47" s="119"/>
    </row>
    <row r="48" spans="3:8" x14ac:dyDescent="0.25">
      <c r="C48" s="105"/>
      <c r="F48" s="96" t="s">
        <v>336</v>
      </c>
      <c r="G48" s="101" t="s">
        <v>284</v>
      </c>
      <c r="H48" s="121"/>
    </row>
    <row r="49" spans="3:8" x14ac:dyDescent="0.25">
      <c r="C49" s="105"/>
      <c r="F49" s="2"/>
      <c r="H49" s="106"/>
    </row>
    <row r="50" spans="3:8" x14ac:dyDescent="0.25">
      <c r="C50" s="105"/>
      <c r="E50" s="105" t="s">
        <v>542</v>
      </c>
      <c r="H50" s="106"/>
    </row>
    <row r="51" spans="3:8" x14ac:dyDescent="0.25">
      <c r="C51" s="105"/>
      <c r="E51" s="86"/>
      <c r="F51" s="95" t="s">
        <v>190</v>
      </c>
      <c r="G51" s="95" t="s">
        <v>543</v>
      </c>
      <c r="H51" s="117"/>
    </row>
    <row r="52" spans="3:8" x14ac:dyDescent="0.25">
      <c r="C52" s="105"/>
      <c r="E52" s="86"/>
      <c r="F52" t="s">
        <v>192</v>
      </c>
      <c r="G52" t="s">
        <v>543</v>
      </c>
      <c r="H52" s="119"/>
    </row>
    <row r="53" spans="3:8" x14ac:dyDescent="0.25">
      <c r="C53" s="105"/>
      <c r="E53" s="86"/>
      <c r="F53" t="s">
        <v>193</v>
      </c>
      <c r="G53" t="s">
        <v>543</v>
      </c>
      <c r="H53" s="167">
        <f t="array" ref="H53:H60">TRANSPOSE('Unit costs'!L114:S114)</f>
        <v>15.12122136240697</v>
      </c>
    </row>
    <row r="54" spans="3:8" x14ac:dyDescent="0.25">
      <c r="C54" s="105"/>
      <c r="E54" s="86"/>
      <c r="F54" t="s">
        <v>194</v>
      </c>
      <c r="G54" t="s">
        <v>543</v>
      </c>
      <c r="H54" s="167">
        <v>2.1746413888898428</v>
      </c>
    </row>
    <row r="55" spans="3:8" x14ac:dyDescent="0.25">
      <c r="C55" s="105"/>
      <c r="E55" s="86"/>
      <c r="F55" t="s">
        <v>195</v>
      </c>
      <c r="G55" t="s">
        <v>543</v>
      </c>
      <c r="H55" s="167">
        <v>7.0021558662936085</v>
      </c>
    </row>
    <row r="56" spans="3:8" x14ac:dyDescent="0.25">
      <c r="C56" s="105"/>
      <c r="E56" s="86"/>
      <c r="F56" t="s">
        <v>196</v>
      </c>
      <c r="G56" t="s">
        <v>543</v>
      </c>
      <c r="H56" s="167">
        <v>5.5712557651603305</v>
      </c>
    </row>
    <row r="57" spans="3:8" x14ac:dyDescent="0.25">
      <c r="C57" s="105"/>
      <c r="E57" s="86"/>
      <c r="F57" t="s">
        <v>197</v>
      </c>
      <c r="G57" t="s">
        <v>543</v>
      </c>
      <c r="H57" s="167">
        <v>0</v>
      </c>
    </row>
    <row r="58" spans="3:8" x14ac:dyDescent="0.25">
      <c r="C58" s="105"/>
      <c r="E58" s="86"/>
      <c r="F58" t="s">
        <v>198</v>
      </c>
      <c r="G58" t="s">
        <v>543</v>
      </c>
      <c r="H58" s="167">
        <v>26.058914094438997</v>
      </c>
    </row>
    <row r="59" spans="3:8" x14ac:dyDescent="0.25">
      <c r="C59" s="105"/>
      <c r="E59" s="86"/>
      <c r="F59" t="s">
        <v>199</v>
      </c>
      <c r="G59" t="s">
        <v>543</v>
      </c>
      <c r="H59" s="167">
        <v>10.836342404128287</v>
      </c>
    </row>
    <row r="60" spans="3:8" x14ac:dyDescent="0.25">
      <c r="C60" s="105"/>
      <c r="E60" s="86"/>
      <c r="F60" t="s">
        <v>200</v>
      </c>
      <c r="G60" t="s">
        <v>543</v>
      </c>
      <c r="H60" s="167">
        <v>27.099220777353036</v>
      </c>
    </row>
    <row r="61" spans="3:8" x14ac:dyDescent="0.25">
      <c r="C61" s="105"/>
      <c r="E61" s="86"/>
      <c r="F61" t="s">
        <v>335</v>
      </c>
      <c r="G61" t="s">
        <v>543</v>
      </c>
      <c r="H61" s="119"/>
    </row>
    <row r="62" spans="3:8" x14ac:dyDescent="0.25">
      <c r="C62" s="105"/>
      <c r="E62" s="86"/>
      <c r="F62" s="96" t="s">
        <v>336</v>
      </c>
      <c r="G62" s="96" t="s">
        <v>543</v>
      </c>
      <c r="H62" s="121"/>
    </row>
    <row r="63" spans="3:8" x14ac:dyDescent="0.25">
      <c r="C63" s="105"/>
      <c r="D63"/>
      <c r="E63" s="86"/>
      <c r="H63" s="106"/>
    </row>
    <row r="64" spans="3:8" x14ac:dyDescent="0.25">
      <c r="C64" s="105"/>
      <c r="E64" s="105" t="s">
        <v>561</v>
      </c>
      <c r="H64" s="106"/>
    </row>
    <row r="65" spans="3:25" x14ac:dyDescent="0.25">
      <c r="C65" s="105"/>
      <c r="F65" s="95" t="s">
        <v>190</v>
      </c>
      <c r="G65" s="95" t="s">
        <v>543</v>
      </c>
      <c r="H65" s="171">
        <f t="array" ref="H65:H74">TRANSPOSE('Unit costs'!J115:S115)</f>
        <v>4.8157378042902286</v>
      </c>
    </row>
    <row r="66" spans="3:25" x14ac:dyDescent="0.25">
      <c r="C66" s="105"/>
      <c r="F66" t="s">
        <v>192</v>
      </c>
      <c r="G66" t="s">
        <v>543</v>
      </c>
      <c r="H66" s="167">
        <v>0</v>
      </c>
    </row>
    <row r="67" spans="3:25" x14ac:dyDescent="0.25">
      <c r="C67" s="105"/>
      <c r="F67" t="s">
        <v>193</v>
      </c>
      <c r="G67" t="s">
        <v>543</v>
      </c>
      <c r="H67" s="167">
        <v>11.708815246825228</v>
      </c>
    </row>
    <row r="68" spans="3:25" x14ac:dyDescent="0.25">
      <c r="C68" s="105"/>
      <c r="F68" t="s">
        <v>194</v>
      </c>
      <c r="G68" t="s">
        <v>543</v>
      </c>
      <c r="H68" s="167">
        <v>1.6838900536112194</v>
      </c>
    </row>
    <row r="69" spans="3:25" x14ac:dyDescent="0.25">
      <c r="C69" s="105"/>
      <c r="F69" t="s">
        <v>195</v>
      </c>
      <c r="G69" t="s">
        <v>543</v>
      </c>
      <c r="H69" s="167">
        <v>5.42197930993418</v>
      </c>
    </row>
    <row r="70" spans="3:25" x14ac:dyDescent="0.25">
      <c r="C70" s="105"/>
      <c r="F70" t="s">
        <v>196</v>
      </c>
      <c r="G70" t="s">
        <v>543</v>
      </c>
      <c r="H70" s="167">
        <v>4.313990443209053</v>
      </c>
    </row>
    <row r="71" spans="3:25" x14ac:dyDescent="0.25">
      <c r="C71" s="105"/>
      <c r="F71" t="s">
        <v>197</v>
      </c>
      <c r="G71" t="s">
        <v>543</v>
      </c>
      <c r="H71" s="167">
        <v>0</v>
      </c>
    </row>
    <row r="72" spans="3:25" x14ac:dyDescent="0.25">
      <c r="C72" s="105"/>
      <c r="F72" t="s">
        <v>198</v>
      </c>
      <c r="G72" t="s">
        <v>543</v>
      </c>
      <c r="H72" s="167">
        <v>20.178198794393406</v>
      </c>
    </row>
    <row r="73" spans="3:25" x14ac:dyDescent="0.25">
      <c r="C73" s="105"/>
      <c r="F73" t="s">
        <v>199</v>
      </c>
      <c r="G73" t="s">
        <v>543</v>
      </c>
      <c r="H73" s="167">
        <v>8.3909049487705794</v>
      </c>
    </row>
    <row r="74" spans="3:25" x14ac:dyDescent="0.25">
      <c r="C74" s="105"/>
      <c r="F74" t="s">
        <v>200</v>
      </c>
      <c r="G74" t="s">
        <v>543</v>
      </c>
      <c r="H74" s="167">
        <v>20.983739461932394</v>
      </c>
    </row>
    <row r="75" spans="3:25" x14ac:dyDescent="0.25">
      <c r="C75" s="105"/>
      <c r="F75" t="s">
        <v>335</v>
      </c>
      <c r="G75" t="s">
        <v>543</v>
      </c>
      <c r="H75" s="119"/>
    </row>
    <row r="76" spans="3:25" x14ac:dyDescent="0.25">
      <c r="C76" s="105"/>
      <c r="F76" s="96" t="s">
        <v>336</v>
      </c>
      <c r="G76" s="96" t="s">
        <v>543</v>
      </c>
      <c r="H76" s="121"/>
    </row>
    <row r="77" spans="3:25" x14ac:dyDescent="0.25">
      <c r="C77" s="105"/>
      <c r="F77" s="2"/>
    </row>
    <row r="78" spans="3:25" x14ac:dyDescent="0.25">
      <c r="E78" s="75" t="s">
        <v>367</v>
      </c>
      <c r="F78" s="2"/>
    </row>
    <row r="79" spans="3:25" x14ac:dyDescent="0.25">
      <c r="E79" s="86" t="s">
        <v>360</v>
      </c>
    </row>
    <row r="80" spans="3:25" x14ac:dyDescent="0.25">
      <c r="C80" s="105"/>
      <c r="F80" s="95" t="s">
        <v>190</v>
      </c>
      <c r="G80" s="98" t="s">
        <v>284</v>
      </c>
      <c r="H80" s="288"/>
      <c r="I80" s="288"/>
      <c r="J80" s="171">
        <f t="array" ref="J80:Y89">TRANSPOSE('Load &amp; loss characteristics'!J145:S160)</f>
        <v>1.0620000000000001</v>
      </c>
      <c r="K80" s="171">
        <v>1.0620000000000001</v>
      </c>
      <c r="L80" s="171">
        <v>1.0620000000000001</v>
      </c>
      <c r="M80" s="171">
        <v>1.0620000000000001</v>
      </c>
      <c r="N80" s="171">
        <v>1.0620000000000001</v>
      </c>
      <c r="O80" s="171">
        <v>1.048</v>
      </c>
      <c r="P80" s="171">
        <v>1.034</v>
      </c>
      <c r="Q80" s="171">
        <v>1.0620000000000001</v>
      </c>
      <c r="R80" s="171">
        <v>-1.0620000000000001</v>
      </c>
      <c r="S80" s="171">
        <v>-1.048</v>
      </c>
      <c r="T80" s="171">
        <v>-1.0620000000000001</v>
      </c>
      <c r="U80" s="171">
        <v>-1.0620000000000001</v>
      </c>
      <c r="V80" s="171">
        <v>-1.048</v>
      </c>
      <c r="W80" s="171">
        <v>-1.048</v>
      </c>
      <c r="X80" s="171">
        <v>-1.034</v>
      </c>
      <c r="Y80" s="171">
        <v>-1.034</v>
      </c>
    </row>
    <row r="81" spans="3:42" x14ac:dyDescent="0.25">
      <c r="C81" s="105"/>
      <c r="F81" t="s">
        <v>192</v>
      </c>
      <c r="G81" s="94" t="s">
        <v>284</v>
      </c>
      <c r="H81" s="289"/>
      <c r="I81" s="289"/>
      <c r="J81" s="167">
        <v>1.0620000000000001</v>
      </c>
      <c r="K81" s="167">
        <v>1.0620000000000001</v>
      </c>
      <c r="L81" s="167">
        <v>1.0620000000000001</v>
      </c>
      <c r="M81" s="167">
        <v>1.0620000000000001</v>
      </c>
      <c r="N81" s="167">
        <v>1.0620000000000001</v>
      </c>
      <c r="O81" s="167">
        <v>1.048</v>
      </c>
      <c r="P81" s="167">
        <v>1.034</v>
      </c>
      <c r="Q81" s="167">
        <v>1.0620000000000001</v>
      </c>
      <c r="R81" s="167">
        <v>-1.0620000000000001</v>
      </c>
      <c r="S81" s="167">
        <v>-1.048</v>
      </c>
      <c r="T81" s="167">
        <v>-1.0620000000000001</v>
      </c>
      <c r="U81" s="167">
        <v>-1.0620000000000001</v>
      </c>
      <c r="V81" s="167">
        <v>-1.048</v>
      </c>
      <c r="W81" s="167">
        <v>-1.048</v>
      </c>
      <c r="X81" s="167">
        <v>-1.034</v>
      </c>
      <c r="Y81" s="167">
        <v>-1.034</v>
      </c>
    </row>
    <row r="82" spans="3:42" x14ac:dyDescent="0.25">
      <c r="C82" s="105"/>
      <c r="F82" t="s">
        <v>193</v>
      </c>
      <c r="G82" s="94" t="s">
        <v>284</v>
      </c>
      <c r="H82" s="289"/>
      <c r="I82" s="289"/>
      <c r="J82" s="167">
        <v>1.0620000000000001</v>
      </c>
      <c r="K82" s="167">
        <v>1.0620000000000001</v>
      </c>
      <c r="L82" s="167">
        <v>1.0620000000000001</v>
      </c>
      <c r="M82" s="167">
        <v>1.0620000000000001</v>
      </c>
      <c r="N82" s="167">
        <v>1.0620000000000001</v>
      </c>
      <c r="O82" s="167">
        <v>1.048</v>
      </c>
      <c r="P82" s="167">
        <v>1.034</v>
      </c>
      <c r="Q82" s="167">
        <v>1.0620000000000001</v>
      </c>
      <c r="R82" s="167">
        <v>-1.0620000000000001</v>
      </c>
      <c r="S82" s="167">
        <v>-1.048</v>
      </c>
      <c r="T82" s="167">
        <v>-1.0620000000000001</v>
      </c>
      <c r="U82" s="167">
        <v>-1.0620000000000001</v>
      </c>
      <c r="V82" s="167">
        <v>-1.048</v>
      </c>
      <c r="W82" s="167">
        <v>-1.048</v>
      </c>
      <c r="X82" s="167">
        <v>-1.034</v>
      </c>
      <c r="Y82" s="167">
        <v>-1.034</v>
      </c>
    </row>
    <row r="83" spans="3:42" x14ac:dyDescent="0.25">
      <c r="C83" s="105"/>
      <c r="F83" t="s">
        <v>194</v>
      </c>
      <c r="G83" s="94" t="s">
        <v>284</v>
      </c>
      <c r="H83" s="289"/>
      <c r="I83" s="289"/>
      <c r="J83" s="167">
        <v>1.0620000000000001</v>
      </c>
      <c r="K83" s="167">
        <v>1.0620000000000001</v>
      </c>
      <c r="L83" s="167">
        <v>1.0620000000000001</v>
      </c>
      <c r="M83" s="167">
        <v>1.0620000000000001</v>
      </c>
      <c r="N83" s="167">
        <v>1.0620000000000001</v>
      </c>
      <c r="O83" s="167">
        <v>1.048</v>
      </c>
      <c r="P83" s="167">
        <v>1.034</v>
      </c>
      <c r="Q83" s="167">
        <v>1.0620000000000001</v>
      </c>
      <c r="R83" s="167">
        <v>-1.0620000000000001</v>
      </c>
      <c r="S83" s="167">
        <v>-1.048</v>
      </c>
      <c r="T83" s="167">
        <v>-1.0620000000000001</v>
      </c>
      <c r="U83" s="167">
        <v>-1.0620000000000001</v>
      </c>
      <c r="V83" s="167">
        <v>-1.048</v>
      </c>
      <c r="W83" s="167">
        <v>-1.048</v>
      </c>
      <c r="X83" s="167">
        <v>-1.034</v>
      </c>
      <c r="Y83" s="167">
        <v>-1.034</v>
      </c>
    </row>
    <row r="84" spans="3:42" x14ac:dyDescent="0.25">
      <c r="C84" s="105"/>
      <c r="F84" t="s">
        <v>195</v>
      </c>
      <c r="G84" s="94" t="s">
        <v>284</v>
      </c>
      <c r="H84" s="289"/>
      <c r="I84" s="289"/>
      <c r="J84" s="167">
        <v>1.0620000000000001</v>
      </c>
      <c r="K84" s="167">
        <v>1.0620000000000001</v>
      </c>
      <c r="L84" s="167">
        <v>1.0620000000000001</v>
      </c>
      <c r="M84" s="167">
        <v>1.0620000000000001</v>
      </c>
      <c r="N84" s="167">
        <v>1.0620000000000001</v>
      </c>
      <c r="O84" s="167">
        <v>1.048</v>
      </c>
      <c r="P84" s="167">
        <v>1.034</v>
      </c>
      <c r="Q84" s="167">
        <v>1.0620000000000001</v>
      </c>
      <c r="R84" s="167">
        <v>-1.0620000000000001</v>
      </c>
      <c r="S84" s="167">
        <v>-1.048</v>
      </c>
      <c r="T84" s="167">
        <v>-1.0620000000000001</v>
      </c>
      <c r="U84" s="167">
        <v>-1.0620000000000001</v>
      </c>
      <c r="V84" s="167">
        <v>-1.048</v>
      </c>
      <c r="W84" s="167">
        <v>-1.048</v>
      </c>
      <c r="X84" s="167">
        <v>-1.034</v>
      </c>
      <c r="Y84" s="167">
        <v>-1.034</v>
      </c>
    </row>
    <row r="85" spans="3:42" x14ac:dyDescent="0.25">
      <c r="C85" s="105"/>
      <c r="F85" t="s">
        <v>196</v>
      </c>
      <c r="G85" s="94" t="s">
        <v>284</v>
      </c>
      <c r="H85" s="289"/>
      <c r="I85" s="289"/>
      <c r="J85" s="167">
        <v>1.0620000000000001</v>
      </c>
      <c r="K85" s="167">
        <v>1.0620000000000001</v>
      </c>
      <c r="L85" s="167">
        <v>1.0620000000000001</v>
      </c>
      <c r="M85" s="167">
        <v>1.0620000000000001</v>
      </c>
      <c r="N85" s="167">
        <v>1.0620000000000001</v>
      </c>
      <c r="O85" s="167">
        <v>1.048</v>
      </c>
      <c r="P85" s="167">
        <v>1.034</v>
      </c>
      <c r="Q85" s="167">
        <v>1.0620000000000001</v>
      </c>
      <c r="R85" s="167">
        <v>-1.0620000000000001</v>
      </c>
      <c r="S85" s="167">
        <v>-1.048</v>
      </c>
      <c r="T85" s="167">
        <v>-1.0620000000000001</v>
      </c>
      <c r="U85" s="167">
        <v>-1.0620000000000001</v>
      </c>
      <c r="V85" s="167">
        <v>-1.048</v>
      </c>
      <c r="W85" s="167">
        <v>-1.048</v>
      </c>
      <c r="X85" s="167">
        <v>-1.034</v>
      </c>
      <c r="Y85" s="167">
        <v>-1.034</v>
      </c>
    </row>
    <row r="86" spans="3:42" x14ac:dyDescent="0.25">
      <c r="C86" s="105"/>
      <c r="F86" t="s">
        <v>197</v>
      </c>
      <c r="G86" s="94" t="s">
        <v>284</v>
      </c>
      <c r="H86" s="289"/>
      <c r="I86" s="289"/>
      <c r="J86" s="167">
        <v>0</v>
      </c>
      <c r="K86" s="167">
        <v>0</v>
      </c>
      <c r="L86" s="167">
        <v>0</v>
      </c>
      <c r="M86" s="167">
        <v>0</v>
      </c>
      <c r="N86" s="167">
        <v>0</v>
      </c>
      <c r="O86" s="167">
        <v>0</v>
      </c>
      <c r="P86" s="167">
        <v>0</v>
      </c>
      <c r="Q86" s="167">
        <v>0</v>
      </c>
      <c r="R86" s="167">
        <v>0</v>
      </c>
      <c r="S86" s="167">
        <v>0</v>
      </c>
      <c r="T86" s="167">
        <v>0</v>
      </c>
      <c r="U86" s="167">
        <v>0</v>
      </c>
      <c r="V86" s="167">
        <v>0</v>
      </c>
      <c r="W86" s="167">
        <v>0</v>
      </c>
      <c r="X86" s="167">
        <v>0</v>
      </c>
      <c r="Y86" s="167">
        <v>0</v>
      </c>
    </row>
    <row r="87" spans="3:42" x14ac:dyDescent="0.25">
      <c r="C87" s="105"/>
      <c r="F87" t="s">
        <v>198</v>
      </c>
      <c r="G87" s="94" t="s">
        <v>284</v>
      </c>
      <c r="H87" s="289"/>
      <c r="I87" s="289"/>
      <c r="J87" s="167">
        <v>1.0620000000000001</v>
      </c>
      <c r="K87" s="167">
        <v>1.0620000000000001</v>
      </c>
      <c r="L87" s="167">
        <v>1.0620000000000001</v>
      </c>
      <c r="M87" s="167">
        <v>1.0620000000000001</v>
      </c>
      <c r="N87" s="167">
        <v>1.0620000000000001</v>
      </c>
      <c r="O87" s="167">
        <v>1.048</v>
      </c>
      <c r="P87" s="167">
        <v>1.034</v>
      </c>
      <c r="Q87" s="167">
        <v>1.0620000000000001</v>
      </c>
      <c r="R87" s="167">
        <v>-1.0620000000000001</v>
      </c>
      <c r="S87" s="167">
        <v>-1.048</v>
      </c>
      <c r="T87" s="167">
        <v>-1.0620000000000001</v>
      </c>
      <c r="U87" s="167">
        <v>-1.0620000000000001</v>
      </c>
      <c r="V87" s="167">
        <v>-1.048</v>
      </c>
      <c r="W87" s="167">
        <v>-1.048</v>
      </c>
      <c r="X87" s="167">
        <v>0</v>
      </c>
      <c r="Y87" s="167">
        <v>0</v>
      </c>
    </row>
    <row r="88" spans="3:42" x14ac:dyDescent="0.25">
      <c r="C88" s="105"/>
      <c r="F88" t="s">
        <v>199</v>
      </c>
      <c r="G88" s="94" t="s">
        <v>284</v>
      </c>
      <c r="H88" s="289"/>
      <c r="I88" s="289"/>
      <c r="J88" s="167">
        <v>1.0620000000000001</v>
      </c>
      <c r="K88" s="167">
        <v>1.0620000000000001</v>
      </c>
      <c r="L88" s="167">
        <v>1.0620000000000001</v>
      </c>
      <c r="M88" s="167">
        <v>1.0620000000000001</v>
      </c>
      <c r="N88" s="167">
        <v>1.0620000000000001</v>
      </c>
      <c r="O88" s="167">
        <v>1.048</v>
      </c>
      <c r="P88" s="167">
        <v>0</v>
      </c>
      <c r="Q88" s="167">
        <v>1.0620000000000001</v>
      </c>
      <c r="R88" s="167">
        <v>-1.0620000000000001</v>
      </c>
      <c r="S88" s="167">
        <v>0</v>
      </c>
      <c r="T88" s="167">
        <v>-1.0620000000000001</v>
      </c>
      <c r="U88" s="167">
        <v>-1.0620000000000001</v>
      </c>
      <c r="V88" s="167">
        <v>0</v>
      </c>
      <c r="W88" s="167">
        <v>0</v>
      </c>
      <c r="X88" s="167">
        <v>0</v>
      </c>
      <c r="Y88" s="167">
        <v>0</v>
      </c>
    </row>
    <row r="89" spans="3:42" x14ac:dyDescent="0.25">
      <c r="C89" s="105"/>
      <c r="F89" t="s">
        <v>200</v>
      </c>
      <c r="G89" s="94" t="s">
        <v>284</v>
      </c>
      <c r="H89" s="289"/>
      <c r="I89" s="289"/>
      <c r="J89" s="167">
        <v>1.0620000000000001</v>
      </c>
      <c r="K89" s="167">
        <v>1.0620000000000001</v>
      </c>
      <c r="L89" s="167">
        <v>1.0620000000000001</v>
      </c>
      <c r="M89" s="167">
        <v>1.0620000000000001</v>
      </c>
      <c r="N89" s="167">
        <v>1.0620000000000001</v>
      </c>
      <c r="O89" s="167">
        <v>0</v>
      </c>
      <c r="P89" s="167">
        <v>0</v>
      </c>
      <c r="Q89" s="167">
        <v>1.0620000000000001</v>
      </c>
      <c r="R89" s="167">
        <v>0</v>
      </c>
      <c r="S89" s="167">
        <v>0</v>
      </c>
      <c r="T89" s="167">
        <v>0</v>
      </c>
      <c r="U89" s="167">
        <v>0</v>
      </c>
      <c r="V89" s="167">
        <v>0</v>
      </c>
      <c r="W89" s="167">
        <v>0</v>
      </c>
      <c r="X89" s="167">
        <v>0</v>
      </c>
      <c r="Y89" s="167">
        <v>0</v>
      </c>
    </row>
    <row r="90" spans="3:42" x14ac:dyDescent="0.25">
      <c r="C90" s="105"/>
      <c r="F90" t="s">
        <v>335</v>
      </c>
      <c r="G90" s="94" t="s">
        <v>284</v>
      </c>
      <c r="J90" s="119"/>
      <c r="K90" s="119"/>
      <c r="L90" s="119"/>
      <c r="M90" s="119"/>
      <c r="N90" s="119"/>
      <c r="O90" s="119"/>
      <c r="P90" s="119"/>
      <c r="Q90" s="119"/>
      <c r="R90" s="119"/>
      <c r="S90" s="119"/>
      <c r="T90" s="119"/>
      <c r="U90" s="119"/>
      <c r="V90" s="119"/>
      <c r="W90" s="119"/>
      <c r="X90" s="119"/>
      <c r="Y90" s="119"/>
    </row>
    <row r="91" spans="3:42" x14ac:dyDescent="0.25">
      <c r="C91" s="105"/>
      <c r="F91" s="96" t="s">
        <v>336</v>
      </c>
      <c r="G91" s="101" t="s">
        <v>284</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122</v>
      </c>
      <c r="H93" s="62"/>
      <c r="J93" s="97"/>
      <c r="L93" s="97"/>
      <c r="AP93" s="3"/>
    </row>
    <row r="94" spans="3:42" x14ac:dyDescent="0.25">
      <c r="C94" s="75"/>
      <c r="D94"/>
      <c r="E94"/>
      <c r="F94" s="95" t="s">
        <v>192</v>
      </c>
      <c r="G94" s="95" t="s">
        <v>168</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193</v>
      </c>
      <c r="G95" t="s">
        <v>168</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194</v>
      </c>
      <c r="G96" t="s">
        <v>168</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195</v>
      </c>
      <c r="G97" t="s">
        <v>168</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196</v>
      </c>
      <c r="G98" t="s">
        <v>168</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197</v>
      </c>
      <c r="G99" t="s">
        <v>168</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198</v>
      </c>
      <c r="G100" t="s">
        <v>168</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199</v>
      </c>
      <c r="G101" t="s">
        <v>168</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200</v>
      </c>
      <c r="G102" s="96" t="s">
        <v>168</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653</v>
      </c>
    </row>
    <row r="105" spans="3:42" x14ac:dyDescent="0.25">
      <c r="C105" s="105"/>
      <c r="F105" s="95" t="s">
        <v>190</v>
      </c>
      <c r="G105" s="95" t="s">
        <v>168</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192</v>
      </c>
      <c r="G106" t="s">
        <v>168</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193</v>
      </c>
      <c r="G107" t="s">
        <v>168</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194</v>
      </c>
      <c r="G108" t="s">
        <v>168</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195</v>
      </c>
      <c r="G109" t="s">
        <v>168</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196</v>
      </c>
      <c r="G110" t="s">
        <v>168</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197</v>
      </c>
      <c r="G111" t="s">
        <v>168</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198</v>
      </c>
      <c r="G112" t="s">
        <v>168</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199</v>
      </c>
      <c r="G113" t="s">
        <v>168</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200</v>
      </c>
      <c r="G114" t="s">
        <v>168</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335</v>
      </c>
      <c r="G115" t="s">
        <v>168</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336</v>
      </c>
      <c r="G116" s="96" t="s">
        <v>168</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654</v>
      </c>
      <c r="F118" s="2"/>
      <c r="I118" t="s">
        <v>155</v>
      </c>
      <c r="AA118" t="s">
        <v>655</v>
      </c>
    </row>
    <row r="119" spans="2:27" x14ac:dyDescent="0.25">
      <c r="D119"/>
      <c r="E119" s="86" t="s">
        <v>656</v>
      </c>
      <c r="F119" s="2"/>
    </row>
    <row r="120" spans="2:27" x14ac:dyDescent="0.25">
      <c r="D120"/>
      <c r="E120" s="86" t="s">
        <v>657</v>
      </c>
      <c r="F120" s="2"/>
    </row>
    <row r="121" spans="2:27" x14ac:dyDescent="0.25">
      <c r="D121"/>
      <c r="F121" s="95" t="s">
        <v>658</v>
      </c>
      <c r="G121" s="95" t="s">
        <v>631</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659</v>
      </c>
      <c r="G122" t="s">
        <v>631</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228</v>
      </c>
      <c r="G123" s="96" t="s">
        <v>631</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660</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661</v>
      </c>
      <c r="D127"/>
      <c r="E127"/>
    </row>
    <row r="128" spans="2:27" x14ac:dyDescent="0.25">
      <c r="C128" s="105"/>
    </row>
    <row r="129" spans="3:27" x14ac:dyDescent="0.25">
      <c r="C129" s="93" t="str">
        <f ca="1">INDEX('Version control'!$H$42:$H$65,MATCH($A$1,'Version control'!$F$42:$F$65,0),1)&amp;"-B: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579</v>
      </c>
      <c r="I131" t="s">
        <v>155</v>
      </c>
      <c r="AA131" t="s">
        <v>662</v>
      </c>
    </row>
    <row r="132" spans="3:27" x14ac:dyDescent="0.25">
      <c r="C132" s="105"/>
      <c r="F132" s="95" t="s">
        <v>190</v>
      </c>
      <c r="G132" s="95" t="s">
        <v>272</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192</v>
      </c>
      <c r="G133" t="s">
        <v>272</v>
      </c>
      <c r="J133" s="119"/>
      <c r="K133" s="119"/>
      <c r="L133" s="119"/>
      <c r="M133" s="119"/>
      <c r="N133" s="119"/>
      <c r="O133" s="119"/>
      <c r="P133" s="119"/>
      <c r="Q133" s="119"/>
      <c r="R133" s="119"/>
      <c r="S133" s="119"/>
      <c r="T133" s="119"/>
      <c r="U133" s="119"/>
      <c r="V133" s="119"/>
      <c r="W133" s="119"/>
      <c r="X133" s="119"/>
      <c r="Y133" s="119"/>
    </row>
    <row r="134" spans="3:27" x14ac:dyDescent="0.25">
      <c r="C134" s="105"/>
      <c r="F134" t="s">
        <v>193</v>
      </c>
      <c r="G134" t="s">
        <v>272</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v>
      </c>
      <c r="Q134" s="168">
        <f t="shared" ref="Q134" si="3">hundred*Q95*$H53*Q82/$H39*(1-Q107)/days_in_year/(1+$H25)*PowerFactor</f>
        <v>0</v>
      </c>
      <c r="R134" s="119"/>
      <c r="S134" s="119"/>
      <c r="T134" s="119"/>
      <c r="U134" s="119"/>
      <c r="V134" s="119"/>
      <c r="W134" s="119"/>
      <c r="X134" s="119"/>
      <c r="Y134" s="119"/>
    </row>
    <row r="135" spans="3:27" x14ac:dyDescent="0.25">
      <c r="C135" s="105"/>
      <c r="F135" t="s">
        <v>194</v>
      </c>
      <c r="G135" t="s">
        <v>272</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195</v>
      </c>
      <c r="G136" t="s">
        <v>272</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0.3278885795270195</v>
      </c>
      <c r="Q136" s="168">
        <f t="shared" ref="Q136" si="11">hundred*Q97*$H55*Q84/$H41*(1-Q109)/days_in_year/(1+$H27)*PowerFactor</f>
        <v>0</v>
      </c>
      <c r="R136" s="119"/>
      <c r="S136" s="119"/>
      <c r="T136" s="119"/>
      <c r="U136" s="119"/>
      <c r="V136" s="119"/>
      <c r="W136" s="119"/>
      <c r="X136" s="119"/>
      <c r="Y136" s="119"/>
    </row>
    <row r="137" spans="3:27" x14ac:dyDescent="0.25">
      <c r="C137" s="105"/>
      <c r="F137" t="s">
        <v>196</v>
      </c>
      <c r="G137" t="s">
        <v>272</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1.2967323689821606</v>
      </c>
      <c r="Q137" s="168">
        <f t="shared" ref="Q137" si="15">hundred*Q98*$H56*Q85/$H42*(1-Q110)/days_in_year/(1+$H28)*PowerFactor</f>
        <v>0</v>
      </c>
      <c r="R137" s="119"/>
      <c r="S137" s="119"/>
      <c r="T137" s="119"/>
      <c r="U137" s="119"/>
      <c r="V137" s="119"/>
      <c r="W137" s="119"/>
      <c r="X137" s="119"/>
      <c r="Y137" s="119"/>
    </row>
    <row r="138" spans="3:27" x14ac:dyDescent="0.25">
      <c r="C138" s="105"/>
      <c r="F138" t="s">
        <v>197</v>
      </c>
      <c r="G138" t="s">
        <v>272</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v>
      </c>
      <c r="Q138" s="168">
        <f t="shared" ref="Q138" si="19">hundred*Q99*$H57*Q86/$H43*(1-Q111)/days_in_year/(1+$H29)*PowerFactor</f>
        <v>0</v>
      </c>
      <c r="R138" s="119"/>
      <c r="S138" s="119"/>
      <c r="T138" s="119"/>
      <c r="U138" s="119"/>
      <c r="V138" s="119"/>
      <c r="W138" s="119"/>
      <c r="X138" s="119"/>
      <c r="Y138" s="119"/>
    </row>
    <row r="139" spans="3:27" x14ac:dyDescent="0.25">
      <c r="C139" s="105"/>
      <c r="F139" t="s">
        <v>198</v>
      </c>
      <c r="G139" t="s">
        <v>272</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0.89535283947469746</v>
      </c>
      <c r="O139" s="168">
        <f t="shared" si="22"/>
        <v>4.417748473490974</v>
      </c>
      <c r="P139" s="168">
        <f t="shared" si="22"/>
        <v>4.3587327496084605</v>
      </c>
      <c r="Q139" s="168">
        <f t="shared" ref="Q139" si="23">hundred*Q100*$H58*Q87/$H44*(1-Q112)/days_in_year/(1+$H30)*PowerFactor</f>
        <v>0</v>
      </c>
      <c r="R139" s="119"/>
      <c r="S139" s="119"/>
      <c r="T139" s="119"/>
      <c r="U139" s="119"/>
      <c r="V139" s="119"/>
      <c r="W139" s="119"/>
      <c r="X139" s="119"/>
      <c r="Y139" s="119"/>
    </row>
    <row r="140" spans="3:27" x14ac:dyDescent="0.25">
      <c r="C140" s="105"/>
      <c r="F140" t="s">
        <v>199</v>
      </c>
      <c r="G140" t="s">
        <v>272</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1.8367492907321592</v>
      </c>
      <c r="O140" s="168">
        <f t="shared" si="26"/>
        <v>1.8125360232460479</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200</v>
      </c>
      <c r="G141" t="s">
        <v>272</v>
      </c>
      <c r="J141" s="168">
        <f t="shared" ref="J141:K141" si="28">hundred*J102*$H60*J89/$H46*(1-J114)/days_in_year/(1+$H32)*PowerFactor</f>
        <v>4.5452889404868495</v>
      </c>
      <c r="K141" s="168">
        <f t="shared" si="28"/>
        <v>4.5452889404868495</v>
      </c>
      <c r="L141" s="168">
        <f t="shared" ref="L141:M141" si="29">hundred*L102*$H60*L89/$H46*(1-L114)/days_in_year/(1+$H32)*PowerFactor</f>
        <v>4.5452889404868495</v>
      </c>
      <c r="M141" s="168">
        <f t="shared" si="29"/>
        <v>4.5452889404868495</v>
      </c>
      <c r="N141" s="168">
        <f t="shared" ref="N141:P141" si="30">hundred*N102*$H60*N89/$H46*(1-N114)/days_in_year/(1+$H32)*PowerFactor</f>
        <v>4.5452889404868495</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335</v>
      </c>
      <c r="G142" t="s">
        <v>272</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336</v>
      </c>
      <c r="G143" s="96" t="s">
        <v>272</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580</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190</v>
      </c>
      <c r="G146" s="95" t="s">
        <v>272</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192</v>
      </c>
      <c r="G147" t="s">
        <v>272</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193</v>
      </c>
      <c r="G148" t="s">
        <v>272</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v>
      </c>
      <c r="Q148" s="168">
        <f t="shared" ref="Q148" si="43">hundred*Q95*$H67*Q82/$H39/days_in_year/(1+$H25)*PowerFactor</f>
        <v>0</v>
      </c>
      <c r="R148" s="119"/>
      <c r="S148" s="119"/>
      <c r="T148" s="119"/>
      <c r="U148" s="119"/>
      <c r="V148" s="119"/>
      <c r="W148" s="119"/>
      <c r="X148" s="119"/>
      <c r="Y148" s="119"/>
    </row>
    <row r="149" spans="3:27" x14ac:dyDescent="0.25">
      <c r="C149" s="105"/>
      <c r="F149" t="s">
        <v>194</v>
      </c>
      <c r="G149" t="s">
        <v>272</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195</v>
      </c>
      <c r="G150" t="s">
        <v>272</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0.25389396181782486</v>
      </c>
      <c r="Q150" s="168">
        <f t="shared" ref="Q150" si="51">hundred*Q97*$H69*Q84/$H41/days_in_year/(1+$H27)*PowerFactor</f>
        <v>0</v>
      </c>
      <c r="R150" s="119"/>
      <c r="S150" s="119"/>
      <c r="T150" s="119"/>
      <c r="U150" s="119"/>
      <c r="V150" s="119"/>
      <c r="W150" s="119"/>
      <c r="X150" s="119"/>
      <c r="Y150" s="119"/>
    </row>
    <row r="151" spans="3:27" x14ac:dyDescent="0.25">
      <c r="C151" s="105"/>
      <c r="F151" t="s">
        <v>196</v>
      </c>
      <c r="G151" t="s">
        <v>272</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1.0040987674935595</v>
      </c>
      <c r="Q151" s="168">
        <f t="shared" ref="Q151" si="55">hundred*Q98*$H70*Q85/$H42/days_in_year/(1+$H28)*PowerFactor</f>
        <v>0</v>
      </c>
      <c r="R151" s="119"/>
      <c r="S151" s="119"/>
      <c r="T151" s="119"/>
      <c r="U151" s="119"/>
      <c r="V151" s="119"/>
      <c r="W151" s="119"/>
      <c r="X151" s="119"/>
      <c r="Y151" s="119"/>
    </row>
    <row r="152" spans="3:27" x14ac:dyDescent="0.25">
      <c r="C152" s="105"/>
      <c r="F152" t="s">
        <v>197</v>
      </c>
      <c r="G152" t="s">
        <v>272</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v>
      </c>
      <c r="Q152" s="168">
        <f t="shared" ref="Q152" si="59">hundred*Q99*$H71*Q86/$H43/days_in_year/(1+$H29)*PowerFactor</f>
        <v>0</v>
      </c>
      <c r="R152" s="119"/>
      <c r="S152" s="119"/>
      <c r="T152" s="119"/>
      <c r="U152" s="119"/>
      <c r="V152" s="119"/>
      <c r="W152" s="119"/>
      <c r="X152" s="119"/>
      <c r="Y152" s="119"/>
    </row>
    <row r="153" spans="3:27" x14ac:dyDescent="0.25">
      <c r="C153" s="105"/>
      <c r="F153" t="s">
        <v>198</v>
      </c>
      <c r="G153" t="s">
        <v>272</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0.69329855881832358</v>
      </c>
      <c r="O153" s="168">
        <f t="shared" si="62"/>
        <v>3.4207951489717652</v>
      </c>
      <c r="P153" s="168">
        <f t="shared" si="62"/>
        <v>3.3750975038519133</v>
      </c>
      <c r="Q153" s="168">
        <f t="shared" ref="Q153" si="63">hundred*Q100*$H72*Q87/$H44/days_in_year/(1+$H30)*PowerFactor</f>
        <v>0</v>
      </c>
      <c r="R153" s="119"/>
      <c r="S153" s="119"/>
      <c r="T153" s="119"/>
      <c r="U153" s="119"/>
      <c r="V153" s="119"/>
      <c r="W153" s="119"/>
      <c r="X153" s="119"/>
      <c r="Y153" s="119"/>
    </row>
    <row r="154" spans="3:27" x14ac:dyDescent="0.25">
      <c r="C154" s="105"/>
      <c r="F154" t="s">
        <v>199</v>
      </c>
      <c r="G154" t="s">
        <v>272</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1.4222500672721337</v>
      </c>
      <c r="O154" s="168">
        <f t="shared" si="66"/>
        <v>1.4035010080048924</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200</v>
      </c>
      <c r="G155" t="s">
        <v>272</v>
      </c>
      <c r="J155" s="168">
        <f t="shared" ref="J155:K155" si="68">hundred*J102*$H74*J89/$H46/days_in_year/(1+$H32)*PowerFactor</f>
        <v>3.5195535580154393</v>
      </c>
      <c r="K155" s="168">
        <f t="shared" si="68"/>
        <v>3.5195535580154393</v>
      </c>
      <c r="L155" s="168">
        <f t="shared" ref="L155:M155" si="69">hundred*L102*$H74*L89/$H46/days_in_year/(1+$H32)*PowerFactor</f>
        <v>3.5195535580154393</v>
      </c>
      <c r="M155" s="168">
        <f t="shared" si="69"/>
        <v>3.5195535580154393</v>
      </c>
      <c r="N155" s="168">
        <f t="shared" ref="N155:P155" si="70">hundred*N102*$H74*N89/$H46/days_in_year/(1+$H32)*PowerFactor</f>
        <v>3.5195535580154393</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335</v>
      </c>
      <c r="G156" t="s">
        <v>272</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336</v>
      </c>
      <c r="G157" s="96" t="s">
        <v>272</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control'!$H$42:$H$65,MATCH($A$1,'Version control'!$F$42:$F$65,0),1)&amp;"-C: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579</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190</v>
      </c>
      <c r="G162" s="95" t="s">
        <v>272</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192</v>
      </c>
      <c r="G163" t="s">
        <v>272</v>
      </c>
      <c r="J163" s="119"/>
      <c r="K163" s="119"/>
      <c r="L163" s="119"/>
      <c r="M163" s="119"/>
      <c r="N163" s="119"/>
      <c r="O163" s="119"/>
      <c r="P163" s="119"/>
      <c r="Q163" s="119"/>
      <c r="R163" s="119"/>
      <c r="S163" s="119"/>
      <c r="T163" s="119"/>
      <c r="U163" s="119"/>
      <c r="V163" s="119"/>
      <c r="W163" s="119"/>
      <c r="X163" s="119"/>
      <c r="Y163" s="119"/>
    </row>
    <row r="164" spans="3:25" x14ac:dyDescent="0.25">
      <c r="C164" s="105"/>
      <c r="F164" t="s">
        <v>193</v>
      </c>
      <c r="G164" t="s">
        <v>272</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v>
      </c>
      <c r="Q164" s="168">
        <f t="shared" ref="Q164" si="75">hundred*Q95*$H53*Q82/$H39/days_in_year/(1+$H25)*PowerFactor</f>
        <v>0</v>
      </c>
      <c r="R164" s="119"/>
      <c r="S164" s="119"/>
      <c r="T164" s="119"/>
      <c r="U164" s="119"/>
      <c r="V164" s="119"/>
      <c r="W164" s="119"/>
      <c r="X164" s="119"/>
      <c r="Y164" s="119"/>
    </row>
    <row r="165" spans="3:25" x14ac:dyDescent="0.25">
      <c r="C165" s="105"/>
      <c r="F165" t="s">
        <v>194</v>
      </c>
      <c r="G165" t="s">
        <v>272</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195</v>
      </c>
      <c r="G166" t="s">
        <v>272</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0.3278885795270195</v>
      </c>
      <c r="Q166" s="168">
        <f t="shared" ref="Q166" si="83">hundred*Q97*$H55*Q84/$H41/days_in_year/(1+$H27)*PowerFactor</f>
        <v>0</v>
      </c>
      <c r="R166" s="119"/>
      <c r="S166" s="119"/>
      <c r="T166" s="119"/>
      <c r="U166" s="119"/>
      <c r="V166" s="119"/>
      <c r="W166" s="119"/>
      <c r="X166" s="119"/>
      <c r="Y166" s="119"/>
    </row>
    <row r="167" spans="3:25" x14ac:dyDescent="0.25">
      <c r="C167" s="105"/>
      <c r="F167" t="s">
        <v>196</v>
      </c>
      <c r="G167" t="s">
        <v>272</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1.2967323689821606</v>
      </c>
      <c r="Q167" s="168">
        <f t="shared" ref="Q167" si="87">hundred*Q98*$H56*Q85/$H42/days_in_year/(1+$H28)*PowerFactor</f>
        <v>0</v>
      </c>
      <c r="R167" s="119"/>
      <c r="S167" s="119"/>
      <c r="T167" s="119"/>
      <c r="U167" s="119"/>
      <c r="V167" s="119"/>
      <c r="W167" s="119"/>
      <c r="X167" s="119"/>
      <c r="Y167" s="119"/>
    </row>
    <row r="168" spans="3:25" x14ac:dyDescent="0.25">
      <c r="C168" s="105"/>
      <c r="F168" t="s">
        <v>197</v>
      </c>
      <c r="G168" t="s">
        <v>272</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v>
      </c>
      <c r="Q168" s="168">
        <f t="shared" ref="Q168" si="91">hundred*Q99*$H57*Q86/$H43/days_in_year/(1+$H29)*PowerFactor</f>
        <v>0</v>
      </c>
      <c r="R168" s="119"/>
      <c r="S168" s="119"/>
      <c r="T168" s="119"/>
      <c r="U168" s="119"/>
      <c r="V168" s="119"/>
      <c r="W168" s="119"/>
      <c r="X168" s="119"/>
      <c r="Y168" s="119"/>
    </row>
    <row r="169" spans="3:25" x14ac:dyDescent="0.25">
      <c r="C169" s="105"/>
      <c r="F169" t="s">
        <v>198</v>
      </c>
      <c r="G169" t="s">
        <v>272</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0.89535283947469746</v>
      </c>
      <c r="O169" s="168">
        <f t="shared" si="94"/>
        <v>4.417748473490974</v>
      </c>
      <c r="P169" s="168">
        <f t="shared" si="94"/>
        <v>4.3587327496084605</v>
      </c>
      <c r="Q169" s="168">
        <f t="shared" ref="Q169" si="95">hundred*Q100*$H58*Q87/$H44/days_in_year/(1+$H30)*PowerFactor</f>
        <v>0</v>
      </c>
      <c r="R169" s="119"/>
      <c r="S169" s="119"/>
      <c r="T169" s="119"/>
      <c r="U169" s="119"/>
      <c r="V169" s="119"/>
      <c r="W169" s="119"/>
      <c r="X169" s="119"/>
      <c r="Y169" s="119"/>
    </row>
    <row r="170" spans="3:25" x14ac:dyDescent="0.25">
      <c r="C170" s="105"/>
      <c r="F170" t="s">
        <v>199</v>
      </c>
      <c r="G170" t="s">
        <v>272</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1.8367492907321592</v>
      </c>
      <c r="O170" s="168">
        <f t="shared" si="98"/>
        <v>1.8125360232460479</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200</v>
      </c>
      <c r="G171" t="s">
        <v>272</v>
      </c>
      <c r="J171" s="168">
        <f t="shared" ref="J171:K171" si="100">hundred*J102*$H60*J89/$H46/days_in_year/(1+$H32)*PowerFactor</f>
        <v>4.5452889404868495</v>
      </c>
      <c r="K171" s="168">
        <f t="shared" si="100"/>
        <v>4.5452889404868495</v>
      </c>
      <c r="L171" s="168">
        <f t="shared" ref="L171:M171" si="101">hundred*L102*$H60*L89/$H46/days_in_year/(1+$H32)*PowerFactor</f>
        <v>4.5452889404868495</v>
      </c>
      <c r="M171" s="168">
        <f t="shared" si="101"/>
        <v>4.5452889404868495</v>
      </c>
      <c r="N171" s="168">
        <f t="shared" ref="N171:P171" si="102">hundred*N102*$H60*N89/$H46/days_in_year/(1+$H32)*PowerFactor</f>
        <v>4.5452889404868495</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335</v>
      </c>
      <c r="G172" t="s">
        <v>272</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336</v>
      </c>
      <c r="G173" s="96" t="s">
        <v>272</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580</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190</v>
      </c>
      <c r="G176" s="95" t="s">
        <v>272</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192</v>
      </c>
      <c r="G177" t="s">
        <v>272</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193</v>
      </c>
      <c r="G178" t="s">
        <v>272</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v>
      </c>
      <c r="Q178" s="168">
        <f t="shared" ref="Q178" si="115">hundred*Q95*$H67*Q82/$H39/days_in_year/(1+$H25)*PowerFactor</f>
        <v>0</v>
      </c>
      <c r="R178" s="119"/>
      <c r="S178" s="119"/>
      <c r="T178" s="119"/>
      <c r="U178" s="119"/>
      <c r="V178" s="119"/>
      <c r="W178" s="119"/>
      <c r="X178" s="119"/>
      <c r="Y178" s="119"/>
    </row>
    <row r="179" spans="3:27" x14ac:dyDescent="0.25">
      <c r="C179" s="105"/>
      <c r="F179" t="s">
        <v>194</v>
      </c>
      <c r="G179" t="s">
        <v>272</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195</v>
      </c>
      <c r="G180" t="s">
        <v>272</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0.25389396181782486</v>
      </c>
      <c r="Q180" s="168">
        <f t="shared" ref="Q180" si="123">hundred*Q97*$H69*Q84/$H41/days_in_year/(1+$H27)*PowerFactor</f>
        <v>0</v>
      </c>
      <c r="R180" s="119"/>
      <c r="S180" s="119"/>
      <c r="T180" s="119"/>
      <c r="U180" s="119"/>
      <c r="V180" s="119"/>
      <c r="W180" s="119"/>
      <c r="X180" s="119"/>
      <c r="Y180" s="119"/>
    </row>
    <row r="181" spans="3:27" x14ac:dyDescent="0.25">
      <c r="C181" s="105"/>
      <c r="F181" t="s">
        <v>196</v>
      </c>
      <c r="G181" t="s">
        <v>272</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1.0040987674935595</v>
      </c>
      <c r="Q181" s="168">
        <f t="shared" ref="Q181" si="127">hundred*Q98*$H70*Q85/$H42/days_in_year/(1+$H28)*PowerFactor</f>
        <v>0</v>
      </c>
      <c r="R181" s="119"/>
      <c r="S181" s="119"/>
      <c r="T181" s="119"/>
      <c r="U181" s="119"/>
      <c r="V181" s="119"/>
      <c r="W181" s="119"/>
      <c r="X181" s="119"/>
      <c r="Y181" s="119"/>
    </row>
    <row r="182" spans="3:27" x14ac:dyDescent="0.25">
      <c r="C182" s="105"/>
      <c r="F182" t="s">
        <v>197</v>
      </c>
      <c r="G182" t="s">
        <v>272</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v>
      </c>
      <c r="Q182" s="168">
        <f t="shared" ref="Q182" si="131">hundred*Q99*$H71*Q86/$H43/days_in_year/(1+$H29)*PowerFactor</f>
        <v>0</v>
      </c>
      <c r="R182" s="119"/>
      <c r="S182" s="119"/>
      <c r="T182" s="119"/>
      <c r="U182" s="119"/>
      <c r="V182" s="119"/>
      <c r="W182" s="119"/>
      <c r="X182" s="119"/>
      <c r="Y182" s="119"/>
    </row>
    <row r="183" spans="3:27" x14ac:dyDescent="0.25">
      <c r="C183" s="105"/>
      <c r="F183" t="s">
        <v>198</v>
      </c>
      <c r="G183" t="s">
        <v>272</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0.69329855881832358</v>
      </c>
      <c r="O183" s="168">
        <f t="shared" si="134"/>
        <v>3.4207951489717652</v>
      </c>
      <c r="P183" s="168">
        <f t="shared" si="134"/>
        <v>3.3750975038519133</v>
      </c>
      <c r="Q183" s="168">
        <f t="shared" ref="Q183" si="135">hundred*Q100*$H72*Q87/$H44/days_in_year/(1+$H30)*PowerFactor</f>
        <v>0</v>
      </c>
      <c r="R183" s="119"/>
      <c r="S183" s="119"/>
      <c r="T183" s="119"/>
      <c r="U183" s="119"/>
      <c r="V183" s="119"/>
      <c r="W183" s="119"/>
      <c r="X183" s="119"/>
      <c r="Y183" s="119"/>
    </row>
    <row r="184" spans="3:27" x14ac:dyDescent="0.25">
      <c r="C184" s="105"/>
      <c r="F184" t="s">
        <v>199</v>
      </c>
      <c r="G184" t="s">
        <v>272</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1.4222500672721337</v>
      </c>
      <c r="O184" s="168">
        <f t="shared" si="138"/>
        <v>1.4035010080048924</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200</v>
      </c>
      <c r="G185" t="s">
        <v>272</v>
      </c>
      <c r="J185" s="168">
        <f t="shared" ref="J185:K185" si="140">hundred*J102*$H74*J89/$H46/days_in_year/(1+$H32)*PowerFactor</f>
        <v>3.5195535580154393</v>
      </c>
      <c r="K185" s="168">
        <f t="shared" si="140"/>
        <v>3.5195535580154393</v>
      </c>
      <c r="L185" s="168">
        <f t="shared" ref="L185:M185" si="141">hundred*L102*$H74*L89/$H46/days_in_year/(1+$H32)*PowerFactor</f>
        <v>3.5195535580154393</v>
      </c>
      <c r="M185" s="168">
        <f t="shared" si="141"/>
        <v>3.5195535580154393</v>
      </c>
      <c r="N185" s="168">
        <f t="shared" ref="N185:P185" si="142">hundred*N102*$H74*N89/$H46/days_in_year/(1+$H32)*PowerFactor</f>
        <v>3.5195535580154393</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335</v>
      </c>
      <c r="G186" t="s">
        <v>272</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336</v>
      </c>
      <c r="G187" s="96" t="s">
        <v>272</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control'!$H$42:$H$65,MATCH($A$1,'Version control'!$F$42:$F$65,0),1)&amp;"-D: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155</v>
      </c>
      <c r="J190" s="106"/>
      <c r="K190" s="106"/>
      <c r="L190" s="106"/>
      <c r="M190" s="106"/>
      <c r="N190" s="106"/>
      <c r="O190" s="106"/>
      <c r="P190" s="106"/>
      <c r="Q190" s="106"/>
      <c r="R190" s="106"/>
      <c r="S190" s="106"/>
      <c r="T190" s="106"/>
      <c r="U190" s="106"/>
      <c r="V190" s="106"/>
      <c r="W190" s="106"/>
      <c r="X190" s="106"/>
      <c r="Y190" s="106"/>
      <c r="AA190" t="s">
        <v>663</v>
      </c>
    </row>
    <row r="191" spans="3:27" x14ac:dyDescent="0.25">
      <c r="C191" s="105"/>
      <c r="D191"/>
      <c r="E191" s="75" t="s">
        <v>579</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190</v>
      </c>
      <c r="G192" s="95" t="s">
        <v>272</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192</v>
      </c>
      <c r="G193" t="s">
        <v>272</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193</v>
      </c>
      <c r="G194" t="s">
        <v>272</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v>
      </c>
      <c r="Q194" s="168">
        <f t="shared" ref="Q194" si="147">Q$121 * Q134</f>
        <v>0</v>
      </c>
      <c r="R194" s="119"/>
      <c r="S194" s="119"/>
      <c r="T194" s="119"/>
      <c r="U194" s="119"/>
      <c r="V194" s="119"/>
      <c r="W194" s="119"/>
      <c r="X194" s="119"/>
      <c r="Y194" s="119"/>
    </row>
    <row r="195" spans="3:25" x14ac:dyDescent="0.25">
      <c r="C195" s="105"/>
      <c r="D195"/>
      <c r="F195" t="s">
        <v>194</v>
      </c>
      <c r="G195" t="s">
        <v>272</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195</v>
      </c>
      <c r="G196" t="s">
        <v>272</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0.3278885795270195</v>
      </c>
      <c r="Q196" s="168">
        <f t="shared" ref="Q196" si="155">Q$121 * Q136</f>
        <v>0</v>
      </c>
      <c r="R196" s="119"/>
      <c r="S196" s="119"/>
      <c r="T196" s="119"/>
      <c r="U196" s="119"/>
      <c r="V196" s="119"/>
      <c r="W196" s="119"/>
      <c r="X196" s="119"/>
      <c r="Y196" s="119"/>
    </row>
    <row r="197" spans="3:25" x14ac:dyDescent="0.25">
      <c r="C197" s="105"/>
      <c r="D197"/>
      <c r="F197" t="s">
        <v>196</v>
      </c>
      <c r="G197" t="s">
        <v>272</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1.2967323689821606</v>
      </c>
      <c r="Q197" s="168">
        <f t="shared" ref="Q197" si="159">Q$121 * Q137</f>
        <v>0</v>
      </c>
      <c r="R197" s="119"/>
      <c r="S197" s="119"/>
      <c r="T197" s="119"/>
      <c r="U197" s="119"/>
      <c r="V197" s="119"/>
      <c r="W197" s="119"/>
      <c r="X197" s="119"/>
      <c r="Y197" s="119"/>
    </row>
    <row r="198" spans="3:25" x14ac:dyDescent="0.25">
      <c r="C198" s="105"/>
      <c r="D198"/>
      <c r="F198" t="s">
        <v>197</v>
      </c>
      <c r="G198" t="s">
        <v>272</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v>
      </c>
      <c r="Q198" s="168">
        <f t="shared" ref="Q198" si="163">Q$121 * Q138</f>
        <v>0</v>
      </c>
      <c r="R198" s="119"/>
      <c r="S198" s="119"/>
      <c r="T198" s="119"/>
      <c r="U198" s="119"/>
      <c r="V198" s="119"/>
      <c r="W198" s="119"/>
      <c r="X198" s="119"/>
      <c r="Y198" s="119"/>
    </row>
    <row r="199" spans="3:25" x14ac:dyDescent="0.25">
      <c r="C199" s="105"/>
      <c r="D199"/>
      <c r="F199" t="s">
        <v>198</v>
      </c>
      <c r="G199" t="s">
        <v>272</v>
      </c>
      <c r="J199" s="168">
        <f t="shared" ref="J199:K199" si="164">J$121 * J139</f>
        <v>0</v>
      </c>
      <c r="K199" s="168">
        <f t="shared" si="164"/>
        <v>0</v>
      </c>
      <c r="L199" s="168">
        <f t="shared" ref="L199:M199" si="165">L$121 * L139</f>
        <v>0</v>
      </c>
      <c r="M199" s="168">
        <f t="shared" si="165"/>
        <v>0</v>
      </c>
      <c r="N199" s="168">
        <f t="shared" ref="N199:P199" si="166">N$121 * N139</f>
        <v>0.89535283947469746</v>
      </c>
      <c r="O199" s="168">
        <f t="shared" si="166"/>
        <v>4.417748473490974</v>
      </c>
      <c r="P199" s="168">
        <f t="shared" si="166"/>
        <v>4.3587327496084605</v>
      </c>
      <c r="Q199" s="168">
        <f t="shared" ref="Q199" si="167">Q$121 * Q139</f>
        <v>0</v>
      </c>
      <c r="R199" s="119"/>
      <c r="S199" s="119"/>
      <c r="T199" s="119"/>
      <c r="U199" s="119"/>
      <c r="V199" s="119"/>
      <c r="W199" s="119"/>
      <c r="X199" s="119"/>
      <c r="Y199" s="119"/>
    </row>
    <row r="200" spans="3:25" x14ac:dyDescent="0.25">
      <c r="C200" s="105"/>
      <c r="D200"/>
      <c r="F200" t="s">
        <v>199</v>
      </c>
      <c r="G200" t="s">
        <v>272</v>
      </c>
      <c r="J200" s="168">
        <f t="shared" ref="J200:K200" si="168">J$121 * J140</f>
        <v>0</v>
      </c>
      <c r="K200" s="168">
        <f t="shared" si="168"/>
        <v>0</v>
      </c>
      <c r="L200" s="168">
        <f t="shared" ref="L200:M200" si="169">L$121 * L140</f>
        <v>0</v>
      </c>
      <c r="M200" s="168">
        <f t="shared" si="169"/>
        <v>0</v>
      </c>
      <c r="N200" s="168">
        <f t="shared" ref="N200:P200" si="170">N$121 * N140</f>
        <v>1.8367492907321592</v>
      </c>
      <c r="O200" s="168">
        <f t="shared" si="170"/>
        <v>1.8125360232460479</v>
      </c>
      <c r="P200" s="168">
        <f t="shared" si="170"/>
        <v>0</v>
      </c>
      <c r="Q200" s="168">
        <f t="shared" ref="Q200" si="171">Q$121 * Q140</f>
        <v>0</v>
      </c>
      <c r="R200" s="119"/>
      <c r="S200" s="119"/>
      <c r="T200" s="119"/>
      <c r="U200" s="119"/>
      <c r="V200" s="119"/>
      <c r="W200" s="119"/>
      <c r="X200" s="119"/>
      <c r="Y200" s="119"/>
    </row>
    <row r="201" spans="3:25" x14ac:dyDescent="0.25">
      <c r="C201" s="105"/>
      <c r="D201"/>
      <c r="F201" t="s">
        <v>200</v>
      </c>
      <c r="G201" t="s">
        <v>272</v>
      </c>
      <c r="J201" s="168">
        <f t="shared" ref="J201:K201" si="172">J$121 * J141</f>
        <v>0</v>
      </c>
      <c r="K201" s="168">
        <f t="shared" si="172"/>
        <v>0</v>
      </c>
      <c r="L201" s="168">
        <f t="shared" ref="L201:M201" si="173">L$121 * L141</f>
        <v>0</v>
      </c>
      <c r="M201" s="168">
        <f t="shared" si="173"/>
        <v>0</v>
      </c>
      <c r="N201" s="168">
        <f t="shared" ref="N201:P201" si="174">N$121 * N141</f>
        <v>4.5452889404868495</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335</v>
      </c>
      <c r="G202" t="s">
        <v>272</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336</v>
      </c>
      <c r="G203" s="96" t="s">
        <v>272</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580</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190</v>
      </c>
      <c r="G206" s="95" t="s">
        <v>272</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192</v>
      </c>
      <c r="G207" t="s">
        <v>272</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193</v>
      </c>
      <c r="G208" t="s">
        <v>272</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v>
      </c>
      <c r="Q208" s="168">
        <f t="shared" ref="Q208" si="187">Q$121 * Q148</f>
        <v>0</v>
      </c>
      <c r="R208" s="119"/>
      <c r="S208" s="119"/>
      <c r="T208" s="119"/>
      <c r="U208" s="119"/>
      <c r="V208" s="119"/>
      <c r="W208" s="119"/>
      <c r="X208" s="119"/>
      <c r="Y208" s="119"/>
    </row>
    <row r="209" spans="3:27" x14ac:dyDescent="0.25">
      <c r="C209" s="105"/>
      <c r="D209"/>
      <c r="F209" t="s">
        <v>194</v>
      </c>
      <c r="G209" t="s">
        <v>272</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195</v>
      </c>
      <c r="G210" t="s">
        <v>272</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0.25389396181782486</v>
      </c>
      <c r="Q210" s="168">
        <f t="shared" ref="Q210" si="195">Q$121 * Q150</f>
        <v>0</v>
      </c>
      <c r="R210" s="119"/>
      <c r="S210" s="119"/>
      <c r="T210" s="119"/>
      <c r="U210" s="119"/>
      <c r="V210" s="119"/>
      <c r="W210" s="119"/>
      <c r="X210" s="119"/>
      <c r="Y210" s="119"/>
    </row>
    <row r="211" spans="3:27" x14ac:dyDescent="0.25">
      <c r="C211" s="105"/>
      <c r="D211"/>
      <c r="F211" t="s">
        <v>196</v>
      </c>
      <c r="G211" t="s">
        <v>272</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1.0040987674935595</v>
      </c>
      <c r="Q211" s="168">
        <f t="shared" ref="Q211" si="199">Q$121 * Q151</f>
        <v>0</v>
      </c>
      <c r="R211" s="119"/>
      <c r="S211" s="119"/>
      <c r="T211" s="119"/>
      <c r="U211" s="119"/>
      <c r="V211" s="119"/>
      <c r="W211" s="119"/>
      <c r="X211" s="119"/>
      <c r="Y211" s="119"/>
    </row>
    <row r="212" spans="3:27" x14ac:dyDescent="0.25">
      <c r="C212" s="105"/>
      <c r="D212"/>
      <c r="F212" t="s">
        <v>197</v>
      </c>
      <c r="G212" t="s">
        <v>272</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v>
      </c>
      <c r="Q212" s="168">
        <f t="shared" ref="Q212" si="203">Q$121 * Q152</f>
        <v>0</v>
      </c>
      <c r="R212" s="119"/>
      <c r="S212" s="119"/>
      <c r="T212" s="119"/>
      <c r="U212" s="119"/>
      <c r="V212" s="119"/>
      <c r="W212" s="119"/>
      <c r="X212" s="119"/>
      <c r="Y212" s="119"/>
    </row>
    <row r="213" spans="3:27" x14ac:dyDescent="0.25">
      <c r="C213" s="105"/>
      <c r="D213"/>
      <c r="F213" t="s">
        <v>198</v>
      </c>
      <c r="G213" t="s">
        <v>272</v>
      </c>
      <c r="J213" s="168">
        <f t="shared" ref="J213:K213" si="204">J$121 * J153</f>
        <v>0</v>
      </c>
      <c r="K213" s="168">
        <f t="shared" si="204"/>
        <v>0</v>
      </c>
      <c r="L213" s="168">
        <f t="shared" ref="L213:M213" si="205">L$121 * L153</f>
        <v>0</v>
      </c>
      <c r="M213" s="168">
        <f t="shared" si="205"/>
        <v>0</v>
      </c>
      <c r="N213" s="168">
        <f t="shared" ref="N213:P213" si="206">N$121 * N153</f>
        <v>0.69329855881832358</v>
      </c>
      <c r="O213" s="168">
        <f t="shared" si="206"/>
        <v>3.4207951489717652</v>
      </c>
      <c r="P213" s="168">
        <f t="shared" si="206"/>
        <v>3.3750975038519133</v>
      </c>
      <c r="Q213" s="168">
        <f t="shared" ref="Q213" si="207">Q$121 * Q153</f>
        <v>0</v>
      </c>
      <c r="R213" s="119"/>
      <c r="S213" s="119"/>
      <c r="T213" s="119"/>
      <c r="U213" s="119"/>
      <c r="V213" s="119"/>
      <c r="W213" s="119"/>
      <c r="X213" s="119"/>
      <c r="Y213" s="119"/>
    </row>
    <row r="214" spans="3:27" x14ac:dyDescent="0.25">
      <c r="C214" s="105"/>
      <c r="D214"/>
      <c r="F214" t="s">
        <v>199</v>
      </c>
      <c r="G214" t="s">
        <v>272</v>
      </c>
      <c r="J214" s="168">
        <f t="shared" ref="J214:K214" si="208">J$121 * J154</f>
        <v>0</v>
      </c>
      <c r="K214" s="168">
        <f t="shared" si="208"/>
        <v>0</v>
      </c>
      <c r="L214" s="168">
        <f t="shared" ref="L214:M214" si="209">L$121 * L154</f>
        <v>0</v>
      </c>
      <c r="M214" s="168">
        <f t="shared" si="209"/>
        <v>0</v>
      </c>
      <c r="N214" s="168">
        <f t="shared" ref="N214:P214" si="210">N$121 * N154</f>
        <v>1.4222500672721337</v>
      </c>
      <c r="O214" s="168">
        <f t="shared" si="210"/>
        <v>1.4035010080048924</v>
      </c>
      <c r="P214" s="168">
        <f t="shared" si="210"/>
        <v>0</v>
      </c>
      <c r="Q214" s="168">
        <f t="shared" ref="Q214" si="211">Q$121 * Q154</f>
        <v>0</v>
      </c>
      <c r="R214" s="119"/>
      <c r="S214" s="119"/>
      <c r="T214" s="119"/>
      <c r="U214" s="119"/>
      <c r="V214" s="119"/>
      <c r="W214" s="119"/>
      <c r="X214" s="119"/>
      <c r="Y214" s="119"/>
    </row>
    <row r="215" spans="3:27" x14ac:dyDescent="0.25">
      <c r="C215" s="105"/>
      <c r="D215"/>
      <c r="F215" t="s">
        <v>200</v>
      </c>
      <c r="G215" t="s">
        <v>272</v>
      </c>
      <c r="J215" s="168">
        <f t="shared" ref="J215:K215" si="212">J$121 * J155</f>
        <v>0</v>
      </c>
      <c r="K215" s="168">
        <f t="shared" si="212"/>
        <v>0</v>
      </c>
      <c r="L215" s="168">
        <f t="shared" ref="L215:M215" si="213">L$121 * L155</f>
        <v>0</v>
      </c>
      <c r="M215" s="168">
        <f t="shared" si="213"/>
        <v>0</v>
      </c>
      <c r="N215" s="168">
        <f t="shared" ref="N215:P215" si="214">N$121 * N155</f>
        <v>3.5195535580154393</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335</v>
      </c>
      <c r="G216" t="s">
        <v>272</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336</v>
      </c>
      <c r="G217" s="96" t="s">
        <v>272</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control'!$H$42:$H$65,MATCH($A$1,'Version control'!$F$42:$F$65,0),1)&amp;"-E: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155</v>
      </c>
      <c r="J220" s="106"/>
      <c r="K220" s="106"/>
      <c r="L220" s="106"/>
      <c r="M220" s="106"/>
      <c r="N220" s="106"/>
      <c r="O220" s="106"/>
      <c r="P220" s="106"/>
      <c r="Q220" s="106"/>
      <c r="R220" s="106"/>
      <c r="S220" s="106"/>
      <c r="T220" s="106"/>
      <c r="U220" s="106"/>
      <c r="V220" s="106"/>
      <c r="W220" s="106"/>
      <c r="X220" s="106"/>
      <c r="Y220" s="106"/>
      <c r="AA220" t="s">
        <v>664</v>
      </c>
    </row>
    <row r="221" spans="3:27" x14ac:dyDescent="0.25">
      <c r="C221" s="105"/>
      <c r="D221"/>
      <c r="E221" s="75" t="s">
        <v>579</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190</v>
      </c>
      <c r="G222" s="95" t="s">
        <v>272</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192</v>
      </c>
      <c r="G223" t="s">
        <v>272</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193</v>
      </c>
      <c r="G224" t="s">
        <v>272</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v>
      </c>
      <c r="Q224" s="168">
        <f t="shared" ref="Q224" si="219">Q$122 * Q164</f>
        <v>0</v>
      </c>
      <c r="R224" s="119"/>
      <c r="S224" s="119"/>
      <c r="T224" s="119"/>
      <c r="U224" s="119"/>
      <c r="V224" s="119"/>
      <c r="W224" s="119"/>
      <c r="X224" s="119"/>
      <c r="Y224" s="119"/>
    </row>
    <row r="225" spans="3:25" x14ac:dyDescent="0.25">
      <c r="C225" s="105"/>
      <c r="D225"/>
      <c r="F225" t="s">
        <v>194</v>
      </c>
      <c r="G225" t="s">
        <v>272</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195</v>
      </c>
      <c r="G226" t="s">
        <v>272</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0.3278885795270195</v>
      </c>
      <c r="Q226" s="168">
        <f t="shared" ref="Q226" si="227">Q$122 * Q166</f>
        <v>0</v>
      </c>
      <c r="R226" s="119"/>
      <c r="S226" s="119"/>
      <c r="T226" s="119"/>
      <c r="U226" s="119"/>
      <c r="V226" s="119"/>
      <c r="W226" s="119"/>
      <c r="X226" s="119"/>
      <c r="Y226" s="119"/>
    </row>
    <row r="227" spans="3:25" x14ac:dyDescent="0.25">
      <c r="C227" s="105"/>
      <c r="D227"/>
      <c r="F227" t="s">
        <v>196</v>
      </c>
      <c r="G227" t="s">
        <v>272</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1.2967323689821606</v>
      </c>
      <c r="Q227" s="168">
        <f t="shared" ref="Q227" si="231">Q$122 * Q167</f>
        <v>0</v>
      </c>
      <c r="R227" s="119"/>
      <c r="S227" s="119"/>
      <c r="T227" s="119"/>
      <c r="U227" s="119"/>
      <c r="V227" s="119"/>
      <c r="W227" s="119"/>
      <c r="X227" s="119"/>
      <c r="Y227" s="119"/>
    </row>
    <row r="228" spans="3:25" x14ac:dyDescent="0.25">
      <c r="C228" s="105"/>
      <c r="D228"/>
      <c r="F228" t="s">
        <v>197</v>
      </c>
      <c r="G228" t="s">
        <v>272</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v>
      </c>
      <c r="Q228" s="168">
        <f t="shared" ref="Q228" si="235">Q$122 * Q168</f>
        <v>0</v>
      </c>
      <c r="R228" s="119"/>
      <c r="S228" s="119"/>
      <c r="T228" s="119"/>
      <c r="U228" s="119"/>
      <c r="V228" s="119"/>
      <c r="W228" s="119"/>
      <c r="X228" s="119"/>
      <c r="Y228" s="119"/>
    </row>
    <row r="229" spans="3:25" x14ac:dyDescent="0.25">
      <c r="C229" s="105"/>
      <c r="D229"/>
      <c r="F229" t="s">
        <v>198</v>
      </c>
      <c r="G229" t="s">
        <v>272</v>
      </c>
      <c r="J229" s="168">
        <f t="shared" ref="J229:K229" si="236">J$122 * J169</f>
        <v>0</v>
      </c>
      <c r="K229" s="168">
        <f t="shared" si="236"/>
        <v>0</v>
      </c>
      <c r="L229" s="168">
        <f t="shared" ref="L229:M229" si="237">L$122 * L169</f>
        <v>0</v>
      </c>
      <c r="M229" s="168">
        <f t="shared" si="237"/>
        <v>0</v>
      </c>
      <c r="N229" s="168">
        <f t="shared" ref="N229:P229" si="238">N$122 * N169</f>
        <v>0.89535283947469746</v>
      </c>
      <c r="O229" s="168">
        <f t="shared" si="238"/>
        <v>4.417748473490974</v>
      </c>
      <c r="P229" s="168">
        <f t="shared" si="238"/>
        <v>4.3587327496084605</v>
      </c>
      <c r="Q229" s="168">
        <f t="shared" ref="Q229" si="239">Q$122 * Q169</f>
        <v>0</v>
      </c>
      <c r="R229" s="119"/>
      <c r="S229" s="119"/>
      <c r="T229" s="119"/>
      <c r="U229" s="119"/>
      <c r="V229" s="119"/>
      <c r="W229" s="119"/>
      <c r="X229" s="119"/>
      <c r="Y229" s="119"/>
    </row>
    <row r="230" spans="3:25" x14ac:dyDescent="0.25">
      <c r="C230" s="105"/>
      <c r="D230"/>
      <c r="F230" t="s">
        <v>199</v>
      </c>
      <c r="G230" t="s">
        <v>272</v>
      </c>
      <c r="J230" s="168">
        <f t="shared" ref="J230:K230" si="240">J$122 * J170</f>
        <v>0</v>
      </c>
      <c r="K230" s="168">
        <f t="shared" si="240"/>
        <v>0</v>
      </c>
      <c r="L230" s="168">
        <f t="shared" ref="L230:M230" si="241">L$122 * L170</f>
        <v>0</v>
      </c>
      <c r="M230" s="168">
        <f t="shared" si="241"/>
        <v>0</v>
      </c>
      <c r="N230" s="168">
        <f t="shared" ref="N230:P230" si="242">N$122 * N170</f>
        <v>1.8367492907321592</v>
      </c>
      <c r="O230" s="168">
        <f t="shared" si="242"/>
        <v>1.8125360232460479</v>
      </c>
      <c r="P230" s="168">
        <f t="shared" si="242"/>
        <v>0</v>
      </c>
      <c r="Q230" s="168">
        <f t="shared" ref="Q230" si="243">Q$122 * Q170</f>
        <v>0</v>
      </c>
      <c r="R230" s="119"/>
      <c r="S230" s="119"/>
      <c r="T230" s="119"/>
      <c r="U230" s="119"/>
      <c r="V230" s="119"/>
      <c r="W230" s="119"/>
      <c r="X230" s="119"/>
      <c r="Y230" s="119"/>
    </row>
    <row r="231" spans="3:25" x14ac:dyDescent="0.25">
      <c r="C231" s="105"/>
      <c r="D231"/>
      <c r="F231" t="s">
        <v>200</v>
      </c>
      <c r="G231" t="s">
        <v>272</v>
      </c>
      <c r="J231" s="168">
        <f t="shared" ref="J231:K231" si="244">J$122 * J171</f>
        <v>0</v>
      </c>
      <c r="K231" s="168">
        <f t="shared" si="244"/>
        <v>0</v>
      </c>
      <c r="L231" s="168">
        <f t="shared" ref="L231:M231" si="245">L$122 * L171</f>
        <v>0</v>
      </c>
      <c r="M231" s="168">
        <f t="shared" si="245"/>
        <v>0</v>
      </c>
      <c r="N231" s="168">
        <f t="shared" ref="N231:P231" si="246">N$122 * N171</f>
        <v>4.5452889404868495</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335</v>
      </c>
      <c r="G232" t="s">
        <v>272</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336</v>
      </c>
      <c r="G233" s="96" t="s">
        <v>272</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580</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190</v>
      </c>
      <c r="G236" s="95" t="s">
        <v>272</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192</v>
      </c>
      <c r="G237" t="s">
        <v>272</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193</v>
      </c>
      <c r="G238" t="s">
        <v>272</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v>
      </c>
      <c r="Q238" s="168">
        <f t="shared" ref="Q238" si="259">Q$122 * Q178</f>
        <v>0</v>
      </c>
      <c r="R238" s="119"/>
      <c r="S238" s="119"/>
      <c r="T238" s="119"/>
      <c r="U238" s="119"/>
      <c r="V238" s="119"/>
      <c r="W238" s="119"/>
      <c r="X238" s="119"/>
      <c r="Y238" s="119"/>
    </row>
    <row r="239" spans="3:25" x14ac:dyDescent="0.25">
      <c r="C239" s="105"/>
      <c r="D239"/>
      <c r="F239" t="s">
        <v>194</v>
      </c>
      <c r="G239" t="s">
        <v>272</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195</v>
      </c>
      <c r="G240" t="s">
        <v>272</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0.25389396181782486</v>
      </c>
      <c r="Q240" s="168">
        <f t="shared" ref="Q240" si="267">Q$122 * Q180</f>
        <v>0</v>
      </c>
      <c r="R240" s="119"/>
      <c r="S240" s="119"/>
      <c r="T240" s="119"/>
      <c r="U240" s="119"/>
      <c r="V240" s="119"/>
      <c r="W240" s="119"/>
      <c r="X240" s="119"/>
      <c r="Y240" s="119"/>
    </row>
    <row r="241" spans="2:27" x14ac:dyDescent="0.25">
      <c r="C241" s="105"/>
      <c r="D241"/>
      <c r="F241" t="s">
        <v>196</v>
      </c>
      <c r="G241" t="s">
        <v>272</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1.0040987674935595</v>
      </c>
      <c r="Q241" s="168">
        <f t="shared" ref="Q241" si="271">Q$122 * Q181</f>
        <v>0</v>
      </c>
      <c r="R241" s="119"/>
      <c r="S241" s="119"/>
      <c r="T241" s="119"/>
      <c r="U241" s="119"/>
      <c r="V241" s="119"/>
      <c r="W241" s="119"/>
      <c r="X241" s="119"/>
      <c r="Y241" s="119"/>
    </row>
    <row r="242" spans="2:27" x14ac:dyDescent="0.25">
      <c r="C242" s="105"/>
      <c r="D242"/>
      <c r="F242" t="s">
        <v>197</v>
      </c>
      <c r="G242" t="s">
        <v>272</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v>
      </c>
      <c r="Q242" s="168">
        <f t="shared" ref="Q242" si="275">Q$122 * Q182</f>
        <v>0</v>
      </c>
      <c r="R242" s="119"/>
      <c r="S242" s="119"/>
      <c r="T242" s="119"/>
      <c r="U242" s="119"/>
      <c r="V242" s="119"/>
      <c r="W242" s="119"/>
      <c r="X242" s="119"/>
      <c r="Y242" s="119"/>
    </row>
    <row r="243" spans="2:27" x14ac:dyDescent="0.25">
      <c r="C243" s="105"/>
      <c r="D243"/>
      <c r="F243" t="s">
        <v>198</v>
      </c>
      <c r="G243" t="s">
        <v>272</v>
      </c>
      <c r="J243" s="168">
        <f t="shared" ref="J243:K243" si="276">J$122 * J183</f>
        <v>0</v>
      </c>
      <c r="K243" s="168">
        <f t="shared" si="276"/>
        <v>0</v>
      </c>
      <c r="L243" s="168">
        <f t="shared" ref="L243:M243" si="277">L$122 * L183</f>
        <v>0</v>
      </c>
      <c r="M243" s="168">
        <f t="shared" si="277"/>
        <v>0</v>
      </c>
      <c r="N243" s="168">
        <f t="shared" ref="N243:P243" si="278">N$122 * N183</f>
        <v>0.69329855881832358</v>
      </c>
      <c r="O243" s="168">
        <f t="shared" si="278"/>
        <v>3.4207951489717652</v>
      </c>
      <c r="P243" s="168">
        <f t="shared" si="278"/>
        <v>3.3750975038519133</v>
      </c>
      <c r="Q243" s="168">
        <f t="shared" ref="Q243" si="279">Q$122 * Q183</f>
        <v>0</v>
      </c>
      <c r="R243" s="119"/>
      <c r="S243" s="119"/>
      <c r="T243" s="119"/>
      <c r="U243" s="119"/>
      <c r="V243" s="119"/>
      <c r="W243" s="119"/>
      <c r="X243" s="119"/>
      <c r="Y243" s="119"/>
    </row>
    <row r="244" spans="2:27" x14ac:dyDescent="0.25">
      <c r="C244" s="105"/>
      <c r="D244"/>
      <c r="F244" t="s">
        <v>199</v>
      </c>
      <c r="G244" t="s">
        <v>272</v>
      </c>
      <c r="J244" s="168">
        <f t="shared" ref="J244:K244" si="280">J$122 * J184</f>
        <v>0</v>
      </c>
      <c r="K244" s="168">
        <f t="shared" si="280"/>
        <v>0</v>
      </c>
      <c r="L244" s="168">
        <f t="shared" ref="L244:M244" si="281">L$122 * L184</f>
        <v>0</v>
      </c>
      <c r="M244" s="168">
        <f t="shared" si="281"/>
        <v>0</v>
      </c>
      <c r="N244" s="168">
        <f t="shared" ref="N244:P244" si="282">N$122 * N184</f>
        <v>1.4222500672721337</v>
      </c>
      <c r="O244" s="168">
        <f t="shared" si="282"/>
        <v>1.4035010080048924</v>
      </c>
      <c r="P244" s="168">
        <f t="shared" si="282"/>
        <v>0</v>
      </c>
      <c r="Q244" s="168">
        <f t="shared" ref="Q244" si="283">Q$122 * Q184</f>
        <v>0</v>
      </c>
      <c r="R244" s="119"/>
      <c r="S244" s="119"/>
      <c r="T244" s="119"/>
      <c r="U244" s="119"/>
      <c r="V244" s="119"/>
      <c r="W244" s="119"/>
      <c r="X244" s="119"/>
      <c r="Y244" s="119"/>
    </row>
    <row r="245" spans="2:27" x14ac:dyDescent="0.25">
      <c r="C245" s="105"/>
      <c r="D245"/>
      <c r="F245" t="s">
        <v>200</v>
      </c>
      <c r="G245" t="s">
        <v>272</v>
      </c>
      <c r="J245" s="168">
        <f t="shared" ref="J245:K245" si="284">J$122 * J185</f>
        <v>0</v>
      </c>
      <c r="K245" s="168">
        <f t="shared" si="284"/>
        <v>0</v>
      </c>
      <c r="L245" s="168">
        <f t="shared" ref="L245:M245" si="285">L$122 * L185</f>
        <v>0</v>
      </c>
      <c r="M245" s="168">
        <f t="shared" si="285"/>
        <v>0</v>
      </c>
      <c r="N245" s="168">
        <f t="shared" ref="N245:P245" si="286">N$122 * N185</f>
        <v>3.5195535580154393</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335</v>
      </c>
      <c r="G246" t="s">
        <v>272</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336</v>
      </c>
      <c r="G247" s="96" t="s">
        <v>272</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665</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666</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667</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control'!$H$42:$H$65,MATCH($A$1,'Version control'!$F$42:$F$65,0),1)&amp;"-F: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668</v>
      </c>
      <c r="G256" t="s">
        <v>272</v>
      </c>
      <c r="I256" t="s">
        <v>155</v>
      </c>
      <c r="J256" s="150">
        <f t="shared" ref="J256:K256" si="288">SUM(J192:J203,J206:J217)</f>
        <v>0</v>
      </c>
      <c r="K256" s="150">
        <f t="shared" si="288"/>
        <v>0</v>
      </c>
      <c r="L256" s="150">
        <f t="shared" ref="L256:M256" si="289">SUM(L192:L203,L206:L217)</f>
        <v>0</v>
      </c>
      <c r="M256" s="150">
        <f t="shared" si="289"/>
        <v>0</v>
      </c>
      <c r="N256" s="150">
        <f t="shared" ref="N256:P256" si="290">SUM(N192:N203,N206:N217)</f>
        <v>12.912493254799603</v>
      </c>
      <c r="O256" s="150">
        <f t="shared" si="290"/>
        <v>11.05458065371368</v>
      </c>
      <c r="P256" s="150">
        <f t="shared" si="290"/>
        <v>10.616443931280937</v>
      </c>
      <c r="Q256" s="150">
        <f t="shared" ref="Q256" si="291">SUM(Q192:Q203,Q206:Q217)</f>
        <v>0</v>
      </c>
      <c r="R256" s="119"/>
      <c r="S256" s="119"/>
      <c r="T256" s="119"/>
      <c r="U256" s="119"/>
      <c r="V256" s="119"/>
      <c r="W256" s="119"/>
      <c r="X256" s="119"/>
      <c r="Y256" s="119"/>
      <c r="AA256" t="s">
        <v>669</v>
      </c>
    </row>
    <row r="257" spans="3:27" x14ac:dyDescent="0.25">
      <c r="E257" t="s">
        <v>670</v>
      </c>
      <c r="G257" t="s">
        <v>272</v>
      </c>
      <c r="I257" t="s">
        <v>155</v>
      </c>
      <c r="J257" s="151">
        <f t="shared" ref="J257:K257" si="292">SUM(J222:J233,J236:J247)</f>
        <v>0</v>
      </c>
      <c r="K257" s="151">
        <f t="shared" si="292"/>
        <v>0</v>
      </c>
      <c r="L257" s="151">
        <f t="shared" ref="L257:M257" si="293">SUM(L222:L233,L236:L247)</f>
        <v>0</v>
      </c>
      <c r="M257" s="151">
        <f t="shared" si="293"/>
        <v>0</v>
      </c>
      <c r="N257" s="151">
        <f t="shared" ref="N257:P257" si="294">SUM(N222:N233,N236:N247)</f>
        <v>12.912493254799603</v>
      </c>
      <c r="O257" s="151">
        <f t="shared" si="294"/>
        <v>11.05458065371368</v>
      </c>
      <c r="P257" s="151">
        <f t="shared" si="294"/>
        <v>10.616443931280937</v>
      </c>
      <c r="Q257" s="151">
        <f t="shared" ref="Q257" si="295">SUM(Q222:Q233,Q236:Q247)</f>
        <v>0</v>
      </c>
      <c r="R257" s="119"/>
      <c r="S257" s="119"/>
      <c r="T257" s="119"/>
      <c r="U257" s="119"/>
      <c r="V257" s="119"/>
      <c r="W257" s="119"/>
      <c r="X257" s="119"/>
      <c r="Y257" s="119"/>
      <c r="AA257" t="s">
        <v>669</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control'!$H$42:$H$65,MATCH($A$1,'Version control'!$F$42:$F$65,0),1)&amp;"-G: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155</v>
      </c>
      <c r="J260" s="106"/>
      <c r="K260" s="106"/>
      <c r="L260" s="106"/>
      <c r="M260" s="106"/>
      <c r="N260" s="106"/>
      <c r="O260" s="106"/>
      <c r="P260" s="106"/>
      <c r="Q260" s="106"/>
      <c r="R260" s="106"/>
      <c r="S260" s="106"/>
      <c r="T260" s="106"/>
      <c r="U260" s="106"/>
      <c r="V260" s="106"/>
      <c r="W260" s="106"/>
      <c r="X260" s="106"/>
      <c r="Y260" s="106"/>
      <c r="AA260" t="s">
        <v>671</v>
      </c>
    </row>
    <row r="261" spans="3:27" x14ac:dyDescent="0.25">
      <c r="C261" s="105"/>
      <c r="D261"/>
      <c r="E261" s="75" t="s">
        <v>579</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190</v>
      </c>
      <c r="G262" s="95" t="s">
        <v>272</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192</v>
      </c>
      <c r="G263" t="s">
        <v>272</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193</v>
      </c>
      <c r="G264" t="s">
        <v>272</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194</v>
      </c>
      <c r="G265" t="s">
        <v>272</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195</v>
      </c>
      <c r="G266" t="s">
        <v>272</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196</v>
      </c>
      <c r="G267" t="s">
        <v>272</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197</v>
      </c>
      <c r="G268" t="s">
        <v>272</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198</v>
      </c>
      <c r="G269" t="s">
        <v>272</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199</v>
      </c>
      <c r="G270" t="s">
        <v>272</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200</v>
      </c>
      <c r="G271" t="s">
        <v>272</v>
      </c>
      <c r="J271" s="151">
        <f t="shared" ref="J271:K271" si="324">J$123 * J141</f>
        <v>4.5452889404868495</v>
      </c>
      <c r="K271" s="151">
        <f t="shared" si="324"/>
        <v>0</v>
      </c>
      <c r="L271" s="151">
        <f t="shared" ref="L271:M271" si="325">L$123 * L141</f>
        <v>4.5452889404868495</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335</v>
      </c>
      <c r="G272" t="s">
        <v>272</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336</v>
      </c>
      <c r="G273" s="96" t="s">
        <v>272</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672</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190</v>
      </c>
      <c r="G276" s="95" t="s">
        <v>272</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192</v>
      </c>
      <c r="G277" t="s">
        <v>272</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193</v>
      </c>
      <c r="G278" t="s">
        <v>272</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194</v>
      </c>
      <c r="G279" t="s">
        <v>272</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195</v>
      </c>
      <c r="G280" t="s">
        <v>272</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196</v>
      </c>
      <c r="G281" t="s">
        <v>272</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197</v>
      </c>
      <c r="G282" t="s">
        <v>272</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198</v>
      </c>
      <c r="G283" t="s">
        <v>272</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199</v>
      </c>
      <c r="G284" t="s">
        <v>272</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200</v>
      </c>
      <c r="G285" t="s">
        <v>272</v>
      </c>
      <c r="J285" s="151">
        <f t="shared" ref="J285:K285" si="364">J$123 * J155</f>
        <v>3.5195535580154393</v>
      </c>
      <c r="K285" s="151">
        <f t="shared" si="364"/>
        <v>0</v>
      </c>
      <c r="L285" s="151">
        <f t="shared" ref="L285:M285" si="365">L$123 * L155</f>
        <v>3.5195535580154393</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335</v>
      </c>
      <c r="G286" t="s">
        <v>272</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336</v>
      </c>
      <c r="G287" s="96" t="s">
        <v>272</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232</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233</v>
      </c>
      <c r="G291" s="6" t="s">
        <v>57</v>
      </c>
      <c r="H291" s="252">
        <f t="array" ref="H291">SUM(IF(ISERROR(H51:Y287), 1))</f>
        <v>0</v>
      </c>
    </row>
    <row r="293" spans="2:27" x14ac:dyDescent="0.25">
      <c r="E293" t="s">
        <v>673</v>
      </c>
      <c r="G293" s="6" t="s">
        <v>57</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240</v>
      </c>
      <c r="G295" s="6" t="s">
        <v>57</v>
      </c>
      <c r="H295" s="113">
        <f>H291 + H293</f>
        <v>0</v>
      </c>
    </row>
    <row r="297" spans="2:27" x14ac:dyDescent="0.25">
      <c r="B297" s="85" t="s">
        <v>108</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619</v>
      </c>
      <c r="D9"/>
    </row>
    <row r="10" spans="1:27" x14ac:dyDescent="0.25">
      <c r="C10" s="86" t="s">
        <v>620</v>
      </c>
      <c r="D10"/>
      <c r="E10"/>
    </row>
    <row r="11" spans="1:27" x14ac:dyDescent="0.25">
      <c r="C11" s="134" t="s">
        <v>621</v>
      </c>
    </row>
    <row r="13" spans="1:27" x14ac:dyDescent="0.25">
      <c r="B13" s="85" t="s">
        <v>622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623</v>
      </c>
    </row>
    <row r="17" spans="3:27" x14ac:dyDescent="0.25">
      <c r="C17" s="93" t="str">
        <f ca="1">INDEX('Version control'!$H$42:$H$65,MATCH($A$1,'Version control'!$F$42:$F$65,0),1)&amp;"-A: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286</v>
      </c>
    </row>
    <row r="20" spans="3:27" x14ac:dyDescent="0.25">
      <c r="D20" s="86" t="s">
        <v>624</v>
      </c>
      <c r="E20"/>
    </row>
    <row r="21" spans="3:27" x14ac:dyDescent="0.25">
      <c r="C21" s="105"/>
      <c r="E21" s="95" t="s">
        <v>190</v>
      </c>
      <c r="F21" s="95"/>
      <c r="G21" s="95" t="s">
        <v>625</v>
      </c>
      <c r="H21" s="117"/>
    </row>
    <row r="22" spans="3:27" x14ac:dyDescent="0.25">
      <c r="C22" s="105"/>
      <c r="E22" t="s">
        <v>192</v>
      </c>
      <c r="G22" t="s">
        <v>625</v>
      </c>
      <c r="H22" s="167">
        <f t="array" ref="H22:H30">TRANSPOSE('Inputs by network level'!K21:S21)</f>
        <v>0.16398733239094856</v>
      </c>
    </row>
    <row r="23" spans="3:27" x14ac:dyDescent="0.25">
      <c r="C23" s="105"/>
      <c r="E23" t="s">
        <v>193</v>
      </c>
      <c r="G23" t="s">
        <v>625</v>
      </c>
      <c r="H23" s="167">
        <v>0.16398733239094856</v>
      </c>
    </row>
    <row r="24" spans="3:27" x14ac:dyDescent="0.25">
      <c r="C24" s="105"/>
      <c r="E24" t="s">
        <v>194</v>
      </c>
      <c r="G24" t="s">
        <v>625</v>
      </c>
      <c r="H24" s="167">
        <v>0.16398733239094856</v>
      </c>
    </row>
    <row r="25" spans="3:27" x14ac:dyDescent="0.25">
      <c r="C25" s="105"/>
      <c r="E25" t="s">
        <v>195</v>
      </c>
      <c r="G25" t="s">
        <v>625</v>
      </c>
      <c r="H25" s="167">
        <v>0.16398733239094856</v>
      </c>
    </row>
    <row r="26" spans="3:27" x14ac:dyDescent="0.25">
      <c r="C26" s="105"/>
      <c r="E26" t="s">
        <v>196</v>
      </c>
      <c r="G26" t="s">
        <v>625</v>
      </c>
      <c r="H26" s="167">
        <v>0.16398733239094856</v>
      </c>
    </row>
    <row r="27" spans="3:27" x14ac:dyDescent="0.25">
      <c r="C27" s="105"/>
      <c r="E27" t="s">
        <v>197</v>
      </c>
      <c r="G27" t="s">
        <v>625</v>
      </c>
      <c r="H27" s="167">
        <v>0.16398733239094856</v>
      </c>
    </row>
    <row r="28" spans="3:27" x14ac:dyDescent="0.25">
      <c r="C28" s="105"/>
      <c r="E28" t="s">
        <v>198</v>
      </c>
      <c r="G28" t="s">
        <v>625</v>
      </c>
      <c r="H28" s="167">
        <v>0.16398733239094856</v>
      </c>
    </row>
    <row r="29" spans="3:27" x14ac:dyDescent="0.25">
      <c r="C29" s="105"/>
      <c r="E29" t="s">
        <v>199</v>
      </c>
      <c r="G29" t="s">
        <v>625</v>
      </c>
      <c r="H29" s="167">
        <v>0.16398733239094856</v>
      </c>
    </row>
    <row r="30" spans="3:27" x14ac:dyDescent="0.25">
      <c r="C30" s="105"/>
      <c r="E30" t="s">
        <v>200</v>
      </c>
      <c r="G30" t="s">
        <v>625</v>
      </c>
      <c r="H30" s="167">
        <v>0.16398733239094856</v>
      </c>
    </row>
    <row r="31" spans="3:27" x14ac:dyDescent="0.25">
      <c r="C31" s="105"/>
      <c r="E31" t="s">
        <v>335</v>
      </c>
      <c r="G31" t="s">
        <v>625</v>
      </c>
      <c r="H31" s="119"/>
    </row>
    <row r="32" spans="3:27" x14ac:dyDescent="0.25">
      <c r="C32" s="105"/>
      <c r="E32" s="96" t="s">
        <v>336</v>
      </c>
      <c r="F32" s="96"/>
      <c r="G32" s="96" t="s">
        <v>625</v>
      </c>
      <c r="H32" s="121"/>
    </row>
    <row r="33" spans="3:8" x14ac:dyDescent="0.25">
      <c r="C33" s="105"/>
      <c r="H33" s="106"/>
    </row>
    <row r="34" spans="3:8" x14ac:dyDescent="0.25">
      <c r="D34" s="105" t="s">
        <v>353</v>
      </c>
      <c r="H34" s="106"/>
    </row>
    <row r="35" spans="3:8" x14ac:dyDescent="0.25">
      <c r="C35" s="105"/>
      <c r="E35" s="95" t="s">
        <v>190</v>
      </c>
      <c r="F35" s="95"/>
      <c r="G35" s="98" t="s">
        <v>284</v>
      </c>
      <c r="H35" s="171">
        <f t="array" ref="H35:H44">TRANSPOSE('Load &amp; loss characteristics'!J29:S29)</f>
        <v>1</v>
      </c>
    </row>
    <row r="36" spans="3:8" x14ac:dyDescent="0.25">
      <c r="C36" s="105"/>
      <c r="E36" t="s">
        <v>192</v>
      </c>
      <c r="G36" s="94" t="s">
        <v>284</v>
      </c>
      <c r="H36" s="167">
        <v>1</v>
      </c>
    </row>
    <row r="37" spans="3:8" x14ac:dyDescent="0.25">
      <c r="C37" s="105"/>
      <c r="E37" t="s">
        <v>193</v>
      </c>
      <c r="G37" s="94" t="s">
        <v>284</v>
      </c>
      <c r="H37" s="167">
        <v>1.0009999999999999</v>
      </c>
    </row>
    <row r="38" spans="3:8" x14ac:dyDescent="0.25">
      <c r="C38" s="105"/>
      <c r="E38" t="s">
        <v>194</v>
      </c>
      <c r="G38" s="94" t="s">
        <v>284</v>
      </c>
      <c r="H38" s="167">
        <v>1.0049999999999999</v>
      </c>
    </row>
    <row r="39" spans="3:8" x14ac:dyDescent="0.25">
      <c r="C39" s="105"/>
      <c r="E39" t="s">
        <v>195</v>
      </c>
      <c r="G39" s="94" t="s">
        <v>284</v>
      </c>
      <c r="H39" s="167">
        <v>1.012</v>
      </c>
    </row>
    <row r="40" spans="3:8" x14ac:dyDescent="0.25">
      <c r="C40" s="105"/>
      <c r="E40" t="s">
        <v>196</v>
      </c>
      <c r="G40" s="94" t="s">
        <v>284</v>
      </c>
      <c r="H40" s="167">
        <v>1.018</v>
      </c>
    </row>
    <row r="41" spans="3:8" x14ac:dyDescent="0.25">
      <c r="C41" s="105"/>
      <c r="E41" t="s">
        <v>197</v>
      </c>
      <c r="G41" s="94" t="s">
        <v>284</v>
      </c>
      <c r="H41" s="167">
        <v>1.018</v>
      </c>
    </row>
    <row r="42" spans="3:8" x14ac:dyDescent="0.25">
      <c r="C42" s="105"/>
      <c r="E42" t="s">
        <v>198</v>
      </c>
      <c r="G42" s="94" t="s">
        <v>284</v>
      </c>
      <c r="H42" s="167">
        <v>1.034</v>
      </c>
    </row>
    <row r="43" spans="3:8" x14ac:dyDescent="0.25">
      <c r="C43" s="105"/>
      <c r="E43" t="s">
        <v>199</v>
      </c>
      <c r="G43" s="94" t="s">
        <v>284</v>
      </c>
      <c r="H43" s="167">
        <v>1.048</v>
      </c>
    </row>
    <row r="44" spans="3:8" x14ac:dyDescent="0.25">
      <c r="C44" s="105"/>
      <c r="E44" t="s">
        <v>200</v>
      </c>
      <c r="G44" s="94" t="s">
        <v>284</v>
      </c>
      <c r="H44" s="167">
        <v>1.0620000000000001</v>
      </c>
    </row>
    <row r="45" spans="3:8" x14ac:dyDescent="0.25">
      <c r="C45" s="105"/>
      <c r="E45" t="s">
        <v>335</v>
      </c>
      <c r="G45" s="94" t="s">
        <v>284</v>
      </c>
      <c r="H45" s="119"/>
    </row>
    <row r="46" spans="3:8" x14ac:dyDescent="0.25">
      <c r="C46" s="105"/>
      <c r="E46" s="96" t="s">
        <v>336</v>
      </c>
      <c r="F46" s="96"/>
      <c r="G46" s="101" t="s">
        <v>284</v>
      </c>
      <c r="H46" s="121"/>
    </row>
    <row r="47" spans="3:8" x14ac:dyDescent="0.25">
      <c r="C47" s="105"/>
      <c r="H47" s="106"/>
    </row>
    <row r="48" spans="3:8" x14ac:dyDescent="0.25">
      <c r="D48" s="75" t="s">
        <v>626</v>
      </c>
      <c r="H48" s="106"/>
    </row>
    <row r="49" spans="3:8" x14ac:dyDescent="0.25">
      <c r="C49" s="105"/>
      <c r="E49" s="95" t="s">
        <v>190</v>
      </c>
      <c r="F49" s="95"/>
      <c r="G49" s="95" t="s">
        <v>543</v>
      </c>
      <c r="H49" s="117"/>
    </row>
    <row r="50" spans="3:8" x14ac:dyDescent="0.25">
      <c r="C50" s="105"/>
      <c r="E50" t="s">
        <v>192</v>
      </c>
      <c r="G50" t="s">
        <v>543</v>
      </c>
      <c r="H50" s="119"/>
    </row>
    <row r="51" spans="3:8" x14ac:dyDescent="0.25">
      <c r="C51" s="105"/>
      <c r="E51" t="s">
        <v>193</v>
      </c>
      <c r="G51" t="s">
        <v>543</v>
      </c>
      <c r="H51" s="167">
        <f t="array" ref="H51:H58">TRANSPOSE('Unit costs'!L114:S114)</f>
        <v>15.12122136240697</v>
      </c>
    </row>
    <row r="52" spans="3:8" x14ac:dyDescent="0.25">
      <c r="C52" s="105"/>
      <c r="E52" t="s">
        <v>194</v>
      </c>
      <c r="G52" t="s">
        <v>543</v>
      </c>
      <c r="H52" s="167">
        <v>2.1746413888898428</v>
      </c>
    </row>
    <row r="53" spans="3:8" x14ac:dyDescent="0.25">
      <c r="C53" s="105"/>
      <c r="E53" t="s">
        <v>195</v>
      </c>
      <c r="G53" t="s">
        <v>543</v>
      </c>
      <c r="H53" s="167">
        <v>7.0021558662936085</v>
      </c>
    </row>
    <row r="54" spans="3:8" x14ac:dyDescent="0.25">
      <c r="C54" s="105"/>
      <c r="E54" t="s">
        <v>196</v>
      </c>
      <c r="G54" t="s">
        <v>543</v>
      </c>
      <c r="H54" s="167">
        <v>5.5712557651603305</v>
      </c>
    </row>
    <row r="55" spans="3:8" x14ac:dyDescent="0.25">
      <c r="C55" s="105"/>
      <c r="E55" t="s">
        <v>197</v>
      </c>
      <c r="G55" t="s">
        <v>543</v>
      </c>
      <c r="H55" s="167">
        <v>0</v>
      </c>
    </row>
    <row r="56" spans="3:8" x14ac:dyDescent="0.25">
      <c r="C56" s="105"/>
      <c r="E56" t="s">
        <v>198</v>
      </c>
      <c r="G56" t="s">
        <v>543</v>
      </c>
      <c r="H56" s="167">
        <v>26.058914094438997</v>
      </c>
    </row>
    <row r="57" spans="3:8" x14ac:dyDescent="0.25">
      <c r="C57" s="105"/>
      <c r="E57" t="s">
        <v>199</v>
      </c>
      <c r="G57" t="s">
        <v>543</v>
      </c>
      <c r="H57" s="167">
        <v>10.836342404128287</v>
      </c>
    </row>
    <row r="58" spans="3:8" x14ac:dyDescent="0.25">
      <c r="C58" s="105"/>
      <c r="E58" t="s">
        <v>200</v>
      </c>
      <c r="G58" t="s">
        <v>543</v>
      </c>
      <c r="H58" s="167">
        <v>27.099220777353036</v>
      </c>
    </row>
    <row r="59" spans="3:8" x14ac:dyDescent="0.25">
      <c r="C59" s="105"/>
      <c r="E59" t="s">
        <v>335</v>
      </c>
      <c r="G59" t="s">
        <v>543</v>
      </c>
      <c r="H59" s="119"/>
    </row>
    <row r="60" spans="3:8" x14ac:dyDescent="0.25">
      <c r="C60" s="105"/>
      <c r="E60" s="96" t="s">
        <v>336</v>
      </c>
      <c r="F60" s="96"/>
      <c r="G60" s="96" t="s">
        <v>543</v>
      </c>
      <c r="H60" s="121"/>
    </row>
    <row r="61" spans="3:8" x14ac:dyDescent="0.25">
      <c r="C61" s="105"/>
      <c r="H61" s="106"/>
    </row>
    <row r="62" spans="3:8" x14ac:dyDescent="0.25">
      <c r="C62" s="105"/>
      <c r="D62" s="75" t="s">
        <v>627</v>
      </c>
      <c r="E62"/>
      <c r="H62" s="106"/>
    </row>
    <row r="63" spans="3:8" x14ac:dyDescent="0.25">
      <c r="C63" s="105"/>
      <c r="E63" s="95" t="s">
        <v>190</v>
      </c>
      <c r="F63" s="95"/>
      <c r="G63" s="95" t="s">
        <v>543</v>
      </c>
      <c r="H63" s="171">
        <f t="array" ref="H63:H72">TRANSPOSE('Unit costs'!J115:S115)</f>
        <v>4.8157378042902286</v>
      </c>
    </row>
    <row r="64" spans="3:8" x14ac:dyDescent="0.25">
      <c r="C64" s="105"/>
      <c r="E64" t="s">
        <v>192</v>
      </c>
      <c r="G64" t="s">
        <v>543</v>
      </c>
      <c r="H64" s="167">
        <v>0</v>
      </c>
    </row>
    <row r="65" spans="3:42" x14ac:dyDescent="0.25">
      <c r="C65" s="105"/>
      <c r="E65" t="s">
        <v>193</v>
      </c>
      <c r="G65" t="s">
        <v>543</v>
      </c>
      <c r="H65" s="167">
        <v>11.708815246825228</v>
      </c>
    </row>
    <row r="66" spans="3:42" x14ac:dyDescent="0.25">
      <c r="C66" s="105"/>
      <c r="E66" t="s">
        <v>194</v>
      </c>
      <c r="G66" t="s">
        <v>543</v>
      </c>
      <c r="H66" s="167">
        <v>1.6838900536112194</v>
      </c>
    </row>
    <row r="67" spans="3:42" x14ac:dyDescent="0.25">
      <c r="C67" s="105"/>
      <c r="E67" t="s">
        <v>195</v>
      </c>
      <c r="G67" t="s">
        <v>543</v>
      </c>
      <c r="H67" s="167">
        <v>5.42197930993418</v>
      </c>
    </row>
    <row r="68" spans="3:42" x14ac:dyDescent="0.25">
      <c r="C68" s="105"/>
      <c r="E68" t="s">
        <v>196</v>
      </c>
      <c r="G68" t="s">
        <v>543</v>
      </c>
      <c r="H68" s="167">
        <v>4.313990443209053</v>
      </c>
    </row>
    <row r="69" spans="3:42" x14ac:dyDescent="0.25">
      <c r="C69" s="105"/>
      <c r="E69" t="s">
        <v>197</v>
      </c>
      <c r="G69" t="s">
        <v>543</v>
      </c>
      <c r="H69" s="167">
        <v>0</v>
      </c>
    </row>
    <row r="70" spans="3:42" x14ac:dyDescent="0.25">
      <c r="C70" s="105"/>
      <c r="E70" t="s">
        <v>198</v>
      </c>
      <c r="G70" t="s">
        <v>543</v>
      </c>
      <c r="H70" s="167">
        <v>20.178198794393406</v>
      </c>
    </row>
    <row r="71" spans="3:42" x14ac:dyDescent="0.25">
      <c r="C71" s="105"/>
      <c r="E71" t="s">
        <v>199</v>
      </c>
      <c r="G71" t="s">
        <v>543</v>
      </c>
      <c r="H71" s="167">
        <v>8.3909049487705794</v>
      </c>
    </row>
    <row r="72" spans="3:42" x14ac:dyDescent="0.25">
      <c r="C72" s="105"/>
      <c r="E72" t="s">
        <v>200</v>
      </c>
      <c r="G72" t="s">
        <v>543</v>
      </c>
      <c r="H72" s="167">
        <v>20.983739461932394</v>
      </c>
    </row>
    <row r="73" spans="3:42" x14ac:dyDescent="0.25">
      <c r="C73" s="105"/>
      <c r="E73" t="s">
        <v>335</v>
      </c>
      <c r="G73" t="s">
        <v>543</v>
      </c>
      <c r="H73" s="119"/>
    </row>
    <row r="74" spans="3:42" x14ac:dyDescent="0.25">
      <c r="C74" s="105"/>
      <c r="E74" s="96" t="s">
        <v>336</v>
      </c>
      <c r="F74" s="96"/>
      <c r="G74" s="96" t="s">
        <v>543</v>
      </c>
      <c r="H74" s="121"/>
    </row>
    <row r="75" spans="3:42" x14ac:dyDescent="0.25">
      <c r="C75" s="105"/>
      <c r="H75" s="97"/>
    </row>
    <row r="76" spans="3:42" x14ac:dyDescent="0.25">
      <c r="D76" s="105" t="s">
        <v>628</v>
      </c>
    </row>
    <row r="77" spans="3:42" x14ac:dyDescent="0.25">
      <c r="D77" s="86" t="s">
        <v>629</v>
      </c>
      <c r="E77" s="292"/>
    </row>
    <row r="78" spans="3:42" x14ac:dyDescent="0.25">
      <c r="C78" s="105"/>
      <c r="E78" t="s">
        <v>630</v>
      </c>
      <c r="G78" t="s">
        <v>631</v>
      </c>
      <c r="I78" t="s">
        <v>155</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224</v>
      </c>
    </row>
    <row r="79" spans="3:42" x14ac:dyDescent="0.25">
      <c r="C79" s="105"/>
    </row>
    <row r="80" spans="3:42" x14ac:dyDescent="0.25">
      <c r="D80" s="75" t="s">
        <v>122</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192</v>
      </c>
      <c r="F81" s="95"/>
      <c r="G81" s="95" t="s">
        <v>168</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193</v>
      </c>
      <c r="G82" t="s">
        <v>168</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194</v>
      </c>
      <c r="G83" t="s">
        <v>168</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195</v>
      </c>
      <c r="G84" t="s">
        <v>168</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196</v>
      </c>
      <c r="G85" t="s">
        <v>168</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197</v>
      </c>
      <c r="G86" t="s">
        <v>168</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198</v>
      </c>
      <c r="G87" t="s">
        <v>168</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199</v>
      </c>
      <c r="G88" t="s">
        <v>168</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200</v>
      </c>
      <c r="F89" s="96"/>
      <c r="G89" s="96" t="s">
        <v>168</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363</v>
      </c>
      <c r="E91" s="75"/>
      <c r="I91" t="s">
        <v>155</v>
      </c>
      <c r="AA91" t="s">
        <v>632</v>
      </c>
    </row>
    <row r="92" spans="3:42" x14ac:dyDescent="0.25">
      <c r="D92" s="86" t="s">
        <v>360</v>
      </c>
      <c r="E92"/>
      <c r="AA92" s="293"/>
    </row>
    <row r="93" spans="3:42" x14ac:dyDescent="0.25">
      <c r="D93"/>
      <c r="E93" s="95" t="s">
        <v>190</v>
      </c>
      <c r="F93" s="95"/>
      <c r="G93" s="98" t="s">
        <v>284</v>
      </c>
      <c r="H93" s="95"/>
      <c r="I93" s="95"/>
      <c r="J93" s="117"/>
      <c r="K93" s="117"/>
      <c r="L93" s="117"/>
      <c r="M93" s="117"/>
      <c r="N93" s="117"/>
      <c r="O93" s="117"/>
      <c r="P93" s="117"/>
      <c r="Q93" s="117"/>
      <c r="R93" s="171">
        <f t="array" ref="R93:Y102">TRANSPOSE('Load &amp; loss characteristics'!J172:S179)</f>
        <v>-1.0620000000000001</v>
      </c>
      <c r="S93" s="171">
        <v>-1.048</v>
      </c>
      <c r="T93" s="171">
        <v>-1.0620000000000001</v>
      </c>
      <c r="U93" s="171">
        <v>-1.0620000000000001</v>
      </c>
      <c r="V93" s="171">
        <v>-1.048</v>
      </c>
      <c r="W93" s="171">
        <v>-1.048</v>
      </c>
      <c r="X93" s="171">
        <v>-1.034</v>
      </c>
      <c r="Y93" s="171">
        <v>-1.034</v>
      </c>
    </row>
    <row r="94" spans="3:42" x14ac:dyDescent="0.25">
      <c r="D94"/>
      <c r="E94" t="s">
        <v>192</v>
      </c>
      <c r="G94" s="94" t="s">
        <v>284</v>
      </c>
      <c r="J94" s="119"/>
      <c r="K94" s="119"/>
      <c r="L94" s="119"/>
      <c r="M94" s="119"/>
      <c r="N94" s="119"/>
      <c r="O94" s="119"/>
      <c r="P94" s="119"/>
      <c r="Q94" s="119"/>
      <c r="R94" s="167">
        <v>-1.0620000000000001</v>
      </c>
      <c r="S94" s="167">
        <v>-1.048</v>
      </c>
      <c r="T94" s="167">
        <v>-1.0620000000000001</v>
      </c>
      <c r="U94" s="167">
        <v>-1.0620000000000001</v>
      </c>
      <c r="V94" s="167">
        <v>-1.048</v>
      </c>
      <c r="W94" s="167">
        <v>-1.048</v>
      </c>
      <c r="X94" s="167">
        <v>-1.034</v>
      </c>
      <c r="Y94" s="167">
        <v>-1.034</v>
      </c>
    </row>
    <row r="95" spans="3:42" x14ac:dyDescent="0.25">
      <c r="D95"/>
      <c r="E95" t="s">
        <v>193</v>
      </c>
      <c r="G95" s="94" t="s">
        <v>284</v>
      </c>
      <c r="J95" s="119"/>
      <c r="K95" s="119"/>
      <c r="L95" s="119"/>
      <c r="M95" s="119"/>
      <c r="N95" s="119"/>
      <c r="O95" s="119"/>
      <c r="P95" s="119"/>
      <c r="Q95" s="119"/>
      <c r="R95" s="167">
        <v>-1.0620000000000001</v>
      </c>
      <c r="S95" s="167">
        <v>-1.048</v>
      </c>
      <c r="T95" s="167">
        <v>-1.0620000000000001</v>
      </c>
      <c r="U95" s="167">
        <v>-1.0620000000000001</v>
      </c>
      <c r="V95" s="167">
        <v>-1.048</v>
      </c>
      <c r="W95" s="167">
        <v>-1.048</v>
      </c>
      <c r="X95" s="167">
        <v>-1.034</v>
      </c>
      <c r="Y95" s="167">
        <v>-1.034</v>
      </c>
    </row>
    <row r="96" spans="3:42" x14ac:dyDescent="0.25">
      <c r="D96"/>
      <c r="E96" t="s">
        <v>194</v>
      </c>
      <c r="G96" s="94" t="s">
        <v>284</v>
      </c>
      <c r="J96" s="119"/>
      <c r="K96" s="119"/>
      <c r="L96" s="119"/>
      <c r="M96" s="119"/>
      <c r="N96" s="119"/>
      <c r="O96" s="119"/>
      <c r="P96" s="119"/>
      <c r="Q96" s="119"/>
      <c r="R96" s="167">
        <v>-1.0620000000000001</v>
      </c>
      <c r="S96" s="167">
        <v>-1.048</v>
      </c>
      <c r="T96" s="167">
        <v>-1.0620000000000001</v>
      </c>
      <c r="U96" s="167">
        <v>-1.0620000000000001</v>
      </c>
      <c r="V96" s="167">
        <v>-1.048</v>
      </c>
      <c r="W96" s="167">
        <v>-1.048</v>
      </c>
      <c r="X96" s="167">
        <v>-1.034</v>
      </c>
      <c r="Y96" s="167">
        <v>-1.034</v>
      </c>
    </row>
    <row r="97" spans="3:25" x14ac:dyDescent="0.25">
      <c r="D97"/>
      <c r="E97" t="s">
        <v>195</v>
      </c>
      <c r="G97" s="94" t="s">
        <v>284</v>
      </c>
      <c r="J97" s="119"/>
      <c r="K97" s="119"/>
      <c r="L97" s="119"/>
      <c r="M97" s="119"/>
      <c r="N97" s="119"/>
      <c r="O97" s="119"/>
      <c r="P97" s="119"/>
      <c r="Q97" s="119"/>
      <c r="R97" s="167">
        <v>-1.0620000000000001</v>
      </c>
      <c r="S97" s="167">
        <v>-1.048</v>
      </c>
      <c r="T97" s="167">
        <v>-1.0620000000000001</v>
      </c>
      <c r="U97" s="167">
        <v>-1.0620000000000001</v>
      </c>
      <c r="V97" s="167">
        <v>-1.048</v>
      </c>
      <c r="W97" s="167">
        <v>-1.048</v>
      </c>
      <c r="X97" s="167">
        <v>-1.034</v>
      </c>
      <c r="Y97" s="167">
        <v>-1.034</v>
      </c>
    </row>
    <row r="98" spans="3:25" x14ac:dyDescent="0.25">
      <c r="D98"/>
      <c r="E98" t="s">
        <v>196</v>
      </c>
      <c r="G98" s="94" t="s">
        <v>284</v>
      </c>
      <c r="J98" s="119"/>
      <c r="K98" s="119"/>
      <c r="L98" s="119"/>
      <c r="M98" s="119"/>
      <c r="N98" s="119"/>
      <c r="O98" s="119"/>
      <c r="P98" s="119"/>
      <c r="Q98" s="119"/>
      <c r="R98" s="167">
        <v>-1.0620000000000001</v>
      </c>
      <c r="S98" s="167">
        <v>-1.048</v>
      </c>
      <c r="T98" s="167">
        <v>-1.0620000000000001</v>
      </c>
      <c r="U98" s="167">
        <v>-1.0620000000000001</v>
      </c>
      <c r="V98" s="167">
        <v>-1.048</v>
      </c>
      <c r="W98" s="167">
        <v>-1.048</v>
      </c>
      <c r="X98" s="167">
        <v>-1.034</v>
      </c>
      <c r="Y98" s="167">
        <v>-1.034</v>
      </c>
    </row>
    <row r="99" spans="3:25" x14ac:dyDescent="0.25">
      <c r="D99"/>
      <c r="E99" t="s">
        <v>197</v>
      </c>
      <c r="G99" s="94" t="s">
        <v>284</v>
      </c>
      <c r="J99" s="119"/>
      <c r="K99" s="119"/>
      <c r="L99" s="119"/>
      <c r="M99" s="119"/>
      <c r="N99" s="119"/>
      <c r="O99" s="119"/>
      <c r="P99" s="119"/>
      <c r="Q99" s="119"/>
      <c r="R99" s="167">
        <v>0</v>
      </c>
      <c r="S99" s="167">
        <v>0</v>
      </c>
      <c r="T99" s="167">
        <v>0</v>
      </c>
      <c r="U99" s="167">
        <v>0</v>
      </c>
      <c r="V99" s="167">
        <v>0</v>
      </c>
      <c r="W99" s="167">
        <v>0</v>
      </c>
      <c r="X99" s="167">
        <v>0</v>
      </c>
      <c r="Y99" s="167">
        <v>0</v>
      </c>
    </row>
    <row r="100" spans="3:25" x14ac:dyDescent="0.25">
      <c r="D100"/>
      <c r="E100" t="s">
        <v>198</v>
      </c>
      <c r="G100" s="94" t="s">
        <v>284</v>
      </c>
      <c r="J100" s="119"/>
      <c r="K100" s="119"/>
      <c r="L100" s="119"/>
      <c r="M100" s="119"/>
      <c r="N100" s="119"/>
      <c r="O100" s="119"/>
      <c r="P100" s="119"/>
      <c r="Q100" s="119"/>
      <c r="R100" s="167">
        <v>-1.0620000000000001</v>
      </c>
      <c r="S100" s="167">
        <v>-1.048</v>
      </c>
      <c r="T100" s="167">
        <v>-1.0620000000000001</v>
      </c>
      <c r="U100" s="167">
        <v>-1.0620000000000001</v>
      </c>
      <c r="V100" s="167">
        <v>-1.048</v>
      </c>
      <c r="W100" s="167">
        <v>-1.048</v>
      </c>
      <c r="X100" s="167">
        <v>-1.034</v>
      </c>
      <c r="Y100" s="167">
        <v>-1.034</v>
      </c>
    </row>
    <row r="101" spans="3:25" x14ac:dyDescent="0.25">
      <c r="D101"/>
      <c r="E101" t="s">
        <v>199</v>
      </c>
      <c r="G101" s="94" t="s">
        <v>284</v>
      </c>
      <c r="J101" s="119"/>
      <c r="K101" s="119"/>
      <c r="L101" s="119"/>
      <c r="M101" s="119"/>
      <c r="N101" s="119"/>
      <c r="O101" s="119"/>
      <c r="P101" s="119"/>
      <c r="Q101" s="119"/>
      <c r="R101" s="167">
        <v>-1.0620000000000001</v>
      </c>
      <c r="S101" s="167">
        <v>-1.048</v>
      </c>
      <c r="T101" s="167">
        <v>-1.0620000000000001</v>
      </c>
      <c r="U101" s="167">
        <v>-1.0620000000000001</v>
      </c>
      <c r="V101" s="167">
        <v>-1.048</v>
      </c>
      <c r="W101" s="167">
        <v>-1.048</v>
      </c>
      <c r="X101" s="167">
        <v>0</v>
      </c>
      <c r="Y101" s="167">
        <v>0</v>
      </c>
    </row>
    <row r="102" spans="3:25" x14ac:dyDescent="0.25">
      <c r="D102"/>
      <c r="E102" t="s">
        <v>200</v>
      </c>
      <c r="G102" s="94" t="s">
        <v>284</v>
      </c>
      <c r="J102" s="119"/>
      <c r="K102" s="119"/>
      <c r="L102" s="119"/>
      <c r="M102" s="119"/>
      <c r="N102" s="119"/>
      <c r="O102" s="119"/>
      <c r="P102" s="119"/>
      <c r="Q102" s="119"/>
      <c r="R102" s="167">
        <v>-1.0620000000000001</v>
      </c>
      <c r="S102" s="167">
        <v>0</v>
      </c>
      <c r="T102" s="167">
        <v>-1.0620000000000001</v>
      </c>
      <c r="U102" s="167">
        <v>-1.0620000000000001</v>
      </c>
      <c r="V102" s="167">
        <v>0</v>
      </c>
      <c r="W102" s="167">
        <v>0</v>
      </c>
      <c r="X102" s="167">
        <v>0</v>
      </c>
      <c r="Y102" s="167">
        <v>0</v>
      </c>
    </row>
    <row r="103" spans="3:25" x14ac:dyDescent="0.25">
      <c r="D103"/>
      <c r="E103" t="s">
        <v>335</v>
      </c>
      <c r="G103" s="94" t="s">
        <v>284</v>
      </c>
      <c r="J103" s="119"/>
      <c r="K103" s="119"/>
      <c r="L103" s="119"/>
      <c r="M103" s="119"/>
      <c r="N103" s="119"/>
      <c r="O103" s="119"/>
      <c r="P103" s="119"/>
      <c r="Q103" s="119"/>
      <c r="R103" s="119"/>
      <c r="S103" s="119"/>
      <c r="T103" s="119"/>
      <c r="U103" s="119"/>
      <c r="V103" s="119"/>
      <c r="W103" s="119"/>
      <c r="X103" s="119"/>
      <c r="Y103" s="119"/>
    </row>
    <row r="104" spans="3:25" x14ac:dyDescent="0.25">
      <c r="D104"/>
      <c r="E104" s="96" t="s">
        <v>336</v>
      </c>
      <c r="F104" s="96"/>
      <c r="G104" s="101" t="s">
        <v>284</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374</v>
      </c>
      <c r="E106"/>
    </row>
    <row r="107" spans="3:25" x14ac:dyDescent="0.25">
      <c r="C107" s="105"/>
      <c r="E107" s="95" t="s">
        <v>190</v>
      </c>
      <c r="F107" s="95"/>
      <c r="G107" s="95" t="s">
        <v>168</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192</v>
      </c>
      <c r="G108" t="s">
        <v>168</v>
      </c>
      <c r="J108" s="100"/>
      <c r="K108" s="100"/>
      <c r="L108" s="100"/>
      <c r="M108" s="100"/>
      <c r="N108" s="100"/>
      <c r="O108" s="100"/>
      <c r="P108" s="100"/>
      <c r="Q108" s="100"/>
      <c r="R108" s="100"/>
      <c r="S108" s="100"/>
      <c r="T108" s="100"/>
      <c r="U108" s="100"/>
      <c r="V108" s="100"/>
      <c r="W108" s="100"/>
      <c r="X108" s="100"/>
      <c r="Y108" s="100"/>
    </row>
    <row r="109" spans="3:25" x14ac:dyDescent="0.25">
      <c r="C109" s="105"/>
      <c r="E109" t="s">
        <v>193</v>
      </c>
      <c r="G109" t="s">
        <v>168</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194</v>
      </c>
      <c r="G110" t="s">
        <v>168</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195</v>
      </c>
      <c r="G111" t="s">
        <v>168</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196</v>
      </c>
      <c r="G112" t="s">
        <v>168</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197</v>
      </c>
      <c r="G113" t="s">
        <v>168</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198</v>
      </c>
      <c r="G114" t="s">
        <v>168</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199</v>
      </c>
      <c r="G115" t="s">
        <v>168</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200</v>
      </c>
      <c r="G116" t="s">
        <v>168</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335</v>
      </c>
      <c r="G117" t="s">
        <v>168</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336</v>
      </c>
      <c r="F118" s="96"/>
      <c r="G118" s="96" t="s">
        <v>168</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control'!$H$42:$H$65,MATCH($A$1,'Version control'!$F$42:$F$65,0),1)&amp;"-B: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579</v>
      </c>
      <c r="E122"/>
    </row>
    <row r="123" spans="3:27" x14ac:dyDescent="0.25">
      <c r="E123" s="95" t="s">
        <v>190</v>
      </c>
      <c r="F123" s="95"/>
      <c r="G123" s="95" t="s">
        <v>270</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192</v>
      </c>
      <c r="G124" t="s">
        <v>270</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193</v>
      </c>
      <c r="G125" t="s">
        <v>270</v>
      </c>
      <c r="H125" s="268"/>
      <c r="I125" s="268"/>
      <c r="J125" s="279">
        <f>'Initial unit rates'!J125</f>
        <v>0.40184770040784767</v>
      </c>
      <c r="K125" s="279">
        <f>'Initial unit rates'!K125</f>
        <v>0.40184770040784767</v>
      </c>
      <c r="L125" s="279">
        <f>'Initial unit rates'!L125</f>
        <v>0.30471986283572605</v>
      </c>
      <c r="M125" s="279">
        <f>'Initial unit rates'!M125</f>
        <v>0.30471986283572605</v>
      </c>
      <c r="N125" s="279">
        <f>'Initial unit rates'!N125</f>
        <v>0.26279798483081979</v>
      </c>
      <c r="O125" s="279">
        <f>'Initial unit rates'!O125</f>
        <v>0.23400990262681123</v>
      </c>
      <c r="P125" s="279">
        <f>'Initial unit rates'!P125</f>
        <v>0.206874181165947</v>
      </c>
      <c r="Q125" s="279">
        <f>'Initial unit rates'!Q125</f>
        <v>0.36181866066110474</v>
      </c>
      <c r="R125" s="294"/>
      <c r="S125" s="294"/>
      <c r="T125" s="294"/>
      <c r="U125" s="294"/>
      <c r="V125" s="294"/>
      <c r="W125" s="294"/>
      <c r="X125" s="294"/>
      <c r="Y125" s="294"/>
      <c r="Z125" s="268"/>
      <c r="AA125" s="268"/>
    </row>
    <row r="126" spans="3:27" x14ac:dyDescent="0.25">
      <c r="E126" t="s">
        <v>194</v>
      </c>
      <c r="G126" t="s">
        <v>270</v>
      </c>
      <c r="H126" s="268"/>
      <c r="I126" s="268"/>
      <c r="J126" s="279">
        <f>'Initial unit rates'!J126</f>
        <v>5.7561258608103634E-2</v>
      </c>
      <c r="K126" s="279">
        <f>'Initial unit rates'!K126</f>
        <v>5.7561258608103634E-2</v>
      </c>
      <c r="L126" s="279">
        <f>'Initial unit rates'!L126</f>
        <v>4.3648523582220704E-2</v>
      </c>
      <c r="M126" s="279">
        <f>'Initial unit rates'!M126</f>
        <v>4.3648523582220704E-2</v>
      </c>
      <c r="N126" s="279">
        <f>'Initial unit rates'!N126</f>
        <v>3.7643571808878028E-2</v>
      </c>
      <c r="O126" s="279">
        <f>'Initial unit rates'!O126</f>
        <v>3.3519924360119552E-2</v>
      </c>
      <c r="P126" s="279">
        <f>'Initial unit rates'!P126</f>
        <v>2.9632963506689293E-2</v>
      </c>
      <c r="Q126" s="279">
        <f>'Initial unit rates'!Q126</f>
        <v>5.1827439784808638E-2</v>
      </c>
      <c r="R126" s="294"/>
      <c r="S126" s="294"/>
      <c r="T126" s="294"/>
      <c r="U126" s="294"/>
      <c r="V126" s="294"/>
      <c r="W126" s="294"/>
      <c r="X126" s="294"/>
      <c r="Y126" s="294"/>
      <c r="Z126" s="268"/>
      <c r="AA126" s="268"/>
    </row>
    <row r="127" spans="3:27" x14ac:dyDescent="0.25">
      <c r="E127" t="s">
        <v>195</v>
      </c>
      <c r="G127" t="s">
        <v>270</v>
      </c>
      <c r="H127" s="268"/>
      <c r="I127" s="268"/>
      <c r="J127" s="279">
        <f>'Initial unit rates'!J127</f>
        <v>0.18406022773715963</v>
      </c>
      <c r="K127" s="279">
        <f>'Initial unit rates'!K127</f>
        <v>0.18406022773715963</v>
      </c>
      <c r="L127" s="279">
        <f>'Initial unit rates'!L127</f>
        <v>0.13957229888999129</v>
      </c>
      <c r="M127" s="279">
        <f>'Initial unit rates'!M127</f>
        <v>0.13957229888999129</v>
      </c>
      <c r="N127" s="279">
        <f>'Initial unit rates'!N127</f>
        <v>0.12037062023183021</v>
      </c>
      <c r="O127" s="279">
        <f>'Initial unit rates'!O127</f>
        <v>0.10718467699709719</v>
      </c>
      <c r="P127" s="279">
        <f>'Initial unit rates'!P127</f>
        <v>9.4755572471104832E-2</v>
      </c>
      <c r="Q127" s="279">
        <f>'Initial unit rates'!Q127</f>
        <v>0.16572553485623101</v>
      </c>
      <c r="R127" s="294"/>
      <c r="S127" s="294"/>
      <c r="T127" s="294"/>
      <c r="U127" s="294"/>
      <c r="V127" s="294"/>
      <c r="W127" s="294"/>
      <c r="X127" s="294"/>
      <c r="Y127" s="294"/>
      <c r="Z127" s="268"/>
      <c r="AA127" s="268"/>
    </row>
    <row r="128" spans="3:27" x14ac:dyDescent="0.25">
      <c r="E128" t="s">
        <v>196</v>
      </c>
      <c r="G128" t="s">
        <v>270</v>
      </c>
      <c r="H128" s="268"/>
      <c r="I128" s="268"/>
      <c r="J128" s="279">
        <f>'Initial unit rates'!J128</f>
        <v>0.14558412219986142</v>
      </c>
      <c r="K128" s="279">
        <f>'Initial unit rates'!K128</f>
        <v>0.14558412219986142</v>
      </c>
      <c r="L128" s="279">
        <f>'Initial unit rates'!L128</f>
        <v>0.11039598759126058</v>
      </c>
      <c r="M128" s="279">
        <f>'Initial unit rates'!M128</f>
        <v>0.11039598759126058</v>
      </c>
      <c r="N128" s="279">
        <f>'Initial unit rates'!N128</f>
        <v>9.5208244065243974E-2</v>
      </c>
      <c r="O128" s="279">
        <f>'Initial unit rates'!O128</f>
        <v>8.4778701546438032E-2</v>
      </c>
      <c r="P128" s="279">
        <f>'Initial unit rates'!P128</f>
        <v>7.494778753316797E-2</v>
      </c>
      <c r="Q128" s="279">
        <f>'Initial unit rates'!Q128</f>
        <v>0.13108212901160049</v>
      </c>
      <c r="R128" s="294"/>
      <c r="S128" s="294"/>
      <c r="T128" s="294"/>
      <c r="U128" s="294"/>
      <c r="V128" s="294"/>
      <c r="W128" s="294"/>
      <c r="X128" s="294"/>
      <c r="Y128" s="294"/>
      <c r="Z128" s="268"/>
      <c r="AA128" s="268"/>
    </row>
    <row r="129" spans="4:27" x14ac:dyDescent="0.25">
      <c r="E129" t="s">
        <v>197</v>
      </c>
      <c r="G129" t="s">
        <v>270</v>
      </c>
      <c r="H129" s="268"/>
      <c r="I129" s="268"/>
      <c r="J129" s="279">
        <f>'Initial unit rates'!J129</f>
        <v>0</v>
      </c>
      <c r="K129" s="279">
        <f>'Initial unit rates'!K129</f>
        <v>0</v>
      </c>
      <c r="L129" s="279">
        <f>'Initial unit rates'!L129</f>
        <v>0</v>
      </c>
      <c r="M129" s="279">
        <f>'Initial unit rates'!M129</f>
        <v>0</v>
      </c>
      <c r="N129" s="279">
        <f>'Initial unit rates'!N129</f>
        <v>0</v>
      </c>
      <c r="O129" s="279">
        <f>'Initial unit rates'!O129</f>
        <v>0</v>
      </c>
      <c r="P129" s="279">
        <f>'Initial unit rates'!P129</f>
        <v>0</v>
      </c>
      <c r="Q129" s="279">
        <f>'Initial unit rates'!Q129</f>
        <v>0</v>
      </c>
      <c r="R129" s="294"/>
      <c r="S129" s="294"/>
      <c r="T129" s="294"/>
      <c r="U129" s="294"/>
      <c r="V129" s="294"/>
      <c r="W129" s="294"/>
      <c r="X129" s="294"/>
      <c r="Y129" s="294"/>
      <c r="Z129" s="268"/>
      <c r="AA129" s="268"/>
    </row>
    <row r="130" spans="4:27" x14ac:dyDescent="0.25">
      <c r="E130" t="s">
        <v>198</v>
      </c>
      <c r="G130" t="s">
        <v>270</v>
      </c>
      <c r="H130" s="268"/>
      <c r="I130" s="268"/>
      <c r="J130" s="279">
        <f>'Initial unit rates'!J130</f>
        <v>0.67041615225696927</v>
      </c>
      <c r="K130" s="279">
        <f>'Initial unit rates'!K130</f>
        <v>0.67041615225696927</v>
      </c>
      <c r="L130" s="279">
        <f>'Initial unit rates'!L130</f>
        <v>0.50837448553583753</v>
      </c>
      <c r="M130" s="279">
        <f>'Initial unit rates'!M130</f>
        <v>0.50837448553583753</v>
      </c>
      <c r="N130" s="279">
        <f>'Initial unit rates'!N130</f>
        <v>0.43843479415795827</v>
      </c>
      <c r="O130" s="279">
        <f>'Initial unit rates'!O130</f>
        <v>0.3904066599108777</v>
      </c>
      <c r="P130" s="279">
        <f>'Initial unit rates'!P130</f>
        <v>0.34513521515196632</v>
      </c>
      <c r="Q130" s="279">
        <f>'Initial unit rates'!Q130</f>
        <v>0.60363434716435371</v>
      </c>
      <c r="R130" s="294"/>
      <c r="S130" s="294"/>
      <c r="T130" s="294"/>
      <c r="U130" s="294"/>
      <c r="V130" s="294"/>
      <c r="W130" s="294"/>
      <c r="X130" s="294"/>
      <c r="Y130" s="294"/>
      <c r="Z130" s="268"/>
      <c r="AA130" s="268"/>
    </row>
    <row r="131" spans="4:27" x14ac:dyDescent="0.25">
      <c r="E131" t="s">
        <v>199</v>
      </c>
      <c r="G131" t="s">
        <v>270</v>
      </c>
      <c r="H131" s="268"/>
      <c r="I131" s="268"/>
      <c r="J131" s="279">
        <f>'Initial unit rates'!J131</f>
        <v>0.27506170480808989</v>
      </c>
      <c r="K131" s="279">
        <f>'Initial unit rates'!K131</f>
        <v>0.27506170480808989</v>
      </c>
      <c r="L131" s="279">
        <f>'Initial unit rates'!L131</f>
        <v>0.20857843624690123</v>
      </c>
      <c r="M131" s="279">
        <f>'Initial unit rates'!M131</f>
        <v>0.20857843624690123</v>
      </c>
      <c r="N131" s="279">
        <f>'Initial unit rates'!N131</f>
        <v>0.1798832285324288</v>
      </c>
      <c r="O131" s="279">
        <f>'Initial unit rates'!O131</f>
        <v>0.16017800448572334</v>
      </c>
      <c r="P131" s="279">
        <f>'Initial unit rates'!P131</f>
        <v>0</v>
      </c>
      <c r="Q131" s="279">
        <f>'Initial unit rates'!Q131</f>
        <v>0.24766213053307218</v>
      </c>
      <c r="R131" s="294"/>
      <c r="S131" s="294"/>
      <c r="T131" s="294"/>
      <c r="U131" s="294"/>
      <c r="V131" s="294"/>
      <c r="W131" s="294"/>
      <c r="X131" s="294"/>
      <c r="Y131" s="294"/>
      <c r="Z131" s="268"/>
      <c r="AA131" s="268"/>
    </row>
    <row r="132" spans="4:27" x14ac:dyDescent="0.25">
      <c r="E132" t="s">
        <v>200</v>
      </c>
      <c r="G132" t="s">
        <v>270</v>
      </c>
      <c r="H132" s="268"/>
      <c r="I132" s="268"/>
      <c r="J132" s="279">
        <f>'Initial unit rates'!J132</f>
        <v>0.67879866597258887</v>
      </c>
      <c r="K132" s="279">
        <f>'Initial unit rates'!K132</f>
        <v>0.67879866597258887</v>
      </c>
      <c r="L132" s="279">
        <f>'Initial unit rates'!L132</f>
        <v>0.51473091964520223</v>
      </c>
      <c r="M132" s="279">
        <f>'Initial unit rates'!M132</f>
        <v>0.51473091964520223</v>
      </c>
      <c r="N132" s="279">
        <f>'Initial unit rates'!N132</f>
        <v>0.44391674095035183</v>
      </c>
      <c r="O132" s="279">
        <f>'Initial unit rates'!O132</f>
        <v>0</v>
      </c>
      <c r="P132" s="279">
        <f>'Initial unit rates'!P132</f>
        <v>0</v>
      </c>
      <c r="Q132" s="279">
        <f>'Initial unit rates'!Q132</f>
        <v>0.61118185803098457</v>
      </c>
      <c r="R132" s="294"/>
      <c r="S132" s="294"/>
      <c r="T132" s="294"/>
      <c r="U132" s="294"/>
      <c r="V132" s="294"/>
      <c r="W132" s="294"/>
      <c r="X132" s="294"/>
      <c r="Y132" s="294"/>
      <c r="Z132" s="268"/>
      <c r="AA132" s="268"/>
    </row>
    <row r="133" spans="4:27" x14ac:dyDescent="0.25">
      <c r="E133" t="s">
        <v>335</v>
      </c>
      <c r="G133" t="s">
        <v>270</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336</v>
      </c>
      <c r="F134" s="96"/>
      <c r="G134" s="96" t="s">
        <v>270</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580</v>
      </c>
      <c r="E136"/>
      <c r="J136" s="106"/>
      <c r="K136" s="106"/>
      <c r="L136" s="106"/>
      <c r="M136" s="106"/>
      <c r="N136" s="106"/>
      <c r="O136" s="106"/>
      <c r="P136" s="106"/>
      <c r="Q136" s="106"/>
      <c r="R136" s="106"/>
      <c r="S136" s="106"/>
      <c r="T136" s="106"/>
      <c r="U136" s="106"/>
      <c r="V136" s="106"/>
      <c r="W136" s="106"/>
      <c r="X136" s="106"/>
      <c r="Y136" s="106"/>
    </row>
    <row r="137" spans="4:27" x14ac:dyDescent="0.25">
      <c r="E137" s="95" t="s">
        <v>190</v>
      </c>
      <c r="F137" s="95"/>
      <c r="G137" s="95" t="s">
        <v>270</v>
      </c>
      <c r="H137" s="266"/>
      <c r="I137" s="266"/>
      <c r="J137" s="278">
        <f>'Initial unit rates'!J135</f>
        <v>0.12810660654697523</v>
      </c>
      <c r="K137" s="278">
        <f>'Initial unit rates'!K135</f>
        <v>0.12810660654697523</v>
      </c>
      <c r="L137" s="278">
        <f>'Initial unit rates'!L135</f>
        <v>9.7142841767478422E-2</v>
      </c>
      <c r="M137" s="278">
        <f>'Initial unit rates'!M135</f>
        <v>9.7142841767478422E-2</v>
      </c>
      <c r="N137" s="278">
        <f>'Initial unit rates'!N135</f>
        <v>8.3778401642938288E-2</v>
      </c>
      <c r="O137" s="278">
        <f>'Initial unit rates'!O135</f>
        <v>7.460093586073302E-2</v>
      </c>
      <c r="P137" s="278">
        <f>'Initial unit rates'!P135</f>
        <v>6.5950232648976231E-2</v>
      </c>
      <c r="Q137" s="278">
        <f>'Initial unit rates'!Q135</f>
        <v>0.11534559176429843</v>
      </c>
      <c r="R137" s="280"/>
      <c r="S137" s="280"/>
      <c r="T137" s="280"/>
      <c r="U137" s="280"/>
      <c r="V137" s="280"/>
      <c r="W137" s="280"/>
      <c r="X137" s="280"/>
      <c r="Y137" s="280"/>
      <c r="Z137" s="268"/>
      <c r="AA137" s="268"/>
    </row>
    <row r="138" spans="4:27" x14ac:dyDescent="0.25">
      <c r="E138" t="s">
        <v>192</v>
      </c>
      <c r="G138" t="s">
        <v>270</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193</v>
      </c>
      <c r="G139" t="s">
        <v>270</v>
      </c>
      <c r="H139" s="268"/>
      <c r="I139" s="268"/>
      <c r="J139" s="279">
        <f>'Initial unit rates'!J137</f>
        <v>0.31116272744572165</v>
      </c>
      <c r="K139" s="279">
        <f>'Initial unit rates'!K137</f>
        <v>0.31116272744572165</v>
      </c>
      <c r="L139" s="279">
        <f>'Initial unit rates'!L137</f>
        <v>0.23595372956126795</v>
      </c>
      <c r="M139" s="279">
        <f>'Initial unit rates'!M137</f>
        <v>0.23595372956126795</v>
      </c>
      <c r="N139" s="279">
        <f>'Initial unit rates'!N137</f>
        <v>0.20349236201726023</v>
      </c>
      <c r="O139" s="279">
        <f>'Initial unit rates'!O137</f>
        <v>0.18120088649695884</v>
      </c>
      <c r="P139" s="279">
        <f>'Initial unit rates'!P137</f>
        <v>0.16018888346098223</v>
      </c>
      <c r="Q139" s="279">
        <f>'Initial unit rates'!Q137</f>
        <v>0.28016704133880055</v>
      </c>
      <c r="R139" s="294"/>
      <c r="S139" s="294"/>
      <c r="T139" s="294"/>
      <c r="U139" s="294"/>
      <c r="V139" s="294"/>
      <c r="W139" s="294"/>
      <c r="X139" s="294"/>
      <c r="Y139" s="294"/>
      <c r="Z139" s="268"/>
      <c r="AA139" s="268"/>
    </row>
    <row r="140" spans="4:27" x14ac:dyDescent="0.25">
      <c r="E140" t="s">
        <v>194</v>
      </c>
      <c r="G140" t="s">
        <v>270</v>
      </c>
      <c r="H140" s="268"/>
      <c r="I140" s="268"/>
      <c r="J140" s="279">
        <f>'Initial unit rates'!J138</f>
        <v>4.4571409032645226E-2</v>
      </c>
      <c r="K140" s="279">
        <f>'Initial unit rates'!K138</f>
        <v>4.4571409032645226E-2</v>
      </c>
      <c r="L140" s="279">
        <f>'Initial unit rates'!L138</f>
        <v>3.3798361003529731E-2</v>
      </c>
      <c r="M140" s="279">
        <f>'Initial unit rates'!M138</f>
        <v>3.3798361003529731E-2</v>
      </c>
      <c r="N140" s="279">
        <f>'Initial unit rates'!N138</f>
        <v>2.9148546732907014E-2</v>
      </c>
      <c r="O140" s="279">
        <f>'Initial unit rates'!O138</f>
        <v>2.595548282865176E-2</v>
      </c>
      <c r="P140" s="279">
        <f>'Initial unit rates'!P138</f>
        <v>2.2945692454336881E-2</v>
      </c>
      <c r="Q140" s="279">
        <f>'Initial unit rates'!Q138</f>
        <v>4.0131541137606135E-2</v>
      </c>
      <c r="R140" s="294"/>
      <c r="S140" s="294"/>
      <c r="T140" s="294"/>
      <c r="U140" s="294"/>
      <c r="V140" s="294"/>
      <c r="W140" s="294"/>
      <c r="X140" s="294"/>
      <c r="Y140" s="294"/>
      <c r="Z140" s="268"/>
      <c r="AA140" s="268"/>
    </row>
    <row r="141" spans="4:27" x14ac:dyDescent="0.25">
      <c r="E141" t="s">
        <v>195</v>
      </c>
      <c r="G141" t="s">
        <v>270</v>
      </c>
      <c r="H141" s="268"/>
      <c r="I141" s="268"/>
      <c r="J141" s="279">
        <f>'Initial unit rates'!J139</f>
        <v>0.14252335503935304</v>
      </c>
      <c r="K141" s="279">
        <f>'Initial unit rates'!K139</f>
        <v>0.14252335503935304</v>
      </c>
      <c r="L141" s="279">
        <f>'Initial unit rates'!L139</f>
        <v>0.10807501736205286</v>
      </c>
      <c r="M141" s="279">
        <f>'Initial unit rates'!M139</f>
        <v>0.10807501736205286</v>
      </c>
      <c r="N141" s="279">
        <f>'Initial unit rates'!N139</f>
        <v>9.3206581641889108E-2</v>
      </c>
      <c r="O141" s="279">
        <f>'Initial unit rates'!O139</f>
        <v>8.2996310296054004E-2</v>
      </c>
      <c r="P141" s="279">
        <f>'Initial unit rates'!P139</f>
        <v>7.3372081863016983E-2</v>
      </c>
      <c r="Q141" s="279">
        <f>'Initial unit rates'!Q139</f>
        <v>0.12832625241087178</v>
      </c>
      <c r="R141" s="294"/>
      <c r="S141" s="294"/>
      <c r="T141" s="294"/>
      <c r="U141" s="294"/>
      <c r="V141" s="294"/>
      <c r="W141" s="294"/>
      <c r="X141" s="294"/>
      <c r="Y141" s="294"/>
      <c r="Z141" s="268"/>
      <c r="AA141" s="268"/>
    </row>
    <row r="142" spans="4:27" x14ac:dyDescent="0.25">
      <c r="E142" t="s">
        <v>196</v>
      </c>
      <c r="G142" t="s">
        <v>270</v>
      </c>
      <c r="H142" s="268"/>
      <c r="I142" s="268"/>
      <c r="J142" s="279">
        <f>'Initial unit rates'!J140</f>
        <v>0.11273015246951365</v>
      </c>
      <c r="K142" s="279">
        <f>'Initial unit rates'!K140</f>
        <v>0.11273015246951365</v>
      </c>
      <c r="L142" s="279">
        <f>'Initial unit rates'!L140</f>
        <v>8.5482924409164662E-2</v>
      </c>
      <c r="M142" s="279">
        <f>'Initial unit rates'!M140</f>
        <v>8.5482924409164662E-2</v>
      </c>
      <c r="N142" s="279">
        <f>'Initial unit rates'!N140</f>
        <v>7.3722599055790705E-2</v>
      </c>
      <c r="O142" s="279">
        <f>'Initial unit rates'!O140</f>
        <v>6.5646691459780998E-2</v>
      </c>
      <c r="P142" s="279">
        <f>'Initial unit rates'!P140</f>
        <v>5.8034319870871084E-2</v>
      </c>
      <c r="Q142" s="279">
        <f>'Initial unit rates'!Q140</f>
        <v>0.10150082417105956</v>
      </c>
      <c r="R142" s="294"/>
      <c r="S142" s="294"/>
      <c r="T142" s="294"/>
      <c r="U142" s="294"/>
      <c r="V142" s="294"/>
      <c r="W142" s="294"/>
      <c r="X142" s="294"/>
      <c r="Y142" s="294"/>
      <c r="Z142" s="268"/>
      <c r="AA142" s="268"/>
    </row>
    <row r="143" spans="4:27" x14ac:dyDescent="0.25">
      <c r="E143" t="s">
        <v>197</v>
      </c>
      <c r="G143" t="s">
        <v>270</v>
      </c>
      <c r="H143" s="268"/>
      <c r="I143" s="268"/>
      <c r="J143" s="279">
        <f>'Initial unit rates'!J141</f>
        <v>0</v>
      </c>
      <c r="K143" s="279">
        <f>'Initial unit rates'!K141</f>
        <v>0</v>
      </c>
      <c r="L143" s="279">
        <f>'Initial unit rates'!L141</f>
        <v>0</v>
      </c>
      <c r="M143" s="279">
        <f>'Initial unit rates'!M141</f>
        <v>0</v>
      </c>
      <c r="N143" s="279">
        <f>'Initial unit rates'!N141</f>
        <v>0</v>
      </c>
      <c r="O143" s="279">
        <f>'Initial unit rates'!O141</f>
        <v>0</v>
      </c>
      <c r="P143" s="279">
        <f>'Initial unit rates'!P141</f>
        <v>0</v>
      </c>
      <c r="Q143" s="279">
        <f>'Initial unit rates'!Q141</f>
        <v>0</v>
      </c>
      <c r="R143" s="294"/>
      <c r="S143" s="294"/>
      <c r="T143" s="294"/>
      <c r="U143" s="294"/>
      <c r="V143" s="294"/>
      <c r="W143" s="294"/>
      <c r="X143" s="294"/>
      <c r="Y143" s="294"/>
      <c r="Z143" s="268"/>
      <c r="AA143" s="268"/>
    </row>
    <row r="144" spans="4:27" x14ac:dyDescent="0.25">
      <c r="E144" t="s">
        <v>198</v>
      </c>
      <c r="G144" t="s">
        <v>270</v>
      </c>
      <c r="H144" s="268"/>
      <c r="I144" s="268"/>
      <c r="J144" s="279">
        <f>'Initial unit rates'!J142</f>
        <v>0.5191233351546406</v>
      </c>
      <c r="K144" s="279">
        <f>'Initial unit rates'!K142</f>
        <v>0.5191233351546406</v>
      </c>
      <c r="L144" s="279">
        <f>'Initial unit rates'!L142</f>
        <v>0.39364961233471701</v>
      </c>
      <c r="M144" s="279">
        <f>'Initial unit rates'!M142</f>
        <v>0.39364961233471701</v>
      </c>
      <c r="N144" s="279">
        <f>'Initial unit rates'!N142</f>
        <v>0.33949321152972217</v>
      </c>
      <c r="O144" s="279">
        <f>'Initial unit rates'!O142</f>
        <v>0.30230358662634915</v>
      </c>
      <c r="P144" s="279">
        <f>'Initial unit rates'!P142</f>
        <v>0.26724854907780998</v>
      </c>
      <c r="Q144" s="279">
        <f>'Initial unit rates'!Q142</f>
        <v>0.46741218041796667</v>
      </c>
      <c r="R144" s="294"/>
      <c r="S144" s="294"/>
      <c r="T144" s="294"/>
      <c r="U144" s="294"/>
      <c r="V144" s="294"/>
      <c r="W144" s="294"/>
      <c r="X144" s="294"/>
      <c r="Y144" s="294"/>
      <c r="Z144" s="268"/>
      <c r="AA144" s="268"/>
    </row>
    <row r="145" spans="2:27" x14ac:dyDescent="0.25">
      <c r="E145" t="s">
        <v>199</v>
      </c>
      <c r="G145" t="s">
        <v>270</v>
      </c>
      <c r="H145" s="268"/>
      <c r="I145" s="268"/>
      <c r="J145" s="279">
        <f>'Initial unit rates'!J143</f>
        <v>0.21298852823367748</v>
      </c>
      <c r="K145" s="279">
        <f>'Initial unit rates'!K143</f>
        <v>0.21298852823367748</v>
      </c>
      <c r="L145" s="279">
        <f>'Initial unit rates'!L143</f>
        <v>0.16150853928759201</v>
      </c>
      <c r="M145" s="279">
        <f>'Initial unit rates'!M143</f>
        <v>0.16150853928759201</v>
      </c>
      <c r="N145" s="279">
        <f>'Initial unit rates'!N143</f>
        <v>0.13928897927021588</v>
      </c>
      <c r="O145" s="279">
        <f>'Initial unit rates'!O143</f>
        <v>0.1240306332523618</v>
      </c>
      <c r="P145" s="279">
        <f>'Initial unit rates'!P143</f>
        <v>0</v>
      </c>
      <c r="Q145" s="279">
        <f>'Initial unit rates'!Q143</f>
        <v>0.19177221604970054</v>
      </c>
      <c r="R145" s="294"/>
      <c r="S145" s="294"/>
      <c r="T145" s="294"/>
      <c r="U145" s="294"/>
      <c r="V145" s="294"/>
      <c r="W145" s="294"/>
      <c r="X145" s="294"/>
      <c r="Y145" s="294"/>
      <c r="Z145" s="268"/>
      <c r="AA145" s="268"/>
    </row>
    <row r="146" spans="2:27" x14ac:dyDescent="0.25">
      <c r="E146" t="s">
        <v>200</v>
      </c>
      <c r="G146" t="s">
        <v>270</v>
      </c>
      <c r="H146" s="268"/>
      <c r="I146" s="268"/>
      <c r="J146" s="279">
        <f>'Initial unit rates'!J144</f>
        <v>0.52561416694976126</v>
      </c>
      <c r="K146" s="279">
        <f>'Initial unit rates'!K144</f>
        <v>0.52561416694976126</v>
      </c>
      <c r="L146" s="279">
        <f>'Initial unit rates'!L144</f>
        <v>0.39857158992048286</v>
      </c>
      <c r="M146" s="279">
        <f>'Initial unit rates'!M144</f>
        <v>0.39857158992048286</v>
      </c>
      <c r="N146" s="279">
        <f>'Initial unit rates'!N144</f>
        <v>0.34373804735658464</v>
      </c>
      <c r="O146" s="279">
        <f>'Initial unit rates'!O144</f>
        <v>0</v>
      </c>
      <c r="P146" s="279">
        <f>'Initial unit rates'!P144</f>
        <v>0</v>
      </c>
      <c r="Q146" s="279">
        <f>'Initial unit rates'!Q144</f>
        <v>0.47325644446203985</v>
      </c>
      <c r="R146" s="294"/>
      <c r="S146" s="294"/>
      <c r="T146" s="294"/>
      <c r="U146" s="294"/>
      <c r="V146" s="294"/>
      <c r="W146" s="294"/>
      <c r="X146" s="294"/>
      <c r="Y146" s="294"/>
      <c r="Z146" s="268"/>
      <c r="AA146" s="268"/>
    </row>
    <row r="147" spans="2:27" x14ac:dyDescent="0.25">
      <c r="E147" t="s">
        <v>335</v>
      </c>
      <c r="G147" t="s">
        <v>270</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336</v>
      </c>
      <c r="F148" s="96"/>
      <c r="G148" s="96" t="s">
        <v>270</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633</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634</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635</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control'!$H$42:$H$65,MATCH($A$1,'Version control'!$F$42:$F$65,0),1)&amp;"-C: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155</v>
      </c>
      <c r="J156" s="106"/>
      <c r="K156" s="106"/>
      <c r="L156" s="106"/>
      <c r="M156" s="106"/>
      <c r="N156" s="106"/>
      <c r="O156" s="106"/>
      <c r="P156" s="106"/>
      <c r="Q156" s="106"/>
      <c r="R156" s="106"/>
      <c r="S156" s="106"/>
      <c r="T156" s="106"/>
      <c r="U156" s="106"/>
      <c r="V156" s="106"/>
      <c r="W156" s="106"/>
      <c r="X156" s="106"/>
      <c r="Y156" s="106"/>
      <c r="AA156" t="s">
        <v>636</v>
      </c>
    </row>
    <row r="157" spans="2:27" x14ac:dyDescent="0.25">
      <c r="D157"/>
      <c r="E157" s="75" t="s">
        <v>579</v>
      </c>
      <c r="J157" s="106"/>
      <c r="K157" s="106"/>
      <c r="L157" s="106"/>
      <c r="M157" s="106"/>
      <c r="N157" s="106"/>
      <c r="O157" s="106"/>
      <c r="P157" s="106"/>
      <c r="Q157" s="106"/>
      <c r="R157" s="106"/>
      <c r="S157" s="106"/>
      <c r="T157" s="106"/>
      <c r="U157" s="106"/>
      <c r="V157" s="106"/>
      <c r="W157" s="106"/>
      <c r="X157" s="106"/>
      <c r="Y157" s="106"/>
    </row>
    <row r="158" spans="2:27" x14ac:dyDescent="0.25">
      <c r="D158"/>
      <c r="F158" s="95" t="s">
        <v>190</v>
      </c>
      <c r="G158" s="95" t="s">
        <v>270</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192</v>
      </c>
      <c r="G159" t="s">
        <v>270</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193</v>
      </c>
      <c r="G160" t="s">
        <v>270</v>
      </c>
      <c r="H160" s="268"/>
      <c r="I160" s="268"/>
      <c r="J160" s="294"/>
      <c r="K160" s="294"/>
      <c r="L160" s="294"/>
      <c r="M160" s="294"/>
      <c r="N160" s="294"/>
      <c r="O160" s="294"/>
      <c r="P160" s="294"/>
      <c r="Q160" s="294"/>
      <c r="R160" s="282">
        <f t="shared" ref="R160:S160" si="0">hundred * $H51 * R95 / $H37 * (1 - R109) / hours_in_year</f>
        <v>-0.18263540975049775</v>
      </c>
      <c r="S160" s="282">
        <f t="shared" si="0"/>
        <v>-0.18022778664644218</v>
      </c>
      <c r="T160" s="282">
        <f t="shared" ref="T160:U160" si="1">hundred * $H51 * T95 / $H37 * (1 - T109) / hours_in_year</f>
        <v>-0.18263540975049775</v>
      </c>
      <c r="U160" s="282">
        <f t="shared" si="1"/>
        <v>-0.18263540975049775</v>
      </c>
      <c r="V160" s="282">
        <f t="shared" ref="V160:W160" si="2">hundred * $H51 * V95 / $H37 * (1 - V109) / hours_in_year</f>
        <v>-0.18022778664644218</v>
      </c>
      <c r="W160" s="282">
        <f t="shared" si="2"/>
        <v>-0.18022778664644218</v>
      </c>
      <c r="X160" s="282">
        <f t="shared" ref="X160:Y160" si="3">hundred * $H51 * X95 / $H37 * (1 - X109) / hours_in_year</f>
        <v>-0.17782016354238667</v>
      </c>
      <c r="Y160" s="282">
        <f t="shared" si="3"/>
        <v>-0.17782016354238667</v>
      </c>
      <c r="Z160" s="268"/>
      <c r="AA160" s="268"/>
    </row>
    <row r="161" spans="4:27" x14ac:dyDescent="0.25">
      <c r="D161"/>
      <c r="F161" t="s">
        <v>194</v>
      </c>
      <c r="G161" t="s">
        <v>270</v>
      </c>
      <c r="H161" s="268"/>
      <c r="I161" s="268"/>
      <c r="J161" s="294"/>
      <c r="K161" s="294"/>
      <c r="L161" s="294"/>
      <c r="M161" s="294"/>
      <c r="N161" s="294"/>
      <c r="O161" s="294"/>
      <c r="P161" s="294"/>
      <c r="Q161" s="294"/>
      <c r="R161" s="282">
        <f t="shared" ref="R161:S161" si="4">hundred * $H52 * R96 / $H38 * (1 - R110) / hours_in_year</f>
        <v>-2.6160966059966713E-2</v>
      </c>
      <c r="S161" s="282">
        <f t="shared" si="4"/>
        <v>-2.5816094567650768E-2</v>
      </c>
      <c r="T161" s="282">
        <f t="shared" ref="T161:U161" si="5">hundred * $H52 * T96 / $H38 * (1 - T110) / hours_in_year</f>
        <v>-2.6160966059966713E-2</v>
      </c>
      <c r="U161" s="282">
        <f t="shared" si="5"/>
        <v>-2.6160966059966713E-2</v>
      </c>
      <c r="V161" s="282">
        <f t="shared" ref="V161:W161" si="6">hundred * $H52 * V96 / $H38 * (1 - V110) / hours_in_year</f>
        <v>-2.5816094567650768E-2</v>
      </c>
      <c r="W161" s="282">
        <f t="shared" si="6"/>
        <v>-2.5816094567650768E-2</v>
      </c>
      <c r="X161" s="282">
        <f t="shared" ref="X161:Y161" si="7">hundred * $H52 * X96 / $H38 * (1 - X110) / hours_in_year</f>
        <v>-2.5471223075334819E-2</v>
      </c>
      <c r="Y161" s="282">
        <f t="shared" si="7"/>
        <v>-2.5471223075334819E-2</v>
      </c>
      <c r="Z161" s="268"/>
      <c r="AA161" s="268"/>
    </row>
    <row r="162" spans="4:27" x14ac:dyDescent="0.25">
      <c r="D162"/>
      <c r="F162" t="s">
        <v>195</v>
      </c>
      <c r="G162" t="s">
        <v>270</v>
      </c>
      <c r="H162" s="268"/>
      <c r="I162" s="268"/>
      <c r="J162" s="294"/>
      <c r="K162" s="294"/>
      <c r="L162" s="294"/>
      <c r="M162" s="294"/>
      <c r="N162" s="294"/>
      <c r="O162" s="294"/>
      <c r="P162" s="294"/>
      <c r="Q162" s="294"/>
      <c r="R162" s="282">
        <f t="shared" ref="R162:S162" si="8">hundred * $H53 * R97 / $H39 * (1 - R111) / hours_in_year</f>
        <v>-8.3653371855626518E-2</v>
      </c>
      <c r="S162" s="282">
        <f t="shared" si="8"/>
        <v>-8.2550596708753851E-2</v>
      </c>
      <c r="T162" s="282">
        <f t="shared" ref="T162:U162" si="9">hundred * $H53 * T97 / $H39 * (1 - T111) / hours_in_year</f>
        <v>-8.3653371855626518E-2</v>
      </c>
      <c r="U162" s="282">
        <f t="shared" si="9"/>
        <v>-8.3653371855626518E-2</v>
      </c>
      <c r="V162" s="282">
        <f t="shared" ref="V162:W162" si="10">hundred * $H53 * V97 / $H39 * (1 - V111) / hours_in_year</f>
        <v>-8.2550596708753851E-2</v>
      </c>
      <c r="W162" s="282">
        <f t="shared" si="10"/>
        <v>-8.2550596708753851E-2</v>
      </c>
      <c r="X162" s="282">
        <f t="shared" ref="X162:Y162" si="11">hundred * $H53 * X97 / $H39 * (1 - X111) / hours_in_year</f>
        <v>-8.1447821561881184E-2</v>
      </c>
      <c r="Y162" s="282">
        <f t="shared" si="11"/>
        <v>-8.1447821561881184E-2</v>
      </c>
      <c r="Z162" s="268"/>
      <c r="AA162" s="268"/>
    </row>
    <row r="163" spans="4:27" x14ac:dyDescent="0.25">
      <c r="D163"/>
      <c r="F163" t="s">
        <v>196</v>
      </c>
      <c r="G163" t="s">
        <v>270</v>
      </c>
      <c r="H163" s="268"/>
      <c r="I163" s="268"/>
      <c r="J163" s="294"/>
      <c r="K163" s="294"/>
      <c r="L163" s="294"/>
      <c r="M163" s="294"/>
      <c r="N163" s="294"/>
      <c r="O163" s="294"/>
      <c r="P163" s="294"/>
      <c r="Q163" s="294"/>
      <c r="R163" s="282">
        <f t="shared" ref="R163:S163" si="12">hundred * $H54 * R98 / $H40 * (1 - R112) / hours_in_year</f>
        <v>-6.6166400315722643E-2</v>
      </c>
      <c r="S163" s="282">
        <f t="shared" si="12"/>
        <v>-6.5294150217398608E-2</v>
      </c>
      <c r="T163" s="282">
        <f t="shared" ref="T163:U163" si="13">hundred * $H54 * T98 / $H40 * (1 - T112) / hours_in_year</f>
        <v>-6.6166400315722643E-2</v>
      </c>
      <c r="U163" s="282">
        <f t="shared" si="13"/>
        <v>-6.6166400315722643E-2</v>
      </c>
      <c r="V163" s="282">
        <f t="shared" ref="V163:W163" si="14">hundred * $H54 * V98 / $H40 * (1 - V112) / hours_in_year</f>
        <v>-6.5294150217398608E-2</v>
      </c>
      <c r="W163" s="282">
        <f t="shared" si="14"/>
        <v>-6.5294150217398608E-2</v>
      </c>
      <c r="X163" s="282">
        <f t="shared" ref="X163:Y163" si="15">hundred * $H54 * X98 / $H40 * (1 - X112) / hours_in_year</f>
        <v>-6.4421900119074588E-2</v>
      </c>
      <c r="Y163" s="282">
        <f t="shared" si="15"/>
        <v>-6.4421900119074588E-2</v>
      </c>
      <c r="Z163" s="268"/>
      <c r="AA163" s="268"/>
    </row>
    <row r="164" spans="4:27" x14ac:dyDescent="0.25">
      <c r="D164"/>
      <c r="F164" t="s">
        <v>197</v>
      </c>
      <c r="G164" t="s">
        <v>270</v>
      </c>
      <c r="H164" s="268"/>
      <c r="I164" s="268"/>
      <c r="J164" s="294"/>
      <c r="K164" s="294"/>
      <c r="L164" s="294"/>
      <c r="M164" s="294"/>
      <c r="N164" s="294"/>
      <c r="O164" s="294"/>
      <c r="P164" s="294"/>
      <c r="Q164" s="294"/>
      <c r="R164" s="282">
        <f t="shared" ref="R164:S164" si="16">hundred * $H55 * R99 / $H41 * (1 - R113) / hours_in_year</f>
        <v>0</v>
      </c>
      <c r="S164" s="282">
        <f t="shared" si="16"/>
        <v>0</v>
      </c>
      <c r="T164" s="282">
        <f t="shared" ref="T164:U164" si="17">hundred * $H55 * T99 / $H41 * (1 - T113) / hours_in_year</f>
        <v>0</v>
      </c>
      <c r="U164" s="282">
        <f t="shared" si="17"/>
        <v>0</v>
      </c>
      <c r="V164" s="282">
        <f t="shared" ref="V164:W164" si="18">hundred * $H55 * V99 / $H41 * (1 - V113) / hours_in_year</f>
        <v>0</v>
      </c>
      <c r="W164" s="282">
        <f t="shared" si="18"/>
        <v>0</v>
      </c>
      <c r="X164" s="282">
        <f t="shared" ref="X164:Y164" si="19">hundred * $H55 * X99 / $H41 * (1 - X113) / hours_in_year</f>
        <v>0</v>
      </c>
      <c r="Y164" s="282">
        <f t="shared" si="19"/>
        <v>0</v>
      </c>
      <c r="Z164" s="268"/>
      <c r="AA164" s="268"/>
    </row>
    <row r="165" spans="4:27" x14ac:dyDescent="0.25">
      <c r="D165"/>
      <c r="F165" t="s">
        <v>198</v>
      </c>
      <c r="G165" t="s">
        <v>270</v>
      </c>
      <c r="H165" s="268"/>
      <c r="I165" s="268"/>
      <c r="J165" s="294"/>
      <c r="K165" s="294"/>
      <c r="L165" s="294"/>
      <c r="M165" s="294"/>
      <c r="N165" s="294"/>
      <c r="O165" s="294"/>
      <c r="P165" s="294"/>
      <c r="Q165" s="294"/>
      <c r="R165" s="282">
        <f t="shared" ref="R165:S165" si="20">hundred * $H56 * R100 / $H42 * (1 - R114) / hours_in_year</f>
        <v>-0.30469685043993977</v>
      </c>
      <c r="S165" s="282">
        <f t="shared" si="20"/>
        <v>-0.30068013113093867</v>
      </c>
      <c r="T165" s="282">
        <f t="shared" ref="T165:U165" si="21">hundred * $H56 * T100 / $H42 * (1 - T114) / hours_in_year</f>
        <v>-0.30469685043993977</v>
      </c>
      <c r="U165" s="282">
        <f t="shared" si="21"/>
        <v>-0.30469685043993977</v>
      </c>
      <c r="V165" s="282">
        <f t="shared" ref="V165:W165" si="22">hundred * $H56 * V100 / $H42 * (1 - V114) / hours_in_year</f>
        <v>-0.30068013113093867</v>
      </c>
      <c r="W165" s="282">
        <f t="shared" si="22"/>
        <v>-0.30068013113093867</v>
      </c>
      <c r="X165" s="282">
        <f t="shared" ref="X165:Y165" si="23">hundred * $H56 * X100 / $H42 * (1 - X114) / hours_in_year</f>
        <v>-0.29666341182193756</v>
      </c>
      <c r="Y165" s="282">
        <f t="shared" si="23"/>
        <v>-0.29666341182193756</v>
      </c>
      <c r="Z165" s="268"/>
      <c r="AA165" s="268"/>
    </row>
    <row r="166" spans="4:27" x14ac:dyDescent="0.25">
      <c r="D166"/>
      <c r="F166" t="s">
        <v>199</v>
      </c>
      <c r="G166" t="s">
        <v>270</v>
      </c>
      <c r="H166" s="268"/>
      <c r="I166" s="268"/>
      <c r="J166" s="294"/>
      <c r="K166" s="294"/>
      <c r="L166" s="294"/>
      <c r="M166" s="294"/>
      <c r="N166" s="294"/>
      <c r="O166" s="294"/>
      <c r="P166" s="294"/>
      <c r="Q166" s="294"/>
      <c r="R166" s="282">
        <f t="shared" ref="R166:S166" si="24">hundred * $H57 * R101 / $H43 * (1 - R115) / hours_in_year</f>
        <v>-0.12501255354531052</v>
      </c>
      <c r="S166" s="282">
        <f t="shared" si="24"/>
        <v>-0.12336455378105972</v>
      </c>
      <c r="T166" s="282">
        <f t="shared" ref="T166:U166" si="25">hundred * $H57 * T101 / $H43 * (1 - T115) / hours_in_year</f>
        <v>-0.12501255354531052</v>
      </c>
      <c r="U166" s="282">
        <f t="shared" si="25"/>
        <v>-0.12501255354531052</v>
      </c>
      <c r="V166" s="282">
        <f t="shared" ref="V166:W166" si="26">hundred * $H57 * V101 / $H43 * (1 - V115) / hours_in_year</f>
        <v>-0.12336455378105972</v>
      </c>
      <c r="W166" s="282">
        <f t="shared" si="26"/>
        <v>-0.12336455378105972</v>
      </c>
      <c r="X166" s="282">
        <f t="shared" ref="X166:Y166" si="27">hundred * $H57 * X101 / $H43 * (1 - X115) / hours_in_year</f>
        <v>0</v>
      </c>
      <c r="Y166" s="282">
        <f t="shared" si="27"/>
        <v>0</v>
      </c>
      <c r="Z166" s="268"/>
      <c r="AA166" s="268"/>
    </row>
    <row r="167" spans="4:27" x14ac:dyDescent="0.25">
      <c r="D167"/>
      <c r="F167" t="s">
        <v>200</v>
      </c>
      <c r="G167" t="s">
        <v>270</v>
      </c>
      <c r="H167" s="268"/>
      <c r="I167" s="268"/>
      <c r="J167" s="294"/>
      <c r="K167" s="294"/>
      <c r="L167" s="294"/>
      <c r="M167" s="294"/>
      <c r="N167" s="294"/>
      <c r="O167" s="294"/>
      <c r="P167" s="294"/>
      <c r="Q167" s="294"/>
      <c r="R167" s="282">
        <f t="shared" ref="R167:S167" si="28">hundred * $H58 * R102 / $H44 * (1 - R116) / hours_in_year</f>
        <v>-0.30850661176403726</v>
      </c>
      <c r="S167" s="282">
        <f t="shared" si="28"/>
        <v>0</v>
      </c>
      <c r="T167" s="282">
        <f t="shared" ref="T167:U167" si="29">hundred * $H58 * T102 / $H44 * (1 - T116) / hours_in_year</f>
        <v>-0.30850661176403726</v>
      </c>
      <c r="U167" s="282">
        <f t="shared" si="29"/>
        <v>-0.30850661176403726</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335</v>
      </c>
      <c r="G168" t="s">
        <v>270</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336</v>
      </c>
      <c r="G169" s="96" t="s">
        <v>270</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580</v>
      </c>
      <c r="J171" s="106"/>
      <c r="K171" s="106"/>
      <c r="L171" s="106"/>
      <c r="M171" s="106"/>
      <c r="N171" s="106"/>
      <c r="O171" s="106"/>
      <c r="P171" s="106"/>
      <c r="Q171" s="106"/>
      <c r="R171" s="106"/>
      <c r="S171" s="106"/>
      <c r="T171" s="106"/>
      <c r="U171" s="106"/>
      <c r="V171" s="106"/>
      <c r="W171" s="106"/>
      <c r="X171" s="106"/>
      <c r="Y171" s="106"/>
    </row>
    <row r="172" spans="4:27" x14ac:dyDescent="0.25">
      <c r="D172"/>
      <c r="F172" s="95" t="s">
        <v>190</v>
      </c>
      <c r="G172" s="95" t="s">
        <v>270</v>
      </c>
      <c r="H172" s="266"/>
      <c r="I172" s="266"/>
      <c r="J172" s="280"/>
      <c r="K172" s="280"/>
      <c r="L172" s="280"/>
      <c r="M172" s="280"/>
      <c r="N172" s="280"/>
      <c r="O172" s="280"/>
      <c r="P172" s="280"/>
      <c r="Q172" s="280"/>
      <c r="R172" s="283">
        <f t="shared" ref="R172:S172" si="32">hundred * $H63 * R93 / $H35 / hours_in_year</f>
        <v>-5.822305951908268E-2</v>
      </c>
      <c r="S172" s="283">
        <f t="shared" si="32"/>
        <v>-5.7455523894537341E-2</v>
      </c>
      <c r="T172" s="283">
        <f t="shared" ref="T172:U172" si="33">hundred * $H63 * T93 / $H35 / hours_in_year</f>
        <v>-5.822305951908268E-2</v>
      </c>
      <c r="U172" s="283">
        <f t="shared" si="33"/>
        <v>-5.822305951908268E-2</v>
      </c>
      <c r="V172" s="283">
        <f t="shared" ref="V172:W172" si="34">hundred * $H63 * V93 / $H35 / hours_in_year</f>
        <v>-5.7455523894537341E-2</v>
      </c>
      <c r="W172" s="283">
        <f t="shared" si="34"/>
        <v>-5.7455523894537341E-2</v>
      </c>
      <c r="X172" s="283">
        <f t="shared" ref="X172:Y172" si="35">hundred * $H63 * X93 / $H35 / hours_in_year</f>
        <v>-5.6687988269991989E-2</v>
      </c>
      <c r="Y172" s="283">
        <f t="shared" si="35"/>
        <v>-5.6687988269991989E-2</v>
      </c>
      <c r="Z172" s="268"/>
      <c r="AA172" s="268"/>
    </row>
    <row r="173" spans="4:27" x14ac:dyDescent="0.25">
      <c r="D173"/>
      <c r="F173" t="s">
        <v>192</v>
      </c>
      <c r="G173" t="s">
        <v>270</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193</v>
      </c>
      <c r="G174" t="s">
        <v>270</v>
      </c>
      <c r="H174" s="268"/>
      <c r="I174" s="268"/>
      <c r="J174" s="294"/>
      <c r="K174" s="294"/>
      <c r="L174" s="294"/>
      <c r="M174" s="294"/>
      <c r="N174" s="294"/>
      <c r="O174" s="294"/>
      <c r="P174" s="294"/>
      <c r="Q174" s="294"/>
      <c r="R174" s="282">
        <f t="shared" ref="R174:S174" si="40">hundred * $H65 * R95 / $H37 / hours_in_year</f>
        <v>-0.14142007573629009</v>
      </c>
      <c r="S174" s="282">
        <f t="shared" si="40"/>
        <v>-0.13955578095257251</v>
      </c>
      <c r="T174" s="282">
        <f t="shared" ref="T174:U174" si="41">hundred * $H65 * T95 / $H37 / hours_in_year</f>
        <v>-0.14142007573629009</v>
      </c>
      <c r="U174" s="282">
        <f t="shared" si="41"/>
        <v>-0.14142007573629009</v>
      </c>
      <c r="V174" s="282">
        <f t="shared" ref="V174:W174" si="42">hundred * $H65 * V95 / $H37 / hours_in_year</f>
        <v>-0.13955578095257251</v>
      </c>
      <c r="W174" s="282">
        <f t="shared" si="42"/>
        <v>-0.13955578095257251</v>
      </c>
      <c r="X174" s="282">
        <f t="shared" ref="X174:Y174" si="43">hundred * $H65 * X95 / $H37 / hours_in_year</f>
        <v>-0.13769148616885493</v>
      </c>
      <c r="Y174" s="282">
        <f t="shared" si="43"/>
        <v>-0.13769148616885493</v>
      </c>
      <c r="Z174" s="268"/>
      <c r="AA174" s="268"/>
    </row>
    <row r="175" spans="4:27" x14ac:dyDescent="0.25">
      <c r="D175"/>
      <c r="F175" t="s">
        <v>194</v>
      </c>
      <c r="G175" t="s">
        <v>270</v>
      </c>
      <c r="H175" s="268"/>
      <c r="I175" s="268"/>
      <c r="J175" s="294"/>
      <c r="K175" s="294"/>
      <c r="L175" s="294"/>
      <c r="M175" s="294"/>
      <c r="N175" s="294"/>
      <c r="O175" s="294"/>
      <c r="P175" s="294"/>
      <c r="Q175" s="294"/>
      <c r="R175" s="282">
        <f t="shared" ref="R175:S175" si="44">hundred * $H66 * R96 / $H38 / hours_in_year</f>
        <v>-2.0257220692248178E-2</v>
      </c>
      <c r="S175" s="282">
        <f t="shared" si="44"/>
        <v>-1.9990176351672401E-2</v>
      </c>
      <c r="T175" s="282">
        <f t="shared" ref="T175:U175" si="45">hundred * $H66 * T96 / $H38 / hours_in_year</f>
        <v>-2.0257220692248178E-2</v>
      </c>
      <c r="U175" s="282">
        <f t="shared" si="45"/>
        <v>-2.0257220692248178E-2</v>
      </c>
      <c r="V175" s="282">
        <f t="shared" ref="V175:W175" si="46">hundred * $H66 * V96 / $H38 / hours_in_year</f>
        <v>-1.9990176351672401E-2</v>
      </c>
      <c r="W175" s="282">
        <f t="shared" si="46"/>
        <v>-1.9990176351672401E-2</v>
      </c>
      <c r="X175" s="282">
        <f t="shared" ref="X175:Y175" si="47">hundred * $H66 * X96 / $H38 / hours_in_year</f>
        <v>-1.9723132011096624E-2</v>
      </c>
      <c r="Y175" s="282">
        <f t="shared" si="47"/>
        <v>-1.9723132011096624E-2</v>
      </c>
      <c r="Z175" s="268"/>
      <c r="AA175" s="268"/>
    </row>
    <row r="176" spans="4:27" x14ac:dyDescent="0.25">
      <c r="D176"/>
      <c r="F176" t="s">
        <v>195</v>
      </c>
      <c r="G176" t="s">
        <v>270</v>
      </c>
      <c r="H176" s="268"/>
      <c r="I176" s="268"/>
      <c r="J176" s="294"/>
      <c r="K176" s="294"/>
      <c r="L176" s="294"/>
      <c r="M176" s="294"/>
      <c r="N176" s="294"/>
      <c r="O176" s="294"/>
      <c r="P176" s="294"/>
      <c r="Q176" s="294"/>
      <c r="R176" s="282">
        <f t="shared" ref="R176:S176" si="48">hundred * $H67 * R97 / $H39 / hours_in_year</f>
        <v>-6.477531492704687E-2</v>
      </c>
      <c r="S176" s="282">
        <f t="shared" si="48"/>
        <v>-6.392140305418563E-2</v>
      </c>
      <c r="T176" s="282">
        <f t="shared" ref="T176:U176" si="49">hundred * $H67 * T97 / $H39 / hours_in_year</f>
        <v>-6.477531492704687E-2</v>
      </c>
      <c r="U176" s="282">
        <f t="shared" si="49"/>
        <v>-6.477531492704687E-2</v>
      </c>
      <c r="V176" s="282">
        <f t="shared" ref="V176:W176" si="50">hundred * $H67 * V97 / $H39 / hours_in_year</f>
        <v>-6.392140305418563E-2</v>
      </c>
      <c r="W176" s="282">
        <f t="shared" si="50"/>
        <v>-6.392140305418563E-2</v>
      </c>
      <c r="X176" s="282">
        <f t="shared" ref="X176:Y176" si="51">hundred * $H67 * X97 / $H39 / hours_in_year</f>
        <v>-6.3067491181324375E-2</v>
      </c>
      <c r="Y176" s="282">
        <f t="shared" si="51"/>
        <v>-6.3067491181324375E-2</v>
      </c>
      <c r="Z176" s="268"/>
      <c r="AA176" s="268"/>
    </row>
    <row r="177" spans="2:27" x14ac:dyDescent="0.25">
      <c r="D177"/>
      <c r="F177" t="s">
        <v>196</v>
      </c>
      <c r="G177" t="s">
        <v>270</v>
      </c>
      <c r="H177" s="268"/>
      <c r="I177" s="268"/>
      <c r="J177" s="294"/>
      <c r="K177" s="294"/>
      <c r="L177" s="294"/>
      <c r="M177" s="294"/>
      <c r="N177" s="294"/>
      <c r="O177" s="294"/>
      <c r="P177" s="294"/>
      <c r="Q177" s="294"/>
      <c r="R177" s="282">
        <f t="shared" ref="R177:S177" si="52">hundred * $H68 * R98 / $H40 / hours_in_year</f>
        <v>-5.1234628359474975E-2</v>
      </c>
      <c r="S177" s="282">
        <f t="shared" si="52"/>
        <v>-5.0559218946073237E-2</v>
      </c>
      <c r="T177" s="282">
        <f t="shared" ref="T177:U177" si="53">hundred * $H68 * T98 / $H40 / hours_in_year</f>
        <v>-5.1234628359474975E-2</v>
      </c>
      <c r="U177" s="282">
        <f t="shared" si="53"/>
        <v>-5.1234628359474975E-2</v>
      </c>
      <c r="V177" s="282">
        <f t="shared" ref="V177:W177" si="54">hundred * $H68 * V98 / $H40 / hours_in_year</f>
        <v>-5.0559218946073237E-2</v>
      </c>
      <c r="W177" s="282">
        <f t="shared" si="54"/>
        <v>-5.0559218946073237E-2</v>
      </c>
      <c r="X177" s="282">
        <f t="shared" ref="X177:Y177" si="55">hundred * $H68 * X98 / $H40 / hours_in_year</f>
        <v>-4.9883809532671491E-2</v>
      </c>
      <c r="Y177" s="282">
        <f t="shared" si="55"/>
        <v>-4.9883809532671491E-2</v>
      </c>
      <c r="Z177" s="268"/>
      <c r="AA177" s="268"/>
    </row>
    <row r="178" spans="2:27" x14ac:dyDescent="0.25">
      <c r="D178"/>
      <c r="F178" t="s">
        <v>197</v>
      </c>
      <c r="G178" t="s">
        <v>270</v>
      </c>
      <c r="H178" s="268"/>
      <c r="I178" s="268"/>
      <c r="J178" s="294"/>
      <c r="K178" s="294"/>
      <c r="L178" s="294"/>
      <c r="M178" s="294"/>
      <c r="N178" s="294"/>
      <c r="O178" s="294"/>
      <c r="P178" s="294"/>
      <c r="Q178" s="294"/>
      <c r="R178" s="282">
        <f t="shared" ref="R178:S178" si="56">hundred * $H69 * R99 / $H41 / hours_in_year</f>
        <v>0</v>
      </c>
      <c r="S178" s="282">
        <f t="shared" si="56"/>
        <v>0</v>
      </c>
      <c r="T178" s="282">
        <f t="shared" ref="T178:U178" si="57">hundred * $H69 * T99 / $H41 / hours_in_year</f>
        <v>0</v>
      </c>
      <c r="U178" s="282">
        <f t="shared" si="57"/>
        <v>0</v>
      </c>
      <c r="V178" s="282">
        <f t="shared" ref="V178:W178" si="58">hundred * $H69 * V99 / $H41 / hours_in_year</f>
        <v>0</v>
      </c>
      <c r="W178" s="282">
        <f t="shared" si="58"/>
        <v>0</v>
      </c>
      <c r="X178" s="282">
        <f t="shared" ref="X178:Y178" si="59">hundred * $H69 * X99 / $H41 / hours_in_year</f>
        <v>0</v>
      </c>
      <c r="Y178" s="282">
        <f t="shared" si="59"/>
        <v>0</v>
      </c>
      <c r="Z178" s="268"/>
      <c r="AA178" s="268"/>
    </row>
    <row r="179" spans="2:27" x14ac:dyDescent="0.25">
      <c r="D179"/>
      <c r="F179" t="s">
        <v>198</v>
      </c>
      <c r="G179" t="s">
        <v>270</v>
      </c>
      <c r="H179" s="268"/>
      <c r="I179" s="268"/>
      <c r="J179" s="294"/>
      <c r="K179" s="294"/>
      <c r="L179" s="294"/>
      <c r="M179" s="294"/>
      <c r="N179" s="294"/>
      <c r="O179" s="294"/>
      <c r="P179" s="294"/>
      <c r="Q179" s="294"/>
      <c r="R179" s="282">
        <f t="shared" ref="R179:S179" si="60">hundred * $H70 * R100 / $H42 / hours_in_year</f>
        <v>-0.23593591037297679</v>
      </c>
      <c r="S179" s="282">
        <f t="shared" si="60"/>
        <v>-0.2328256441345383</v>
      </c>
      <c r="T179" s="282">
        <f t="shared" ref="T179:U179" si="61">hundred * $H70 * T100 / $H42 / hours_in_year</f>
        <v>-0.23593591037297679</v>
      </c>
      <c r="U179" s="282">
        <f t="shared" si="61"/>
        <v>-0.23593591037297679</v>
      </c>
      <c r="V179" s="282">
        <f t="shared" ref="V179:W179" si="62">hundred * $H70 * V100 / $H42 / hours_in_year</f>
        <v>-0.2328256441345383</v>
      </c>
      <c r="W179" s="282">
        <f t="shared" si="62"/>
        <v>-0.2328256441345383</v>
      </c>
      <c r="X179" s="282">
        <f t="shared" ref="X179:Y179" si="63">hundred * $H70 * X100 / $H42 / hours_in_year</f>
        <v>-0.22971537789609978</v>
      </c>
      <c r="Y179" s="282">
        <f t="shared" si="63"/>
        <v>-0.22971537789609978</v>
      </c>
      <c r="Z179" s="268"/>
      <c r="AA179" s="268"/>
    </row>
    <row r="180" spans="2:27" x14ac:dyDescent="0.25">
      <c r="D180"/>
      <c r="F180" t="s">
        <v>199</v>
      </c>
      <c r="G180" t="s">
        <v>270</v>
      </c>
      <c r="H180" s="268"/>
      <c r="I180" s="268"/>
      <c r="J180" s="294"/>
      <c r="K180" s="294"/>
      <c r="L180" s="294"/>
      <c r="M180" s="294"/>
      <c r="N180" s="294"/>
      <c r="O180" s="294"/>
      <c r="P180" s="294"/>
      <c r="Q180" s="294"/>
      <c r="R180" s="282">
        <f t="shared" ref="R180:S180" si="64">hundred * $H71 * R101 / $H43 / hours_in_year</f>
        <v>-9.6800969836664738E-2</v>
      </c>
      <c r="S180" s="282">
        <f t="shared" si="64"/>
        <v>-9.5524874189100398E-2</v>
      </c>
      <c r="T180" s="282">
        <f t="shared" ref="T180:U180" si="65">hundred * $H71 * T101 / $H43 / hours_in_year</f>
        <v>-9.6800969836664738E-2</v>
      </c>
      <c r="U180" s="282">
        <f t="shared" si="65"/>
        <v>-9.6800969836664738E-2</v>
      </c>
      <c r="V180" s="282">
        <f t="shared" ref="V180:W180" si="66">hundred * $H71 * V101 / $H43 / hours_in_year</f>
        <v>-9.5524874189100398E-2</v>
      </c>
      <c r="W180" s="282">
        <f t="shared" si="66"/>
        <v>-9.5524874189100398E-2</v>
      </c>
      <c r="X180" s="282">
        <f t="shared" ref="X180:Y180" si="67">hundred * $H71 * X101 / $H43 / hours_in_year</f>
        <v>0</v>
      </c>
      <c r="Y180" s="282">
        <f t="shared" si="67"/>
        <v>0</v>
      </c>
      <c r="Z180" s="268"/>
      <c r="AA180" s="268"/>
    </row>
    <row r="181" spans="2:27" x14ac:dyDescent="0.25">
      <c r="D181"/>
      <c r="F181" t="s">
        <v>200</v>
      </c>
      <c r="G181" t="s">
        <v>270</v>
      </c>
      <c r="H181" s="268"/>
      <c r="I181" s="268"/>
      <c r="J181" s="294"/>
      <c r="K181" s="294"/>
      <c r="L181" s="294"/>
      <c r="M181" s="294"/>
      <c r="N181" s="294"/>
      <c r="O181" s="294"/>
      <c r="P181" s="294"/>
      <c r="Q181" s="294"/>
      <c r="R181" s="282">
        <f t="shared" ref="R181:S181" si="68">hundred * $H72 * R102 / $H44 / hours_in_year</f>
        <v>-0.23888592283620669</v>
      </c>
      <c r="S181" s="282">
        <f t="shared" si="68"/>
        <v>0</v>
      </c>
      <c r="T181" s="282">
        <f t="shared" ref="T181:U181" si="69">hundred * $H72 * T102 / $H44 / hours_in_year</f>
        <v>-0.23888592283620669</v>
      </c>
      <c r="U181" s="282">
        <f t="shared" si="69"/>
        <v>-0.23888592283620669</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335</v>
      </c>
      <c r="G182" t="s">
        <v>270</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336</v>
      </c>
      <c r="G183" s="96" t="s">
        <v>270</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637</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638</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639</v>
      </c>
      <c r="I188" t="s">
        <v>155</v>
      </c>
      <c r="J188" s="106"/>
      <c r="K188" s="106"/>
      <c r="L188" s="106"/>
      <c r="M188" s="106"/>
      <c r="N188" s="106"/>
      <c r="O188" s="106"/>
      <c r="P188" s="106"/>
      <c r="Q188" s="106"/>
      <c r="R188" s="106"/>
      <c r="S188" s="106"/>
      <c r="T188" s="106"/>
      <c r="U188" s="106"/>
      <c r="V188" s="106"/>
      <c r="W188" s="106"/>
      <c r="X188" s="106"/>
      <c r="Y188" s="106"/>
      <c r="AA188" t="s">
        <v>640</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control'!$H$42:$H$65,MATCH($A$1,'Version control'!$F$42:$F$65,0),1)&amp;"-D: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155</v>
      </c>
      <c r="J191" s="106"/>
      <c r="K191" s="106"/>
      <c r="L191" s="106"/>
      <c r="M191" s="106"/>
      <c r="N191" s="106"/>
      <c r="O191" s="106"/>
      <c r="P191" s="106"/>
      <c r="Q191" s="106"/>
      <c r="R191" s="106"/>
      <c r="S191" s="106"/>
      <c r="T191" s="106"/>
      <c r="U191" s="106"/>
      <c r="V191" s="106"/>
      <c r="W191" s="106"/>
      <c r="X191" s="106"/>
      <c r="Y191" s="106"/>
      <c r="AA191" t="s">
        <v>641</v>
      </c>
    </row>
    <row r="192" spans="2:27" x14ac:dyDescent="0.25">
      <c r="E192" s="75" t="s">
        <v>579</v>
      </c>
      <c r="J192" s="106"/>
      <c r="K192" s="106"/>
      <c r="L192" s="106"/>
      <c r="M192" s="106"/>
      <c r="N192" s="106"/>
      <c r="O192" s="106"/>
      <c r="P192" s="106"/>
      <c r="Q192" s="106"/>
      <c r="R192" s="106"/>
      <c r="S192" s="106"/>
      <c r="T192" s="106"/>
      <c r="U192" s="106"/>
      <c r="V192" s="106"/>
      <c r="W192" s="106"/>
      <c r="X192" s="106"/>
      <c r="Y192" s="106"/>
    </row>
    <row r="193" spans="4:27" x14ac:dyDescent="0.25">
      <c r="F193" s="95" t="s">
        <v>190</v>
      </c>
      <c r="G193" s="95" t="s">
        <v>273</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192</v>
      </c>
      <c r="G194" t="s">
        <v>273</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193</v>
      </c>
      <c r="G195" t="s">
        <v>273</v>
      </c>
      <c r="H195" s="268"/>
      <c r="I195" s="268"/>
      <c r="J195" s="282">
        <f t="shared" ref="J195:K195" si="72">ABS(J125 + J160)*(1-J82)*PowerFactor*$H23</f>
        <v>6.2603035796454029E-2</v>
      </c>
      <c r="K195" s="282">
        <f t="shared" si="72"/>
        <v>6.2603035796454029E-2</v>
      </c>
      <c r="L195" s="282">
        <f t="shared" ref="L195:M195" si="73">ABS(L125 + L160)*(1-L82)*PowerFactor*$H23</f>
        <v>4.7471687561318136E-2</v>
      </c>
      <c r="M195" s="282">
        <f t="shared" si="73"/>
        <v>4.7471687561318136E-2</v>
      </c>
      <c r="N195" s="282">
        <f t="shared" ref="N195:P195" si="74">ABS(N125 + N160)*(1-N82)*PowerFactor*$H23</f>
        <v>4.0940763465616946E-2</v>
      </c>
      <c r="O195" s="282">
        <f t="shared" si="74"/>
        <v>3.6455926700594575E-2</v>
      </c>
      <c r="P195" s="282">
        <f t="shared" si="74"/>
        <v>3.2228507854467188E-2</v>
      </c>
      <c r="Q195" s="282">
        <f t="shared" ref="Q195:S195" si="75">ABS(Q125 + Q160)*(1-Q82)*PowerFactor*$H23</f>
        <v>5.6366993122526382E-2</v>
      </c>
      <c r="R195" s="282">
        <f t="shared" si="75"/>
        <v>2.8452398962856364E-2</v>
      </c>
      <c r="S195" s="282">
        <f t="shared" si="75"/>
        <v>2.8077320257131319E-2</v>
      </c>
      <c r="T195" s="282">
        <f t="shared" ref="T195:U195" si="76">ABS(T125 + T160)*(1-T82)*PowerFactor*$H23</f>
        <v>2.8452398962856364E-2</v>
      </c>
      <c r="U195" s="282">
        <f t="shared" si="76"/>
        <v>2.8452398962856364E-2</v>
      </c>
      <c r="V195" s="282">
        <f t="shared" ref="V195:W195" si="77">ABS(V125 + V160)*(1-V82)*PowerFactor*$H23</f>
        <v>2.8077320257131319E-2</v>
      </c>
      <c r="W195" s="282">
        <f t="shared" si="77"/>
        <v>2.8077320257131319E-2</v>
      </c>
      <c r="X195" s="282">
        <f t="shared" ref="X195:Y195" si="78">ABS(X125 + X160)*(1-X82)*PowerFactor*$H23</f>
        <v>2.7702241551406284E-2</v>
      </c>
      <c r="Y195" s="282">
        <f t="shared" si="78"/>
        <v>2.7702241551406284E-2</v>
      </c>
      <c r="Z195" s="268"/>
      <c r="AA195" s="268"/>
    </row>
    <row r="196" spans="4:27" x14ac:dyDescent="0.25">
      <c r="F196" t="s">
        <v>194</v>
      </c>
      <c r="G196" t="s">
        <v>273</v>
      </c>
      <c r="H196" s="268"/>
      <c r="I196" s="268"/>
      <c r="J196" s="282">
        <f t="shared" ref="J196:K196" si="79">ABS(J126 + J161)*(1-J83)*PowerFactor*$H24</f>
        <v>8.9673513857980169E-3</v>
      </c>
      <c r="K196" s="282">
        <f t="shared" si="79"/>
        <v>8.9673513857980169E-3</v>
      </c>
      <c r="L196" s="282">
        <f t="shared" ref="L196:M196" si="80">ABS(L126 + L161)*(1-L83)*PowerFactor*$H24</f>
        <v>6.7999146977991932E-3</v>
      </c>
      <c r="M196" s="282">
        <f t="shared" si="80"/>
        <v>6.7999146977991932E-3</v>
      </c>
      <c r="N196" s="282">
        <f t="shared" ref="N196:P196" si="81">ABS(N126 + N161)*(1-N83)*PowerFactor*$H24</f>
        <v>5.8644154764747715E-3</v>
      </c>
      <c r="O196" s="282">
        <f t="shared" si="81"/>
        <v>5.2220008288742592E-3</v>
      </c>
      <c r="P196" s="282">
        <f t="shared" si="81"/>
        <v>4.6164591044852909E-3</v>
      </c>
      <c r="Q196" s="282">
        <f t="shared" ref="Q196:S196" si="82">ABS(Q126 + Q161)*(1-Q83)*PowerFactor*$H24</f>
        <v>8.0740914152151212E-3</v>
      </c>
      <c r="R196" s="282">
        <f t="shared" si="82"/>
        <v>4.0755636850968811E-3</v>
      </c>
      <c r="S196" s="282">
        <f t="shared" si="82"/>
        <v>4.021836856856433E-3</v>
      </c>
      <c r="T196" s="282">
        <f t="shared" ref="T196:U196" si="83">ABS(T126 + T161)*(1-T83)*PowerFactor*$H24</f>
        <v>4.0755636850968811E-3</v>
      </c>
      <c r="U196" s="282">
        <f t="shared" si="83"/>
        <v>4.0755636850968811E-3</v>
      </c>
      <c r="V196" s="282">
        <f t="shared" ref="V196:W196" si="84">ABS(V126 + V161)*(1-V83)*PowerFactor*$H24</f>
        <v>4.021836856856433E-3</v>
      </c>
      <c r="W196" s="282">
        <f t="shared" si="84"/>
        <v>4.021836856856433E-3</v>
      </c>
      <c r="X196" s="282">
        <f t="shared" ref="X196:Y196" si="85">ABS(X126 + X161)*(1-X83)*PowerFactor*$H24</f>
        <v>3.9681100286159832E-3</v>
      </c>
      <c r="Y196" s="282">
        <f t="shared" si="85"/>
        <v>3.9681100286159832E-3</v>
      </c>
      <c r="Z196" s="268"/>
      <c r="AA196" s="268"/>
    </row>
    <row r="197" spans="4:27" x14ac:dyDescent="0.25">
      <c r="F197" t="s">
        <v>195</v>
      </c>
      <c r="G197" t="s">
        <v>273</v>
      </c>
      <c r="H197" s="268"/>
      <c r="I197" s="268"/>
      <c r="J197" s="282">
        <f t="shared" ref="J197:K197" si="86">ABS(J127 + J162)*(1-J84)*PowerFactor*$H25</f>
        <v>2.8674368458592919E-2</v>
      </c>
      <c r="K197" s="282">
        <f t="shared" si="86"/>
        <v>2.8674368458592919E-2</v>
      </c>
      <c r="L197" s="282">
        <f t="shared" ref="L197:M197" si="87">ABS(L127 + L162)*(1-L84)*PowerFactor*$H25</f>
        <v>2.174368452210973E-2</v>
      </c>
      <c r="M197" s="282">
        <f t="shared" si="87"/>
        <v>2.174368452210973E-2</v>
      </c>
      <c r="N197" s="282">
        <f t="shared" ref="N197:P197" si="88">ABS(N127 + N162)*(1-N84)*PowerFactor*$H25</f>
        <v>1.8752294064558687E-2</v>
      </c>
      <c r="O197" s="282">
        <f t="shared" si="88"/>
        <v>1.6698082791242463E-2</v>
      </c>
      <c r="P197" s="282">
        <f t="shared" si="88"/>
        <v>1.1809422304622398E-2</v>
      </c>
      <c r="Q197" s="282">
        <f t="shared" ref="Q197:S197" si="89">ABS(Q127 + Q162)*(1-Q84)*PowerFactor*$H25</f>
        <v>2.5818043951629659E-2</v>
      </c>
      <c r="R197" s="282">
        <f t="shared" si="89"/>
        <v>1.3032188631306636E-2</v>
      </c>
      <c r="S197" s="282">
        <f t="shared" si="89"/>
        <v>1.2860389534472084E-2</v>
      </c>
      <c r="T197" s="282">
        <f t="shared" ref="T197:U197" si="90">ABS(T127 + T162)*(1-T84)*PowerFactor*$H25</f>
        <v>1.3032188631306636E-2</v>
      </c>
      <c r="U197" s="282">
        <f t="shared" si="90"/>
        <v>1.3032188631306636E-2</v>
      </c>
      <c r="V197" s="282">
        <f t="shared" ref="V197:W197" si="91">ABS(V127 + V162)*(1-V84)*PowerFactor*$H25</f>
        <v>1.2860389534472084E-2</v>
      </c>
      <c r="W197" s="282">
        <f t="shared" si="91"/>
        <v>1.2860389534472084E-2</v>
      </c>
      <c r="X197" s="282">
        <f t="shared" ref="X197:Y197" si="92">ABS(X127 + X162)*(1-X84)*PowerFactor*$H25</f>
        <v>1.2688590437637532E-2</v>
      </c>
      <c r="Y197" s="282">
        <f t="shared" si="92"/>
        <v>1.2688590437637532E-2</v>
      </c>
      <c r="Z197" s="268"/>
      <c r="AA197" s="268"/>
    </row>
    <row r="198" spans="4:27" x14ac:dyDescent="0.25">
      <c r="F198" t="s">
        <v>196</v>
      </c>
      <c r="G198" t="s">
        <v>273</v>
      </c>
      <c r="H198" s="268"/>
      <c r="I198" s="268"/>
      <c r="J198" s="282">
        <f t="shared" ref="J198:K198" si="93">ABS(J128 + J163)*(1-J85)*PowerFactor*$H26</f>
        <v>2.2680254246131491E-2</v>
      </c>
      <c r="K198" s="282">
        <f t="shared" si="93"/>
        <v>2.2680254246131491E-2</v>
      </c>
      <c r="L198" s="282">
        <f t="shared" ref="L198:M198" si="94">ABS(L128 + L163)*(1-L85)*PowerFactor*$H26</f>
        <v>1.7198366336167326E-2</v>
      </c>
      <c r="M198" s="282">
        <f t="shared" si="94"/>
        <v>1.7198366336167326E-2</v>
      </c>
      <c r="N198" s="282">
        <f t="shared" ref="N198:P198" si="95">ABS(N128 + N163)*(1-N85)*PowerFactor*$H26</f>
        <v>1.4832298667591432E-2</v>
      </c>
      <c r="O198" s="282">
        <f t="shared" si="95"/>
        <v>1.320750145466032E-2</v>
      </c>
      <c r="P198" s="282">
        <f t="shared" si="95"/>
        <v>0</v>
      </c>
      <c r="Q198" s="282">
        <f t="shared" ref="Q198:S198" si="96">ABS(Q128 + Q163)*(1-Q85)*PowerFactor*$H26</f>
        <v>2.0421018227701603E-2</v>
      </c>
      <c r="R198" s="282">
        <f t="shared" si="96"/>
        <v>1.0307928907602622E-2</v>
      </c>
      <c r="S198" s="282">
        <f t="shared" si="96"/>
        <v>1.0172042839140819E-2</v>
      </c>
      <c r="T198" s="282">
        <f t="shared" ref="T198:U198" si="97">ABS(T128 + T163)*(1-T85)*PowerFactor*$H26</f>
        <v>1.0307928907602622E-2</v>
      </c>
      <c r="U198" s="282">
        <f t="shared" si="97"/>
        <v>1.0307928907602622E-2</v>
      </c>
      <c r="V198" s="282">
        <f t="shared" ref="V198:W198" si="98">ABS(V128 + V163)*(1-V85)*PowerFactor*$H26</f>
        <v>1.0172042839140819E-2</v>
      </c>
      <c r="W198" s="282">
        <f t="shared" si="98"/>
        <v>1.0172042839140819E-2</v>
      </c>
      <c r="X198" s="282">
        <f t="shared" ref="X198:Y198" si="99">ABS(X128 + X163)*(1-X85)*PowerFactor*$H26</f>
        <v>1.0036156770679015E-2</v>
      </c>
      <c r="Y198" s="282">
        <f t="shared" si="99"/>
        <v>1.0036156770679015E-2</v>
      </c>
      <c r="Z198" s="268"/>
      <c r="AA198" s="268"/>
    </row>
    <row r="199" spans="4:27" x14ac:dyDescent="0.25">
      <c r="F199" t="s">
        <v>197</v>
      </c>
      <c r="G199" t="s">
        <v>273</v>
      </c>
      <c r="H199" s="268"/>
      <c r="I199" s="268"/>
      <c r="J199" s="282">
        <f t="shared" ref="J199:K199" si="100">ABS(J129 + J164)*(1-J86)*PowerFactor*$H27</f>
        <v>0</v>
      </c>
      <c r="K199" s="282">
        <f t="shared" si="100"/>
        <v>0</v>
      </c>
      <c r="L199" s="282">
        <f t="shared" ref="L199:M199" si="101">ABS(L129 + L164)*(1-L86)*PowerFactor*$H27</f>
        <v>0</v>
      </c>
      <c r="M199" s="282">
        <f t="shared" si="101"/>
        <v>0</v>
      </c>
      <c r="N199" s="282">
        <f t="shared" ref="N199:P199" si="102">ABS(N129 + N164)*(1-N86)*PowerFactor*$H27</f>
        <v>0</v>
      </c>
      <c r="O199" s="282">
        <f t="shared" si="102"/>
        <v>0</v>
      </c>
      <c r="P199" s="282">
        <f t="shared" si="102"/>
        <v>0</v>
      </c>
      <c r="Q199" s="282">
        <f t="shared" ref="Q199:S199" si="103">ABS(Q129 + Q164)*(1-Q86)*PowerFactor*$H27</f>
        <v>0</v>
      </c>
      <c r="R199" s="282">
        <f t="shared" si="103"/>
        <v>0</v>
      </c>
      <c r="S199" s="282">
        <f t="shared" si="103"/>
        <v>0</v>
      </c>
      <c r="T199" s="282">
        <f t="shared" ref="T199:U199" si="104">ABS(T129 + T164)*(1-T86)*PowerFactor*$H27</f>
        <v>0</v>
      </c>
      <c r="U199" s="282">
        <f t="shared" si="104"/>
        <v>0</v>
      </c>
      <c r="V199" s="282">
        <f t="shared" ref="V199:W199" si="105">ABS(V129 + V164)*(1-V86)*PowerFactor*$H27</f>
        <v>0</v>
      </c>
      <c r="W199" s="282">
        <f t="shared" si="105"/>
        <v>0</v>
      </c>
      <c r="X199" s="282">
        <f t="shared" ref="X199:Y199" si="106">ABS(X129 + X164)*(1-X86)*PowerFactor*$H27</f>
        <v>0</v>
      </c>
      <c r="Y199" s="282">
        <f t="shared" si="106"/>
        <v>0</v>
      </c>
      <c r="Z199" s="268"/>
      <c r="AA199" s="268"/>
    </row>
    <row r="200" spans="4:27" x14ac:dyDescent="0.25">
      <c r="F200" t="s">
        <v>198</v>
      </c>
      <c r="G200" t="s">
        <v>273</v>
      </c>
      <c r="H200" s="268"/>
      <c r="I200" s="268"/>
      <c r="J200" s="282">
        <f t="shared" ref="J200:K200" si="107">ABS(J130 + J165)*(1-J87)*PowerFactor*$H28</f>
        <v>0.10444276858040318</v>
      </c>
      <c r="K200" s="282">
        <f t="shared" si="107"/>
        <v>0.10444276858040318</v>
      </c>
      <c r="L200" s="282">
        <f t="shared" ref="L200:M200" si="108">ABS(L130 + L165)*(1-L87)*PowerFactor*$H28</f>
        <v>7.9198626951710704E-2</v>
      </c>
      <c r="M200" s="282">
        <f t="shared" si="108"/>
        <v>7.9198626951710704E-2</v>
      </c>
      <c r="N200" s="282">
        <f t="shared" ref="N200:P200" si="109">ABS(N130 + N165)*(1-N87)*PowerFactor*$H28</f>
        <v>5.4642291764217046E-2</v>
      </c>
      <c r="O200" s="282">
        <f t="shared" si="109"/>
        <v>0</v>
      </c>
      <c r="P200" s="282">
        <f t="shared" si="109"/>
        <v>0</v>
      </c>
      <c r="Q200" s="282">
        <f t="shared" ref="Q200:S200" si="110">ABS(Q130 + Q165)*(1-Q87)*PowerFactor*$H28</f>
        <v>9.4038967014482402E-2</v>
      </c>
      <c r="R200" s="282">
        <f t="shared" si="110"/>
        <v>4.7468102506991065E-2</v>
      </c>
      <c r="S200" s="282">
        <f t="shared" si="110"/>
        <v>4.6842345976767071E-2</v>
      </c>
      <c r="T200" s="282">
        <f t="shared" ref="T200:U200" si="111">ABS(T130 + T165)*(1-T87)*PowerFactor*$H28</f>
        <v>4.7468102506991065E-2</v>
      </c>
      <c r="U200" s="282">
        <f t="shared" si="111"/>
        <v>4.7468102506991065E-2</v>
      </c>
      <c r="V200" s="282">
        <f t="shared" ref="V200:W200" si="112">ABS(V130 + V165)*(1-V87)*PowerFactor*$H28</f>
        <v>4.6842345976767071E-2</v>
      </c>
      <c r="W200" s="282">
        <f t="shared" si="112"/>
        <v>4.6842345976767071E-2</v>
      </c>
      <c r="X200" s="282">
        <f t="shared" ref="X200:Y200" si="113">ABS(X130 + X165)*(1-X87)*PowerFactor*$H28</f>
        <v>4.6216589446543083E-2</v>
      </c>
      <c r="Y200" s="282">
        <f t="shared" si="113"/>
        <v>4.6216589446543083E-2</v>
      </c>
      <c r="Z200" s="268"/>
      <c r="AA200" s="268"/>
    </row>
    <row r="201" spans="4:27" x14ac:dyDescent="0.25">
      <c r="F201" t="s">
        <v>199</v>
      </c>
      <c r="G201" t="s">
        <v>273</v>
      </c>
      <c r="H201" s="268"/>
      <c r="I201" s="268"/>
      <c r="J201" s="282">
        <f t="shared" ref="J201:K201" si="114">ABS(J131 + J166)*(1-J88)*PowerFactor*$H29</f>
        <v>4.2851303453665945E-2</v>
      </c>
      <c r="K201" s="282">
        <f t="shared" si="114"/>
        <v>4.2851303453665945E-2</v>
      </c>
      <c r="L201" s="282">
        <f t="shared" ref="L201:M201" si="115">ABS(L131 + L166)*(1-L88)*PowerFactor*$H29</f>
        <v>3.2494010286684624E-2</v>
      </c>
      <c r="M201" s="282">
        <f t="shared" si="115"/>
        <v>3.2494010286684624E-2</v>
      </c>
      <c r="N201" s="282">
        <f t="shared" ref="N201:P201" si="116">ABS(N131 + N166)*(1-N88)*PowerFactor*$H29</f>
        <v>0</v>
      </c>
      <c r="O201" s="282">
        <f t="shared" si="116"/>
        <v>0</v>
      </c>
      <c r="P201" s="282">
        <f t="shared" si="116"/>
        <v>0</v>
      </c>
      <c r="Q201" s="282">
        <f t="shared" ref="Q201:S201" si="117">ABS(Q131 + Q166)*(1-Q88)*PowerFactor*$H29</f>
        <v>3.8582779514358526E-2</v>
      </c>
      <c r="R201" s="282">
        <f t="shared" si="117"/>
        <v>1.9475451412712286E-2</v>
      </c>
      <c r="S201" s="282">
        <f t="shared" si="117"/>
        <v>1.9218712881847906E-2</v>
      </c>
      <c r="T201" s="282">
        <f t="shared" ref="T201:U201" si="118">ABS(T131 + T166)*(1-T88)*PowerFactor*$H29</f>
        <v>1.9475451412712286E-2</v>
      </c>
      <c r="U201" s="282">
        <f t="shared" si="118"/>
        <v>1.9475451412712286E-2</v>
      </c>
      <c r="V201" s="282">
        <f t="shared" ref="V201:W201" si="119">ABS(V131 + V166)*(1-V88)*PowerFactor*$H29</f>
        <v>1.9218712881847906E-2</v>
      </c>
      <c r="W201" s="282">
        <f t="shared" si="119"/>
        <v>1.9218712881847906E-2</v>
      </c>
      <c r="X201" s="282">
        <f t="shared" ref="X201:Y201" si="120">ABS(X131 + X166)*(1-X88)*PowerFactor*$H29</f>
        <v>0</v>
      </c>
      <c r="Y201" s="282">
        <f t="shared" si="120"/>
        <v>0</v>
      </c>
      <c r="Z201" s="268"/>
      <c r="AA201" s="268"/>
    </row>
    <row r="202" spans="4:27" x14ac:dyDescent="0.25">
      <c r="F202" t="s">
        <v>200</v>
      </c>
      <c r="G202" t="s">
        <v>273</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9.5214778379032375E-2</v>
      </c>
      <c r="R202" s="282">
        <f t="shared" si="124"/>
        <v>4.8061617473746772E-2</v>
      </c>
      <c r="S202" s="282">
        <f t="shared" si="124"/>
        <v>0</v>
      </c>
      <c r="T202" s="282">
        <f t="shared" ref="T202:U202" si="125">ABS(T132 + T167)*(1-T89)*PowerFactor*$H30</f>
        <v>4.8061617473746772E-2</v>
      </c>
      <c r="U202" s="282">
        <f t="shared" si="125"/>
        <v>4.8061617473746772E-2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335</v>
      </c>
      <c r="G203" t="s">
        <v>273</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336</v>
      </c>
      <c r="G204" s="96" t="s">
        <v>273</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580</v>
      </c>
      <c r="J206" s="106"/>
      <c r="K206" s="106"/>
      <c r="L206" s="106"/>
      <c r="M206" s="106"/>
      <c r="N206" s="106"/>
      <c r="O206" s="106"/>
      <c r="P206" s="106"/>
      <c r="Q206" s="106"/>
      <c r="R206" s="106"/>
      <c r="S206" s="106"/>
      <c r="T206" s="106"/>
      <c r="U206" s="106"/>
      <c r="V206" s="106"/>
      <c r="W206" s="106"/>
      <c r="X206" s="106"/>
      <c r="Y206" s="106"/>
    </row>
    <row r="207" spans="4:27" x14ac:dyDescent="0.25">
      <c r="F207" s="95" t="s">
        <v>190</v>
      </c>
      <c r="G207" s="95" t="s">
        <v>273</v>
      </c>
      <c r="H207" s="266"/>
      <c r="I207" s="266"/>
      <c r="J207" s="281">
        <f t="shared" ref="J207:K207" si="128">ABS(J137 + J172)*(1-J81)*PowerFactor*$H22</f>
        <v>1.9957467635830527E-2</v>
      </c>
      <c r="K207" s="281">
        <f t="shared" si="128"/>
        <v>1.9957467635830527E-2</v>
      </c>
      <c r="L207" s="281">
        <f t="shared" ref="L207:M207" si="129">ABS(L137 + L172)*(1-L81)*PowerFactor*$H22</f>
        <v>1.5133685708208564E-2</v>
      </c>
      <c r="M207" s="281">
        <f t="shared" si="129"/>
        <v>1.5133685708208564E-2</v>
      </c>
      <c r="N207" s="281">
        <f t="shared" ref="N207:P207" si="130">ABS(N137 + N172)*(1-N81)*PowerFactor*$H22</f>
        <v>1.3051666767532766E-2</v>
      </c>
      <c r="O207" s="281">
        <f t="shared" si="130"/>
        <v>1.1621928042386367E-2</v>
      </c>
      <c r="P207" s="281">
        <f t="shared" si="130"/>
        <v>1.027425258653465E-2</v>
      </c>
      <c r="Q207" s="281">
        <f t="shared" ref="Q207:S207" si="131">ABS(Q137 + Q172)*(1-Q81)*PowerFactor*$H22</f>
        <v>1.7969455101658531E-2</v>
      </c>
      <c r="R207" s="281">
        <f t="shared" si="131"/>
        <v>9.0704520034651029E-3</v>
      </c>
      <c r="S207" s="281">
        <f t="shared" si="131"/>
        <v>8.9508791898601035E-3</v>
      </c>
      <c r="T207" s="281">
        <f t="shared" ref="T207:U207" si="132">ABS(T137 + T172)*(1-T81)*PowerFactor*$H22</f>
        <v>9.0704520034651029E-3</v>
      </c>
      <c r="U207" s="281">
        <f t="shared" si="132"/>
        <v>9.0704520034651029E-3</v>
      </c>
      <c r="V207" s="281">
        <f t="shared" ref="V207:W207" si="133">ABS(V137 + V172)*(1-V81)*PowerFactor*$H22</f>
        <v>8.9508791898601035E-3</v>
      </c>
      <c r="W207" s="281">
        <f t="shared" si="133"/>
        <v>8.9508791898601035E-3</v>
      </c>
      <c r="X207" s="281">
        <f t="shared" ref="X207:Y207" si="134">ABS(X137 + X172)*(1-X81)*PowerFactor*$H22</f>
        <v>8.8313063762551006E-3</v>
      </c>
      <c r="Y207" s="281">
        <f t="shared" si="134"/>
        <v>8.8313063762551006E-3</v>
      </c>
      <c r="Z207" s="268"/>
      <c r="AA207" s="268"/>
    </row>
    <row r="208" spans="4:27" x14ac:dyDescent="0.25">
      <c r="F208" t="s">
        <v>192</v>
      </c>
      <c r="G208" t="s">
        <v>273</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193</v>
      </c>
      <c r="G209" t="s">
        <v>273</v>
      </c>
      <c r="H209" s="268"/>
      <c r="I209" s="268"/>
      <c r="J209" s="282">
        <f t="shared" ref="J209:K209" si="142">ABS(J139 + J174)*(1-J82)*PowerFactor*$H23</f>
        <v>4.8475408332649905E-2</v>
      </c>
      <c r="K209" s="282">
        <f t="shared" si="142"/>
        <v>4.8475408332649905E-2</v>
      </c>
      <c r="L209" s="282">
        <f t="shared" ref="L209:M209" si="143">ABS(L139 + L174)*(1-L82)*PowerFactor*$H23</f>
        <v>3.6758751544525251E-2</v>
      </c>
      <c r="M209" s="282">
        <f t="shared" si="143"/>
        <v>3.6758751544525251E-2</v>
      </c>
      <c r="N209" s="282">
        <f t="shared" ref="N209:P209" si="144">ABS(N139 + N174)*(1-N82)*PowerFactor*$H23</f>
        <v>3.1701661128686505E-2</v>
      </c>
      <c r="O209" s="282">
        <f t="shared" si="144"/>
        <v>2.8228917503335765E-2</v>
      </c>
      <c r="P209" s="282">
        <f t="shared" si="144"/>
        <v>2.4955500293578466E-2</v>
      </c>
      <c r="Q209" s="282">
        <f t="shared" ref="Q209:S209" si="145">ABS(Q139 + Q174)*(1-Q82)*PowerFactor*$H23</f>
        <v>4.364665344636378E-2</v>
      </c>
      <c r="R209" s="282">
        <f t="shared" si="145"/>
        <v>2.2031545918194114E-2</v>
      </c>
      <c r="S209" s="282">
        <f t="shared" si="145"/>
        <v>2.174111122624052E-2</v>
      </c>
      <c r="T209" s="282">
        <f t="shared" ref="T209:U209" si="146">ABS(T139 + T174)*(1-T82)*PowerFactor*$H23</f>
        <v>2.2031545918194114E-2</v>
      </c>
      <c r="U209" s="282">
        <f t="shared" si="146"/>
        <v>2.2031545918194114E-2</v>
      </c>
      <c r="V209" s="282">
        <f t="shared" ref="V209:W209" si="147">ABS(V139 + V174)*(1-V82)*PowerFactor*$H23</f>
        <v>2.174111122624052E-2</v>
      </c>
      <c r="W209" s="282">
        <f t="shared" si="147"/>
        <v>2.174111122624052E-2</v>
      </c>
      <c r="X209" s="282">
        <f t="shared" ref="X209:Y209" si="148">ABS(X139 + X174)*(1-X82)*PowerFactor*$H23</f>
        <v>2.1450676534286926E-2</v>
      </c>
      <c r="Y209" s="282">
        <f t="shared" si="148"/>
        <v>2.1450676534286926E-2</v>
      </c>
      <c r="Z209" s="268"/>
      <c r="AA209" s="268"/>
    </row>
    <row r="210" spans="3:27" x14ac:dyDescent="0.25">
      <c r="F210" t="s">
        <v>194</v>
      </c>
      <c r="G210" t="s">
        <v>273</v>
      </c>
      <c r="H210" s="268"/>
      <c r="I210" s="268"/>
      <c r="J210" s="282">
        <f t="shared" ref="J210:K210" si="149">ABS(J140 + J175)*(1-J83)*PowerFactor*$H24</f>
        <v>6.9436891447608529E-3</v>
      </c>
      <c r="K210" s="282">
        <f t="shared" si="149"/>
        <v>6.9436891447608529E-3</v>
      </c>
      <c r="L210" s="282">
        <f t="shared" ref="L210:M210" si="150">ABS(L140 + L175)*(1-L83)*PowerFactor*$H24</f>
        <v>5.2653779071473485E-3</v>
      </c>
      <c r="M210" s="282">
        <f t="shared" si="150"/>
        <v>5.2653779071473485E-3</v>
      </c>
      <c r="N210" s="282">
        <f t="shared" ref="N210:P210" si="151">ABS(N140 + N175)*(1-N83)*PowerFactor*$H24</f>
        <v>4.5409928007122038E-3</v>
      </c>
      <c r="O210" s="282">
        <f t="shared" si="151"/>
        <v>4.0435518704901897E-3</v>
      </c>
      <c r="P210" s="282">
        <f t="shared" si="151"/>
        <v>3.5746627506773312E-3</v>
      </c>
      <c r="Q210" s="282">
        <f t="shared" ref="Q210:S210" si="152">ABS(Q140 + Q175)*(1-Q83)*PowerFactor*$H24</f>
        <v>6.2520111570989606E-3</v>
      </c>
      <c r="R210" s="282">
        <f t="shared" si="152"/>
        <v>3.1558312038276778E-3</v>
      </c>
      <c r="S210" s="282">
        <f t="shared" si="152"/>
        <v>3.1142289092386121E-3</v>
      </c>
      <c r="T210" s="282">
        <f t="shared" ref="T210:U210" si="153">ABS(T140 + T175)*(1-T83)*PowerFactor*$H24</f>
        <v>3.1558312038276778E-3</v>
      </c>
      <c r="U210" s="282">
        <f t="shared" si="153"/>
        <v>3.1558312038276778E-3</v>
      </c>
      <c r="V210" s="282">
        <f t="shared" ref="V210:W210" si="154">ABS(V140 + V175)*(1-V83)*PowerFactor*$H24</f>
        <v>3.1142289092386121E-3</v>
      </c>
      <c r="W210" s="282">
        <f t="shared" si="154"/>
        <v>3.1142289092386121E-3</v>
      </c>
      <c r="X210" s="282">
        <f t="shared" ref="X210:Y210" si="155">ABS(X140 + X175)*(1-X83)*PowerFactor*$H24</f>
        <v>3.0726266146495467E-3</v>
      </c>
      <c r="Y210" s="282">
        <f t="shared" si="155"/>
        <v>3.0726266146495467E-3</v>
      </c>
      <c r="Z210" s="268"/>
      <c r="AA210" s="268"/>
    </row>
    <row r="211" spans="3:27" x14ac:dyDescent="0.25">
      <c r="F211" t="s">
        <v>195</v>
      </c>
      <c r="G211" t="s">
        <v>273</v>
      </c>
      <c r="H211" s="268"/>
      <c r="I211" s="268"/>
      <c r="J211" s="282">
        <f t="shared" ref="J211:K211" si="156">ABS(J141 + J176)*(1-J84)*PowerFactor*$H25</f>
        <v>2.2203423556495981E-2</v>
      </c>
      <c r="K211" s="282">
        <f t="shared" si="156"/>
        <v>2.2203423556495981E-2</v>
      </c>
      <c r="L211" s="282">
        <f t="shared" ref="L211:M211" si="157">ABS(L141 + L176)*(1-L84)*PowerFactor*$H25</f>
        <v>1.6836787105543073E-2</v>
      </c>
      <c r="M211" s="282">
        <f t="shared" si="157"/>
        <v>1.6836787105543073E-2</v>
      </c>
      <c r="N211" s="282">
        <f t="shared" ref="N211:P211" si="158">ABS(N141 + N176)*(1-N84)*PowerFactor*$H25</f>
        <v>1.4520463750495925E-2</v>
      </c>
      <c r="O211" s="282">
        <f t="shared" si="158"/>
        <v>1.2929826347554249E-2</v>
      </c>
      <c r="P211" s="282">
        <f t="shared" si="158"/>
        <v>9.1443899022817052E-3</v>
      </c>
      <c r="Q211" s="282">
        <f t="shared" ref="Q211:S211" si="159">ABS(Q141 + Q176)*(1-Q84)*PowerFactor*$H25</f>
        <v>1.9991685818157075E-2</v>
      </c>
      <c r="R211" s="282">
        <f t="shared" si="159"/>
        <v>1.0091214544686507E-2</v>
      </c>
      <c r="S211" s="282">
        <f t="shared" si="159"/>
        <v>9.9581853510654073E-3</v>
      </c>
      <c r="T211" s="282">
        <f t="shared" ref="T211:U211" si="160">ABS(T141 + T176)*(1-T84)*PowerFactor*$H25</f>
        <v>1.0091214544686507E-2</v>
      </c>
      <c r="U211" s="282">
        <f t="shared" si="160"/>
        <v>1.0091214544686507E-2</v>
      </c>
      <c r="V211" s="282">
        <f t="shared" ref="V211:W211" si="161">ABS(V141 + V176)*(1-V84)*PowerFactor*$H25</f>
        <v>9.9581853510654073E-3</v>
      </c>
      <c r="W211" s="282">
        <f t="shared" si="161"/>
        <v>9.9581853510654073E-3</v>
      </c>
      <c r="X211" s="282">
        <f t="shared" ref="X211:Y211" si="162">ABS(X141 + X176)*(1-X84)*PowerFactor*$H25</f>
        <v>9.8251561574443039E-3</v>
      </c>
      <c r="Y211" s="282">
        <f t="shared" si="162"/>
        <v>9.8251561574443039E-3</v>
      </c>
      <c r="Z211" s="268"/>
      <c r="AA211" s="268"/>
    </row>
    <row r="212" spans="3:27" x14ac:dyDescent="0.25">
      <c r="F212" t="s">
        <v>196</v>
      </c>
      <c r="G212" t="s">
        <v>273</v>
      </c>
      <c r="H212" s="268"/>
      <c r="I212" s="268"/>
      <c r="J212" s="282">
        <f t="shared" ref="J212:K212" si="163">ABS(J142 + J177)*(1-J85)*PowerFactor*$H26</f>
        <v>1.7562001134325423E-2</v>
      </c>
      <c r="K212" s="282">
        <f t="shared" si="163"/>
        <v>1.7562001134325423E-2</v>
      </c>
      <c r="L212" s="282">
        <f t="shared" ref="L212:M212" si="164">ABS(L142 + L177)*(1-L85)*PowerFactor*$H26</f>
        <v>1.3317210901894213E-2</v>
      </c>
      <c r="M212" s="282">
        <f t="shared" si="164"/>
        <v>1.3317210901894213E-2</v>
      </c>
      <c r="N212" s="282">
        <f t="shared" ref="N212:P212" si="165">ABS(N142 + N177)*(1-N85)*PowerFactor*$H26</f>
        <v>1.1485093738282251E-2</v>
      </c>
      <c r="O212" s="282">
        <f t="shared" si="165"/>
        <v>1.0226964522142093E-2</v>
      </c>
      <c r="P212" s="282">
        <f t="shared" si="165"/>
        <v>0</v>
      </c>
      <c r="Q212" s="282">
        <f t="shared" ref="Q212:S212" si="166">ABS(Q142 + Q177)*(1-Q85)*PowerFactor*$H26</f>
        <v>1.5812606921730032E-2</v>
      </c>
      <c r="R212" s="282">
        <f t="shared" si="166"/>
        <v>7.9817385291763455E-3</v>
      </c>
      <c r="S212" s="282">
        <f t="shared" si="166"/>
        <v>7.8765178705996336E-3</v>
      </c>
      <c r="T212" s="282">
        <f t="shared" ref="T212:U212" si="167">ABS(T142 + T177)*(1-T85)*PowerFactor*$H26</f>
        <v>7.9817385291763455E-3</v>
      </c>
      <c r="U212" s="282">
        <f t="shared" si="167"/>
        <v>7.9817385291763455E-3</v>
      </c>
      <c r="V212" s="282">
        <f t="shared" ref="V212:W212" si="168">ABS(V142 + V177)*(1-V85)*PowerFactor*$H26</f>
        <v>7.8765178705996336E-3</v>
      </c>
      <c r="W212" s="282">
        <f t="shared" si="168"/>
        <v>7.8765178705996336E-3</v>
      </c>
      <c r="X212" s="282">
        <f t="shared" ref="X212:Y212" si="169">ABS(X142 + X177)*(1-X85)*PowerFactor*$H26</f>
        <v>7.7712972120229191E-3</v>
      </c>
      <c r="Y212" s="282">
        <f t="shared" si="169"/>
        <v>7.7712972120229191E-3</v>
      </c>
      <c r="Z212" s="268"/>
      <c r="AA212" s="268"/>
    </row>
    <row r="213" spans="3:27" x14ac:dyDescent="0.25">
      <c r="F213" t="s">
        <v>197</v>
      </c>
      <c r="G213" t="s">
        <v>273</v>
      </c>
      <c r="H213" s="268"/>
      <c r="I213" s="268"/>
      <c r="J213" s="282">
        <f t="shared" ref="J213:K213" si="170">ABS(J143 + J178)*(1-J86)*PowerFactor*$H27</f>
        <v>0</v>
      </c>
      <c r="K213" s="282">
        <f t="shared" si="170"/>
        <v>0</v>
      </c>
      <c r="L213" s="282">
        <f t="shared" ref="L213:M213" si="171">ABS(L143 + L178)*(1-L86)*PowerFactor*$H27</f>
        <v>0</v>
      </c>
      <c r="M213" s="282">
        <f t="shared" si="171"/>
        <v>0</v>
      </c>
      <c r="N213" s="282">
        <f t="shared" ref="N213:P213" si="172">ABS(N143 + N178)*(1-N86)*PowerFactor*$H27</f>
        <v>0</v>
      </c>
      <c r="O213" s="282">
        <f t="shared" si="172"/>
        <v>0</v>
      </c>
      <c r="P213" s="282">
        <f t="shared" si="172"/>
        <v>0</v>
      </c>
      <c r="Q213" s="282">
        <f t="shared" ref="Q213:S213" si="173">ABS(Q143 + Q178)*(1-Q86)*PowerFactor*$H27</f>
        <v>0</v>
      </c>
      <c r="R213" s="282">
        <f t="shared" si="173"/>
        <v>0</v>
      </c>
      <c r="S213" s="282">
        <f t="shared" si="173"/>
        <v>0</v>
      </c>
      <c r="T213" s="282">
        <f t="shared" ref="T213:U213" si="174">ABS(T143 + T178)*(1-T86)*PowerFactor*$H27</f>
        <v>0</v>
      </c>
      <c r="U213" s="282">
        <f t="shared" si="174"/>
        <v>0</v>
      </c>
      <c r="V213" s="282">
        <f t="shared" ref="V213:W213" si="175">ABS(V143 + V178)*(1-V86)*PowerFactor*$H27</f>
        <v>0</v>
      </c>
      <c r="W213" s="282">
        <f t="shared" si="175"/>
        <v>0</v>
      </c>
      <c r="X213" s="282">
        <f t="shared" ref="X213:Y213" si="176">ABS(X143 + X178)*(1-X86)*PowerFactor*$H27</f>
        <v>0</v>
      </c>
      <c r="Y213" s="282">
        <f t="shared" si="176"/>
        <v>0</v>
      </c>
      <c r="Z213" s="268"/>
      <c r="AA213" s="268"/>
    </row>
    <row r="214" spans="3:27" x14ac:dyDescent="0.25">
      <c r="F214" t="s">
        <v>198</v>
      </c>
      <c r="G214" t="s">
        <v>273</v>
      </c>
      <c r="H214" s="268"/>
      <c r="I214" s="268"/>
      <c r="J214" s="282">
        <f t="shared" ref="J214:K214" si="177">ABS(J144 + J179)*(1-J87)*PowerFactor*$H28</f>
        <v>8.0873168368206752E-2</v>
      </c>
      <c r="K214" s="282">
        <f t="shared" si="177"/>
        <v>8.0873168368206752E-2</v>
      </c>
      <c r="L214" s="282">
        <f t="shared" ref="L214:M214" si="178">ABS(L144 + L179)*(1-L87)*PowerFactor*$H28</f>
        <v>6.1325872332326212E-2</v>
      </c>
      <c r="M214" s="282">
        <f t="shared" si="178"/>
        <v>6.1325872332326212E-2</v>
      </c>
      <c r="N214" s="282">
        <f t="shared" ref="N214:P214" si="179">ABS(N144 + N179)*(1-N87)*PowerFactor*$H28</f>
        <v>4.231116545393232E-2</v>
      </c>
      <c r="O214" s="282">
        <f t="shared" si="179"/>
        <v>0</v>
      </c>
      <c r="P214" s="282">
        <f t="shared" si="179"/>
        <v>0</v>
      </c>
      <c r="Q214" s="282">
        <f t="shared" ref="Q214:S214" si="180">ABS(Q144 + Q179)*(1-Q87)*PowerFactor*$H28</f>
        <v>7.2817192764090155E-2</v>
      </c>
      <c r="R214" s="282">
        <f t="shared" si="180"/>
        <v>3.675597552942967E-2</v>
      </c>
      <c r="S214" s="282">
        <f t="shared" si="180"/>
        <v>3.6271433479135876E-2</v>
      </c>
      <c r="T214" s="282">
        <f t="shared" ref="T214:U214" si="181">ABS(T144 + T179)*(1-T87)*PowerFactor*$H28</f>
        <v>3.675597552942967E-2</v>
      </c>
      <c r="U214" s="282">
        <f t="shared" si="181"/>
        <v>3.675597552942967E-2</v>
      </c>
      <c r="V214" s="282">
        <f t="shared" ref="V214:W214" si="182">ABS(V144 + V179)*(1-V87)*PowerFactor*$H28</f>
        <v>3.6271433479135876E-2</v>
      </c>
      <c r="W214" s="282">
        <f t="shared" si="182"/>
        <v>3.6271433479135876E-2</v>
      </c>
      <c r="X214" s="282">
        <f t="shared" ref="X214:Y214" si="183">ABS(X144 + X179)*(1-X87)*PowerFactor*$H28</f>
        <v>3.5786891428842067E-2</v>
      </c>
      <c r="Y214" s="282">
        <f t="shared" si="183"/>
        <v>3.5786891428842067E-2</v>
      </c>
      <c r="Z214" s="268"/>
      <c r="AA214" s="268"/>
    </row>
    <row r="215" spans="3:27" x14ac:dyDescent="0.25">
      <c r="F215" t="s">
        <v>199</v>
      </c>
      <c r="G215" t="s">
        <v>273</v>
      </c>
      <c r="H215" s="268"/>
      <c r="I215" s="268"/>
      <c r="J215" s="282">
        <f t="shared" ref="J215:K215" si="184">ABS(J145 + J180)*(1-J88)*PowerFactor*$H29</f>
        <v>3.3181049546169253E-2</v>
      </c>
      <c r="K215" s="282">
        <f t="shared" si="184"/>
        <v>3.3181049546169253E-2</v>
      </c>
      <c r="L215" s="282">
        <f t="shared" ref="L215:M215" si="185">ABS(L145 + L180)*(1-L88)*PowerFactor*$H29</f>
        <v>2.5161086790324382E-2</v>
      </c>
      <c r="M215" s="282">
        <f t="shared" si="185"/>
        <v>2.5161086790324382E-2</v>
      </c>
      <c r="N215" s="282">
        <f t="shared" ref="N215:P215" si="186">ABS(N145 + N180)*(1-N88)*PowerFactor*$H29</f>
        <v>0</v>
      </c>
      <c r="O215" s="282">
        <f t="shared" si="186"/>
        <v>0</v>
      </c>
      <c r="P215" s="282">
        <f t="shared" si="186"/>
        <v>0</v>
      </c>
      <c r="Q215" s="282">
        <f t="shared" ref="Q215:S215" si="187">ABS(Q145 + Q180)*(1-Q88)*PowerFactor*$H29</f>
        <v>2.987580342985649E-2</v>
      </c>
      <c r="R215" s="282">
        <f t="shared" si="187"/>
        <v>1.5080426175552759E-2</v>
      </c>
      <c r="S215" s="282">
        <f t="shared" si="187"/>
        <v>1.4881625830488972E-2</v>
      </c>
      <c r="T215" s="282">
        <f t="shared" ref="T215:U215" si="188">ABS(T145 + T180)*(1-T88)*PowerFactor*$H29</f>
        <v>1.5080426175552759E-2</v>
      </c>
      <c r="U215" s="282">
        <f t="shared" si="188"/>
        <v>1.5080426175552759E-2</v>
      </c>
      <c r="V215" s="282">
        <f t="shared" ref="V215:W215" si="189">ABS(V145 + V180)*(1-V88)*PowerFactor*$H29</f>
        <v>1.4881625830488972E-2</v>
      </c>
      <c r="W215" s="282">
        <f t="shared" si="189"/>
        <v>1.4881625830488972E-2</v>
      </c>
      <c r="X215" s="282">
        <f t="shared" ref="X215:Y215" si="190">ABS(X145 + X180)*(1-X88)*PowerFactor*$H29</f>
        <v>0</v>
      </c>
      <c r="Y215" s="282">
        <f t="shared" si="190"/>
        <v>0</v>
      </c>
      <c r="Z215" s="268"/>
      <c r="AA215" s="268"/>
    </row>
    <row r="216" spans="3:27" x14ac:dyDescent="0.25">
      <c r="F216" t="s">
        <v>200</v>
      </c>
      <c r="G216" t="s">
        <v>273</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7.3727658770947266E-2</v>
      </c>
      <c r="R216" s="282">
        <f t="shared" si="194"/>
        <v>3.7215551970076539E-2</v>
      </c>
      <c r="S216" s="282">
        <f t="shared" si="194"/>
        <v>0</v>
      </c>
      <c r="T216" s="282">
        <f t="shared" ref="T216:U216" si="195">ABS(T146 + T181)*(1-T89)*PowerFactor*$H30</f>
        <v>3.7215551970076539E-2</v>
      </c>
      <c r="U216" s="282">
        <f t="shared" si="195"/>
        <v>3.7215551970076539E-2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335</v>
      </c>
      <c r="G217" t="s">
        <v>273</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336</v>
      </c>
      <c r="G218" s="96" t="s">
        <v>273</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control'!$H$42:$H$65,MATCH($A$1,'Version control'!$F$42:$F$65,0),1)&amp;"-E: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579</v>
      </c>
      <c r="J222" s="106"/>
      <c r="K222" s="106"/>
      <c r="L222" s="106"/>
      <c r="M222" s="106"/>
      <c r="N222" s="106"/>
      <c r="O222" s="106"/>
      <c r="P222" s="106"/>
      <c r="Q222" s="106"/>
      <c r="R222" s="106"/>
      <c r="S222" s="106"/>
      <c r="T222" s="106"/>
      <c r="U222" s="106"/>
      <c r="V222" s="106"/>
      <c r="W222" s="106"/>
      <c r="X222" s="106"/>
      <c r="Y222" s="106"/>
    </row>
    <row r="223" spans="3:27" x14ac:dyDescent="0.25">
      <c r="D223"/>
      <c r="F223" s="95" t="s">
        <v>190</v>
      </c>
      <c r="G223" s="95" t="s">
        <v>273</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192</v>
      </c>
      <c r="G224" t="s">
        <v>273</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193</v>
      </c>
      <c r="G225" t="s">
        <v>273</v>
      </c>
      <c r="H225" s="268"/>
      <c r="I225" s="268"/>
      <c r="J225" s="282">
        <f t="shared" ref="J225:K225" si="198">J$78 * J195</f>
        <v>0</v>
      </c>
      <c r="K225" s="282">
        <f t="shared" si="198"/>
        <v>0</v>
      </c>
      <c r="L225" s="282">
        <f t="shared" ref="L225:M225" si="199">L$78 * L195</f>
        <v>0</v>
      </c>
      <c r="M225" s="282">
        <f t="shared" si="199"/>
        <v>0</v>
      </c>
      <c r="N225" s="282">
        <f t="shared" ref="N225:P225" si="200">N$78 * N195</f>
        <v>4.0940763465616946E-2</v>
      </c>
      <c r="O225" s="282">
        <f t="shared" si="200"/>
        <v>3.6455926700594575E-2</v>
      </c>
      <c r="P225" s="282">
        <f t="shared" si="200"/>
        <v>3.2228507854467188E-2</v>
      </c>
      <c r="Q225" s="282">
        <f t="shared" ref="Q225:S225" si="201">Q$78 * Q195</f>
        <v>0</v>
      </c>
      <c r="R225" s="282">
        <f t="shared" si="201"/>
        <v>0</v>
      </c>
      <c r="S225" s="282">
        <f t="shared" si="201"/>
        <v>0</v>
      </c>
      <c r="T225" s="282">
        <f t="shared" ref="T225:U225" si="202">T$78 * T195</f>
        <v>2.8452398962856364E-2</v>
      </c>
      <c r="U225" s="282">
        <f t="shared" si="202"/>
        <v>0</v>
      </c>
      <c r="V225" s="282">
        <f t="shared" ref="V225:W225" si="203">V$78 * V195</f>
        <v>2.8077320257131319E-2</v>
      </c>
      <c r="W225" s="282">
        <f t="shared" si="203"/>
        <v>0</v>
      </c>
      <c r="X225" s="282">
        <f t="shared" ref="X225:Y225" si="204">X$78 * X195</f>
        <v>2.7702241551406284E-2</v>
      </c>
      <c r="Y225" s="282">
        <f t="shared" si="204"/>
        <v>0</v>
      </c>
      <c r="Z225" s="268"/>
      <c r="AA225" s="268"/>
    </row>
    <row r="226" spans="4:27" x14ac:dyDescent="0.25">
      <c r="D226"/>
      <c r="F226" t="s">
        <v>194</v>
      </c>
      <c r="G226" t="s">
        <v>273</v>
      </c>
      <c r="H226" s="268"/>
      <c r="I226" s="268"/>
      <c r="J226" s="282">
        <f t="shared" ref="J226:K226" si="205">J$78 * J196</f>
        <v>0</v>
      </c>
      <c r="K226" s="282">
        <f t="shared" si="205"/>
        <v>0</v>
      </c>
      <c r="L226" s="282">
        <f t="shared" ref="L226:M226" si="206">L$78 * L196</f>
        <v>0</v>
      </c>
      <c r="M226" s="282">
        <f t="shared" si="206"/>
        <v>0</v>
      </c>
      <c r="N226" s="282">
        <f t="shared" ref="N226:P226" si="207">N$78 * N196</f>
        <v>5.8644154764747715E-3</v>
      </c>
      <c r="O226" s="282">
        <f t="shared" si="207"/>
        <v>5.2220008288742592E-3</v>
      </c>
      <c r="P226" s="282">
        <f t="shared" si="207"/>
        <v>4.6164591044852909E-3</v>
      </c>
      <c r="Q226" s="282">
        <f t="shared" ref="Q226:S226" si="208">Q$78 * Q196</f>
        <v>0</v>
      </c>
      <c r="R226" s="282">
        <f t="shared" si="208"/>
        <v>0</v>
      </c>
      <c r="S226" s="282">
        <f t="shared" si="208"/>
        <v>0</v>
      </c>
      <c r="T226" s="282">
        <f t="shared" ref="T226:U226" si="209">T$78 * T196</f>
        <v>4.0755636850968811E-3</v>
      </c>
      <c r="U226" s="282">
        <f t="shared" si="209"/>
        <v>0</v>
      </c>
      <c r="V226" s="282">
        <f t="shared" ref="V226:W226" si="210">V$78 * V196</f>
        <v>4.021836856856433E-3</v>
      </c>
      <c r="W226" s="282">
        <f t="shared" si="210"/>
        <v>0</v>
      </c>
      <c r="X226" s="282">
        <f t="shared" ref="X226:Y226" si="211">X$78 * X196</f>
        <v>3.9681100286159832E-3</v>
      </c>
      <c r="Y226" s="282">
        <f t="shared" si="211"/>
        <v>0</v>
      </c>
      <c r="Z226" s="268"/>
      <c r="AA226" s="268"/>
    </row>
    <row r="227" spans="4:27" x14ac:dyDescent="0.25">
      <c r="D227"/>
      <c r="F227" t="s">
        <v>195</v>
      </c>
      <c r="G227" t="s">
        <v>273</v>
      </c>
      <c r="H227" s="268"/>
      <c r="I227" s="268"/>
      <c r="J227" s="282">
        <f t="shared" ref="J227:K227" si="212">J$78 * J197</f>
        <v>0</v>
      </c>
      <c r="K227" s="282">
        <f t="shared" si="212"/>
        <v>0</v>
      </c>
      <c r="L227" s="282">
        <f t="shared" ref="L227:M227" si="213">L$78 * L197</f>
        <v>0</v>
      </c>
      <c r="M227" s="282">
        <f t="shared" si="213"/>
        <v>0</v>
      </c>
      <c r="N227" s="282">
        <f t="shared" ref="N227:P227" si="214">N$78 * N197</f>
        <v>1.8752294064558687E-2</v>
      </c>
      <c r="O227" s="282">
        <f t="shared" si="214"/>
        <v>1.6698082791242463E-2</v>
      </c>
      <c r="P227" s="282">
        <f t="shared" si="214"/>
        <v>1.1809422304622398E-2</v>
      </c>
      <c r="Q227" s="282">
        <f t="shared" ref="Q227:S227" si="215">Q$78 * Q197</f>
        <v>0</v>
      </c>
      <c r="R227" s="282">
        <f t="shared" si="215"/>
        <v>0</v>
      </c>
      <c r="S227" s="282">
        <f t="shared" si="215"/>
        <v>0</v>
      </c>
      <c r="T227" s="282">
        <f t="shared" ref="T227:U227" si="216">T$78 * T197</f>
        <v>1.3032188631306636E-2</v>
      </c>
      <c r="U227" s="282">
        <f t="shared" si="216"/>
        <v>0</v>
      </c>
      <c r="V227" s="282">
        <f t="shared" ref="V227:W227" si="217">V$78 * V197</f>
        <v>1.2860389534472084E-2</v>
      </c>
      <c r="W227" s="282">
        <f t="shared" si="217"/>
        <v>0</v>
      </c>
      <c r="X227" s="282">
        <f t="shared" ref="X227:Y227" si="218">X$78 * X197</f>
        <v>1.2688590437637532E-2</v>
      </c>
      <c r="Y227" s="282">
        <f t="shared" si="218"/>
        <v>0</v>
      </c>
      <c r="Z227" s="268"/>
      <c r="AA227" s="268"/>
    </row>
    <row r="228" spans="4:27" x14ac:dyDescent="0.25">
      <c r="D228"/>
      <c r="F228" t="s">
        <v>196</v>
      </c>
      <c r="G228" t="s">
        <v>273</v>
      </c>
      <c r="H228" s="268"/>
      <c r="I228" s="268"/>
      <c r="J228" s="282">
        <f t="shared" ref="J228:K228" si="219">J$78 * J198</f>
        <v>0</v>
      </c>
      <c r="K228" s="282">
        <f t="shared" si="219"/>
        <v>0</v>
      </c>
      <c r="L228" s="282">
        <f t="shared" ref="L228:M228" si="220">L$78 * L198</f>
        <v>0</v>
      </c>
      <c r="M228" s="282">
        <f t="shared" si="220"/>
        <v>0</v>
      </c>
      <c r="N228" s="282">
        <f t="shared" ref="N228:P228" si="221">N$78 * N198</f>
        <v>1.4832298667591432E-2</v>
      </c>
      <c r="O228" s="282">
        <f t="shared" si="221"/>
        <v>1.320750145466032E-2</v>
      </c>
      <c r="P228" s="282">
        <f t="shared" si="221"/>
        <v>0</v>
      </c>
      <c r="Q228" s="282">
        <f t="shared" ref="Q228:S228" si="222">Q$78 * Q198</f>
        <v>0</v>
      </c>
      <c r="R228" s="282">
        <f t="shared" si="222"/>
        <v>0</v>
      </c>
      <c r="S228" s="282">
        <f t="shared" si="222"/>
        <v>0</v>
      </c>
      <c r="T228" s="282">
        <f t="shared" ref="T228:U228" si="223">T$78 * T198</f>
        <v>1.0307928907602622E-2</v>
      </c>
      <c r="U228" s="282">
        <f t="shared" si="223"/>
        <v>0</v>
      </c>
      <c r="V228" s="282">
        <f t="shared" ref="V228:W228" si="224">V$78 * V198</f>
        <v>1.0172042839140819E-2</v>
      </c>
      <c r="W228" s="282">
        <f t="shared" si="224"/>
        <v>0</v>
      </c>
      <c r="X228" s="282">
        <f t="shared" ref="X228:Y228" si="225">X$78 * X198</f>
        <v>1.0036156770679015E-2</v>
      </c>
      <c r="Y228" s="282">
        <f t="shared" si="225"/>
        <v>0</v>
      </c>
      <c r="Z228" s="268"/>
      <c r="AA228" s="268"/>
    </row>
    <row r="229" spans="4:27" x14ac:dyDescent="0.25">
      <c r="D229"/>
      <c r="F229" t="s">
        <v>197</v>
      </c>
      <c r="G229" t="s">
        <v>273</v>
      </c>
      <c r="H229" s="268"/>
      <c r="I229" s="268"/>
      <c r="J229" s="282">
        <f t="shared" ref="J229:K229" si="226">J$78 * J199</f>
        <v>0</v>
      </c>
      <c r="K229" s="282">
        <f t="shared" si="226"/>
        <v>0</v>
      </c>
      <c r="L229" s="282">
        <f t="shared" ref="L229:M229" si="227">L$78 * L199</f>
        <v>0</v>
      </c>
      <c r="M229" s="282">
        <f t="shared" si="227"/>
        <v>0</v>
      </c>
      <c r="N229" s="282">
        <f t="shared" ref="N229:P229" si="228">N$78 * N199</f>
        <v>0</v>
      </c>
      <c r="O229" s="282">
        <f t="shared" si="228"/>
        <v>0</v>
      </c>
      <c r="P229" s="282">
        <f t="shared" si="228"/>
        <v>0</v>
      </c>
      <c r="Q229" s="282">
        <f t="shared" ref="Q229:S229" si="229">Q$78 * Q199</f>
        <v>0</v>
      </c>
      <c r="R229" s="282">
        <f t="shared" si="229"/>
        <v>0</v>
      </c>
      <c r="S229" s="282">
        <f t="shared" si="229"/>
        <v>0</v>
      </c>
      <c r="T229" s="282">
        <f t="shared" ref="T229:U229" si="230">T$78 * T199</f>
        <v>0</v>
      </c>
      <c r="U229" s="282">
        <f t="shared" si="230"/>
        <v>0</v>
      </c>
      <c r="V229" s="282">
        <f t="shared" ref="V229:W229" si="231">V$78 * V199</f>
        <v>0</v>
      </c>
      <c r="W229" s="282">
        <f t="shared" si="231"/>
        <v>0</v>
      </c>
      <c r="X229" s="282">
        <f t="shared" ref="X229:Y229" si="232">X$78 * X199</f>
        <v>0</v>
      </c>
      <c r="Y229" s="282">
        <f t="shared" si="232"/>
        <v>0</v>
      </c>
      <c r="Z229" s="268"/>
      <c r="AA229" s="268"/>
    </row>
    <row r="230" spans="4:27" x14ac:dyDescent="0.25">
      <c r="D230"/>
      <c r="F230" t="s">
        <v>198</v>
      </c>
      <c r="G230" t="s">
        <v>273</v>
      </c>
      <c r="H230" s="268"/>
      <c r="I230" s="268"/>
      <c r="J230" s="282">
        <f t="shared" ref="J230:K230" si="233">J$78 * J200</f>
        <v>0</v>
      </c>
      <c r="K230" s="282">
        <f t="shared" si="233"/>
        <v>0</v>
      </c>
      <c r="L230" s="282">
        <f t="shared" ref="L230:M230" si="234">L$78 * L200</f>
        <v>0</v>
      </c>
      <c r="M230" s="282">
        <f t="shared" si="234"/>
        <v>0</v>
      </c>
      <c r="N230" s="282">
        <f t="shared" ref="N230:P230" si="235">N$78 * N200</f>
        <v>5.4642291764217046E-2</v>
      </c>
      <c r="O230" s="282">
        <f t="shared" si="235"/>
        <v>0</v>
      </c>
      <c r="P230" s="282">
        <f t="shared" si="235"/>
        <v>0</v>
      </c>
      <c r="Q230" s="282">
        <f t="shared" ref="Q230:S230" si="236">Q$78 * Q200</f>
        <v>0</v>
      </c>
      <c r="R230" s="282">
        <f t="shared" si="236"/>
        <v>0</v>
      </c>
      <c r="S230" s="282">
        <f t="shared" si="236"/>
        <v>0</v>
      </c>
      <c r="T230" s="282">
        <f t="shared" ref="T230:U230" si="237">T$78 * T200</f>
        <v>4.7468102506991065E-2</v>
      </c>
      <c r="U230" s="282">
        <f t="shared" si="237"/>
        <v>0</v>
      </c>
      <c r="V230" s="282">
        <f t="shared" ref="V230:W230" si="238">V$78 * V200</f>
        <v>4.6842345976767071E-2</v>
      </c>
      <c r="W230" s="282">
        <f t="shared" si="238"/>
        <v>0</v>
      </c>
      <c r="X230" s="282">
        <f t="shared" ref="X230:Y230" si="239">X$78 * X200</f>
        <v>4.6216589446543083E-2</v>
      </c>
      <c r="Y230" s="282">
        <f t="shared" si="239"/>
        <v>0</v>
      </c>
      <c r="Z230" s="268"/>
      <c r="AA230" s="268"/>
    </row>
    <row r="231" spans="4:27" x14ac:dyDescent="0.25">
      <c r="D231"/>
      <c r="F231" t="s">
        <v>199</v>
      </c>
      <c r="G231" t="s">
        <v>273</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1.9475451412712286E-2</v>
      </c>
      <c r="U231" s="282">
        <f t="shared" si="244"/>
        <v>0</v>
      </c>
      <c r="V231" s="282">
        <f t="shared" ref="V231:W231" si="245">V$78 * V201</f>
        <v>1.9218712881847906E-2</v>
      </c>
      <c r="W231" s="282">
        <f t="shared" si="245"/>
        <v>0</v>
      </c>
      <c r="X231" s="282">
        <f t="shared" ref="X231:Y231" si="246">X$78 * X201</f>
        <v>0</v>
      </c>
      <c r="Y231" s="282">
        <f t="shared" si="246"/>
        <v>0</v>
      </c>
      <c r="Z231" s="268"/>
      <c r="AA231" s="268"/>
    </row>
    <row r="232" spans="4:27" x14ac:dyDescent="0.25">
      <c r="D232"/>
      <c r="F232" t="s">
        <v>200</v>
      </c>
      <c r="G232" t="s">
        <v>273</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4.8061617473746772E-2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335</v>
      </c>
      <c r="G233" t="s">
        <v>273</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336</v>
      </c>
      <c r="G234" s="96" t="s">
        <v>273</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580</v>
      </c>
      <c r="J236" s="106"/>
      <c r="K236" s="106"/>
      <c r="L236" s="106"/>
      <c r="M236" s="106"/>
      <c r="N236" s="106"/>
      <c r="O236" s="106"/>
      <c r="P236" s="106"/>
      <c r="Q236" s="106"/>
      <c r="R236" s="106"/>
      <c r="S236" s="106"/>
      <c r="T236" s="106"/>
      <c r="U236" s="106"/>
      <c r="V236" s="106"/>
      <c r="W236" s="106"/>
      <c r="X236" s="106"/>
      <c r="Y236" s="106"/>
    </row>
    <row r="237" spans="4:27" x14ac:dyDescent="0.25">
      <c r="D237"/>
      <c r="F237" s="95" t="s">
        <v>190</v>
      </c>
      <c r="G237" s="95" t="s">
        <v>273</v>
      </c>
      <c r="H237" s="266"/>
      <c r="I237" s="266"/>
      <c r="J237" s="283">
        <f t="shared" ref="J237:K237" si="254">J$78 * J207</f>
        <v>0</v>
      </c>
      <c r="K237" s="283">
        <f t="shared" si="254"/>
        <v>0</v>
      </c>
      <c r="L237" s="283">
        <f t="shared" ref="L237:M237" si="255">L$78 * L207</f>
        <v>0</v>
      </c>
      <c r="M237" s="283">
        <f t="shared" si="255"/>
        <v>0</v>
      </c>
      <c r="N237" s="283">
        <f t="shared" ref="N237:P237" si="256">N$78 * N207</f>
        <v>1.3051666767532766E-2</v>
      </c>
      <c r="O237" s="283">
        <f t="shared" si="256"/>
        <v>1.1621928042386367E-2</v>
      </c>
      <c r="P237" s="283">
        <f t="shared" si="256"/>
        <v>1.027425258653465E-2</v>
      </c>
      <c r="Q237" s="283">
        <f t="shared" ref="Q237:S237" si="257">Q$78 * Q207</f>
        <v>0</v>
      </c>
      <c r="R237" s="283">
        <f t="shared" si="257"/>
        <v>0</v>
      </c>
      <c r="S237" s="283">
        <f t="shared" si="257"/>
        <v>0</v>
      </c>
      <c r="T237" s="283">
        <f t="shared" ref="T237:U237" si="258">T$78 * T207</f>
        <v>9.0704520034651029E-3</v>
      </c>
      <c r="U237" s="283">
        <f t="shared" si="258"/>
        <v>0</v>
      </c>
      <c r="V237" s="283">
        <f t="shared" ref="V237:W237" si="259">V$78 * V207</f>
        <v>8.9508791898601035E-3</v>
      </c>
      <c r="W237" s="283">
        <f t="shared" si="259"/>
        <v>0</v>
      </c>
      <c r="X237" s="283">
        <f t="shared" ref="X237:Y237" si="260">X$78 * X207</f>
        <v>8.8313063762551006E-3</v>
      </c>
      <c r="Y237" s="283">
        <f t="shared" si="260"/>
        <v>0</v>
      </c>
      <c r="Z237" s="268"/>
      <c r="AA237" s="268"/>
    </row>
    <row r="238" spans="4:27" x14ac:dyDescent="0.25">
      <c r="D238"/>
      <c r="F238" t="s">
        <v>192</v>
      </c>
      <c r="G238" t="s">
        <v>273</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193</v>
      </c>
      <c r="G239" t="s">
        <v>273</v>
      </c>
      <c r="H239" s="268"/>
      <c r="I239" s="268"/>
      <c r="J239" s="282">
        <f t="shared" ref="J239:K239" si="268">J$78 * J209</f>
        <v>0</v>
      </c>
      <c r="K239" s="282">
        <f t="shared" si="268"/>
        <v>0</v>
      </c>
      <c r="L239" s="282">
        <f t="shared" ref="L239:M239" si="269">L$78 * L209</f>
        <v>0</v>
      </c>
      <c r="M239" s="282">
        <f t="shared" si="269"/>
        <v>0</v>
      </c>
      <c r="N239" s="282">
        <f t="shared" ref="N239:P239" si="270">N$78 * N209</f>
        <v>3.1701661128686505E-2</v>
      </c>
      <c r="O239" s="282">
        <f t="shared" si="270"/>
        <v>2.8228917503335765E-2</v>
      </c>
      <c r="P239" s="282">
        <f t="shared" si="270"/>
        <v>2.4955500293578466E-2</v>
      </c>
      <c r="Q239" s="282">
        <f t="shared" ref="Q239:S239" si="271">Q$78 * Q209</f>
        <v>0</v>
      </c>
      <c r="R239" s="282">
        <f t="shared" si="271"/>
        <v>0</v>
      </c>
      <c r="S239" s="282">
        <f t="shared" si="271"/>
        <v>0</v>
      </c>
      <c r="T239" s="282">
        <f t="shared" ref="T239:U239" si="272">T$78 * T209</f>
        <v>2.2031545918194114E-2</v>
      </c>
      <c r="U239" s="282">
        <f t="shared" si="272"/>
        <v>0</v>
      </c>
      <c r="V239" s="282">
        <f t="shared" ref="V239:W239" si="273">V$78 * V209</f>
        <v>2.174111122624052E-2</v>
      </c>
      <c r="W239" s="282">
        <f t="shared" si="273"/>
        <v>0</v>
      </c>
      <c r="X239" s="282">
        <f t="shared" ref="X239:Y239" si="274">X$78 * X209</f>
        <v>2.1450676534286926E-2</v>
      </c>
      <c r="Y239" s="282">
        <f t="shared" si="274"/>
        <v>0</v>
      </c>
      <c r="Z239" s="268"/>
      <c r="AA239" s="268"/>
    </row>
    <row r="240" spans="4:27" x14ac:dyDescent="0.25">
      <c r="D240"/>
      <c r="F240" t="s">
        <v>194</v>
      </c>
      <c r="G240" t="s">
        <v>273</v>
      </c>
      <c r="H240" s="268"/>
      <c r="I240" s="268"/>
      <c r="J240" s="282">
        <f t="shared" ref="J240:K240" si="275">J$78 * J210</f>
        <v>0</v>
      </c>
      <c r="K240" s="282">
        <f t="shared" si="275"/>
        <v>0</v>
      </c>
      <c r="L240" s="282">
        <f t="shared" ref="L240:M240" si="276">L$78 * L210</f>
        <v>0</v>
      </c>
      <c r="M240" s="282">
        <f t="shared" si="276"/>
        <v>0</v>
      </c>
      <c r="N240" s="282">
        <f t="shared" ref="N240:P240" si="277">N$78 * N210</f>
        <v>4.5409928007122038E-3</v>
      </c>
      <c r="O240" s="282">
        <f t="shared" si="277"/>
        <v>4.0435518704901897E-3</v>
      </c>
      <c r="P240" s="282">
        <f t="shared" si="277"/>
        <v>3.5746627506773312E-3</v>
      </c>
      <c r="Q240" s="282">
        <f t="shared" ref="Q240:S240" si="278">Q$78 * Q210</f>
        <v>0</v>
      </c>
      <c r="R240" s="282">
        <f t="shared" si="278"/>
        <v>0</v>
      </c>
      <c r="S240" s="282">
        <f t="shared" si="278"/>
        <v>0</v>
      </c>
      <c r="T240" s="282">
        <f t="shared" ref="T240:U240" si="279">T$78 * T210</f>
        <v>3.1558312038276778E-3</v>
      </c>
      <c r="U240" s="282">
        <f t="shared" si="279"/>
        <v>0</v>
      </c>
      <c r="V240" s="282">
        <f t="shared" ref="V240:W240" si="280">V$78 * V210</f>
        <v>3.1142289092386121E-3</v>
      </c>
      <c r="W240" s="282">
        <f t="shared" si="280"/>
        <v>0</v>
      </c>
      <c r="X240" s="282">
        <f t="shared" ref="X240:Y240" si="281">X$78 * X210</f>
        <v>3.0726266146495467E-3</v>
      </c>
      <c r="Y240" s="282">
        <f t="shared" si="281"/>
        <v>0</v>
      </c>
      <c r="Z240" s="268"/>
      <c r="AA240" s="268"/>
    </row>
    <row r="241" spans="2:27" x14ac:dyDescent="0.25">
      <c r="D241"/>
      <c r="F241" t="s">
        <v>195</v>
      </c>
      <c r="G241" t="s">
        <v>273</v>
      </c>
      <c r="H241" s="268"/>
      <c r="I241" s="268"/>
      <c r="J241" s="282">
        <f t="shared" ref="J241:K241" si="282">J$78 * J211</f>
        <v>0</v>
      </c>
      <c r="K241" s="282">
        <f t="shared" si="282"/>
        <v>0</v>
      </c>
      <c r="L241" s="282">
        <f t="shared" ref="L241:M241" si="283">L$78 * L211</f>
        <v>0</v>
      </c>
      <c r="M241" s="282">
        <f t="shared" si="283"/>
        <v>0</v>
      </c>
      <c r="N241" s="282">
        <f t="shared" ref="N241:P241" si="284">N$78 * N211</f>
        <v>1.4520463750495925E-2</v>
      </c>
      <c r="O241" s="282">
        <f t="shared" si="284"/>
        <v>1.2929826347554249E-2</v>
      </c>
      <c r="P241" s="282">
        <f t="shared" si="284"/>
        <v>9.1443899022817052E-3</v>
      </c>
      <c r="Q241" s="282">
        <f t="shared" ref="Q241:S241" si="285">Q$78 * Q211</f>
        <v>0</v>
      </c>
      <c r="R241" s="282">
        <f t="shared" si="285"/>
        <v>0</v>
      </c>
      <c r="S241" s="282">
        <f t="shared" si="285"/>
        <v>0</v>
      </c>
      <c r="T241" s="282">
        <f t="shared" ref="T241:U241" si="286">T$78 * T211</f>
        <v>1.0091214544686507E-2</v>
      </c>
      <c r="U241" s="282">
        <f t="shared" si="286"/>
        <v>0</v>
      </c>
      <c r="V241" s="282">
        <f t="shared" ref="V241:W241" si="287">V$78 * V211</f>
        <v>9.9581853510654073E-3</v>
      </c>
      <c r="W241" s="282">
        <f t="shared" si="287"/>
        <v>0</v>
      </c>
      <c r="X241" s="282">
        <f t="shared" ref="X241:Y241" si="288">X$78 * X211</f>
        <v>9.8251561574443039E-3</v>
      </c>
      <c r="Y241" s="282">
        <f t="shared" si="288"/>
        <v>0</v>
      </c>
      <c r="Z241" s="268"/>
      <c r="AA241" s="268"/>
    </row>
    <row r="242" spans="2:27" x14ac:dyDescent="0.25">
      <c r="D242"/>
      <c r="F242" t="s">
        <v>196</v>
      </c>
      <c r="G242" t="s">
        <v>273</v>
      </c>
      <c r="H242" s="268"/>
      <c r="I242" s="268"/>
      <c r="J242" s="282">
        <f t="shared" ref="J242:K242" si="289">J$78 * J212</f>
        <v>0</v>
      </c>
      <c r="K242" s="282">
        <f t="shared" si="289"/>
        <v>0</v>
      </c>
      <c r="L242" s="282">
        <f t="shared" ref="L242:M242" si="290">L$78 * L212</f>
        <v>0</v>
      </c>
      <c r="M242" s="282">
        <f t="shared" si="290"/>
        <v>0</v>
      </c>
      <c r="N242" s="282">
        <f t="shared" ref="N242:P242" si="291">N$78 * N212</f>
        <v>1.1485093738282251E-2</v>
      </c>
      <c r="O242" s="282">
        <f t="shared" si="291"/>
        <v>1.0226964522142093E-2</v>
      </c>
      <c r="P242" s="282">
        <f t="shared" si="291"/>
        <v>0</v>
      </c>
      <c r="Q242" s="282">
        <f t="shared" ref="Q242:S242" si="292">Q$78 * Q212</f>
        <v>0</v>
      </c>
      <c r="R242" s="282">
        <f t="shared" si="292"/>
        <v>0</v>
      </c>
      <c r="S242" s="282">
        <f t="shared" si="292"/>
        <v>0</v>
      </c>
      <c r="T242" s="282">
        <f t="shared" ref="T242:U242" si="293">T$78 * T212</f>
        <v>7.9817385291763455E-3</v>
      </c>
      <c r="U242" s="282">
        <f t="shared" si="293"/>
        <v>0</v>
      </c>
      <c r="V242" s="282">
        <f t="shared" ref="V242:W242" si="294">V$78 * V212</f>
        <v>7.8765178705996336E-3</v>
      </c>
      <c r="W242" s="282">
        <f t="shared" si="294"/>
        <v>0</v>
      </c>
      <c r="X242" s="282">
        <f t="shared" ref="X242:Y242" si="295">X$78 * X212</f>
        <v>7.7712972120229191E-3</v>
      </c>
      <c r="Y242" s="282">
        <f t="shared" si="295"/>
        <v>0</v>
      </c>
      <c r="Z242" s="268"/>
      <c r="AA242" s="268"/>
    </row>
    <row r="243" spans="2:27" x14ac:dyDescent="0.25">
      <c r="D243"/>
      <c r="F243" t="s">
        <v>197</v>
      </c>
      <c r="G243" t="s">
        <v>273</v>
      </c>
      <c r="H243" s="268"/>
      <c r="I243" s="268"/>
      <c r="J243" s="282">
        <f t="shared" ref="J243:K243" si="296">J$78 * J213</f>
        <v>0</v>
      </c>
      <c r="K243" s="282">
        <f t="shared" si="296"/>
        <v>0</v>
      </c>
      <c r="L243" s="282">
        <f t="shared" ref="L243:M243" si="297">L$78 * L213</f>
        <v>0</v>
      </c>
      <c r="M243" s="282">
        <f t="shared" si="297"/>
        <v>0</v>
      </c>
      <c r="N243" s="282">
        <f t="shared" ref="N243:P243" si="298">N$78 * N213</f>
        <v>0</v>
      </c>
      <c r="O243" s="282">
        <f t="shared" si="298"/>
        <v>0</v>
      </c>
      <c r="P243" s="282">
        <f t="shared" si="298"/>
        <v>0</v>
      </c>
      <c r="Q243" s="282">
        <f t="shared" ref="Q243:S243" si="299">Q$78 * Q213</f>
        <v>0</v>
      </c>
      <c r="R243" s="282">
        <f t="shared" si="299"/>
        <v>0</v>
      </c>
      <c r="S243" s="282">
        <f t="shared" si="299"/>
        <v>0</v>
      </c>
      <c r="T243" s="282">
        <f t="shared" ref="T243:U243" si="300">T$78 * T213</f>
        <v>0</v>
      </c>
      <c r="U243" s="282">
        <f t="shared" si="300"/>
        <v>0</v>
      </c>
      <c r="V243" s="282">
        <f t="shared" ref="V243:W243" si="301">V$78 * V213</f>
        <v>0</v>
      </c>
      <c r="W243" s="282">
        <f t="shared" si="301"/>
        <v>0</v>
      </c>
      <c r="X243" s="282">
        <f t="shared" ref="X243:Y243" si="302">X$78 * X213</f>
        <v>0</v>
      </c>
      <c r="Y243" s="282">
        <f t="shared" si="302"/>
        <v>0</v>
      </c>
      <c r="Z243" s="268"/>
      <c r="AA243" s="268"/>
    </row>
    <row r="244" spans="2:27" x14ac:dyDescent="0.25">
      <c r="D244"/>
      <c r="F244" t="s">
        <v>198</v>
      </c>
      <c r="G244" t="s">
        <v>273</v>
      </c>
      <c r="H244" s="268"/>
      <c r="I244" s="268"/>
      <c r="J244" s="282">
        <f t="shared" ref="J244:K244" si="303">J$78 * J214</f>
        <v>0</v>
      </c>
      <c r="K244" s="282">
        <f t="shared" si="303"/>
        <v>0</v>
      </c>
      <c r="L244" s="282">
        <f t="shared" ref="L244:M244" si="304">L$78 * L214</f>
        <v>0</v>
      </c>
      <c r="M244" s="282">
        <f t="shared" si="304"/>
        <v>0</v>
      </c>
      <c r="N244" s="282">
        <f t="shared" ref="N244:P244" si="305">N$78 * N214</f>
        <v>4.231116545393232E-2</v>
      </c>
      <c r="O244" s="282">
        <f t="shared" si="305"/>
        <v>0</v>
      </c>
      <c r="P244" s="282">
        <f t="shared" si="305"/>
        <v>0</v>
      </c>
      <c r="Q244" s="282">
        <f t="shared" ref="Q244:S244" si="306">Q$78 * Q214</f>
        <v>0</v>
      </c>
      <c r="R244" s="282">
        <f t="shared" si="306"/>
        <v>0</v>
      </c>
      <c r="S244" s="282">
        <f t="shared" si="306"/>
        <v>0</v>
      </c>
      <c r="T244" s="282">
        <f t="shared" ref="T244:U244" si="307">T$78 * T214</f>
        <v>3.675597552942967E-2</v>
      </c>
      <c r="U244" s="282">
        <f t="shared" si="307"/>
        <v>0</v>
      </c>
      <c r="V244" s="282">
        <f t="shared" ref="V244:W244" si="308">V$78 * V214</f>
        <v>3.6271433479135876E-2</v>
      </c>
      <c r="W244" s="282">
        <f t="shared" si="308"/>
        <v>0</v>
      </c>
      <c r="X244" s="282">
        <f t="shared" ref="X244:Y244" si="309">X$78 * X214</f>
        <v>3.5786891428842067E-2</v>
      </c>
      <c r="Y244" s="282">
        <f t="shared" si="309"/>
        <v>0</v>
      </c>
      <c r="Z244" s="268"/>
      <c r="AA244" s="268"/>
    </row>
    <row r="245" spans="2:27" x14ac:dyDescent="0.25">
      <c r="D245"/>
      <c r="F245" t="s">
        <v>199</v>
      </c>
      <c r="G245" t="s">
        <v>273</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1.5080426175552759E-2</v>
      </c>
      <c r="U245" s="282">
        <f t="shared" si="314"/>
        <v>0</v>
      </c>
      <c r="V245" s="282">
        <f t="shared" ref="V245:W245" si="315">V$78 * V215</f>
        <v>1.4881625830488972E-2</v>
      </c>
      <c r="W245" s="282">
        <f t="shared" si="315"/>
        <v>0</v>
      </c>
      <c r="X245" s="282">
        <f t="shared" ref="X245:Y245" si="316">X$78 * X215</f>
        <v>0</v>
      </c>
      <c r="Y245" s="282">
        <f t="shared" si="316"/>
        <v>0</v>
      </c>
      <c r="Z245" s="268"/>
      <c r="AA245" s="268"/>
    </row>
    <row r="246" spans="2:27" x14ac:dyDescent="0.25">
      <c r="D246"/>
      <c r="F246" t="s">
        <v>200</v>
      </c>
      <c r="G246" t="s">
        <v>273</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3.7215551970076539E-2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335</v>
      </c>
      <c r="G247" t="s">
        <v>273</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336</v>
      </c>
      <c r="G248" s="96" t="s">
        <v>273</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642</v>
      </c>
      <c r="G250" t="s">
        <v>273</v>
      </c>
      <c r="H250" s="268"/>
      <c r="I250" s="268" t="s">
        <v>155</v>
      </c>
      <c r="J250" s="297">
        <f t="shared" ref="J250:K250" si="324">SUM(J223:J234,J237:J248)</f>
        <v>0</v>
      </c>
      <c r="K250" s="297">
        <f t="shared" si="324"/>
        <v>0</v>
      </c>
      <c r="L250" s="297">
        <f t="shared" ref="L250:M250" si="325">SUM(L223:L234,L237:L248)</f>
        <v>0</v>
      </c>
      <c r="M250" s="297">
        <f t="shared" si="325"/>
        <v>0</v>
      </c>
      <c r="N250" s="297">
        <f t="shared" ref="N250:P250" si="326">SUM(N223:N234,N237:N248)</f>
        <v>0.25264310707810089</v>
      </c>
      <c r="O250" s="297">
        <f t="shared" si="326"/>
        <v>0.13863470006128026</v>
      </c>
      <c r="P250" s="297">
        <f t="shared" si="326"/>
        <v>9.6603194796647043E-2</v>
      </c>
      <c r="Q250" s="297">
        <f t="shared" ref="Q250:S250" si="327">SUM(Q223:Q234,Q237:Q248)</f>
        <v>0</v>
      </c>
      <c r="R250" s="297">
        <f t="shared" si="327"/>
        <v>0</v>
      </c>
      <c r="S250" s="297">
        <f t="shared" si="327"/>
        <v>0</v>
      </c>
      <c r="T250" s="297">
        <f t="shared" ref="T250:U250" si="328">SUM(T223:T234,T237:T248)</f>
        <v>0.31225598745472138</v>
      </c>
      <c r="U250" s="297">
        <f t="shared" si="328"/>
        <v>0</v>
      </c>
      <c r="V250" s="297">
        <f t="shared" ref="V250:W250" si="329">SUM(V223:V234,V237:V248)</f>
        <v>0.22398663020284471</v>
      </c>
      <c r="W250" s="297">
        <f t="shared" si="329"/>
        <v>0</v>
      </c>
      <c r="X250" s="297">
        <f t="shared" ref="X250:Y250" si="330">SUM(X223:X234,X237:X248)</f>
        <v>0.18734964255838274</v>
      </c>
      <c r="Y250" s="297">
        <f t="shared" si="330"/>
        <v>0</v>
      </c>
      <c r="Z250" s="268"/>
      <c r="AA250" s="268" t="s">
        <v>641</v>
      </c>
    </row>
    <row r="251" spans="2:27" x14ac:dyDescent="0.25">
      <c r="C251" s="105"/>
    </row>
    <row r="252" spans="2:27" x14ac:dyDescent="0.25">
      <c r="B252" s="85" t="s">
        <v>232</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233</v>
      </c>
      <c r="G254" s="6" t="s">
        <v>57</v>
      </c>
      <c r="H254" s="113">
        <f t="array" ref="H254">SUM(IF(ISERROR(H21:Y250), 1))</f>
        <v>0</v>
      </c>
    </row>
    <row r="256" spans="2:27" x14ac:dyDescent="0.25">
      <c r="B256" s="85" t="s">
        <v>108</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674</v>
      </c>
      <c r="E9"/>
    </row>
    <row r="10" spans="1:27" x14ac:dyDescent="0.25">
      <c r="D10" s="134" t="s">
        <v>675</v>
      </c>
      <c r="E10"/>
    </row>
    <row r="11" spans="1:27" x14ac:dyDescent="0.25">
      <c r="D11" s="86" t="s">
        <v>676</v>
      </c>
      <c r="E11"/>
    </row>
    <row r="12" spans="1:27" x14ac:dyDescent="0.25">
      <c r="D12" s="134" t="s">
        <v>677</v>
      </c>
      <c r="E12"/>
    </row>
    <row r="14" spans="1:27" x14ac:dyDescent="0.25">
      <c r="B14" s="85" t="s">
        <v>678</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control'!$H$42:$H$65,MATCH($A$1,'Version control'!$F$42:$F$65,0),1)&amp;"-A: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155</v>
      </c>
      <c r="AA17" t="s">
        <v>679</v>
      </c>
    </row>
    <row r="18" spans="3:27" x14ac:dyDescent="0.25">
      <c r="C18" s="105"/>
      <c r="E18" t="s">
        <v>507</v>
      </c>
      <c r="G18" t="s">
        <v>213</v>
      </c>
      <c r="J18" s="167">
        <f>'Volume adjustments'!J275</f>
        <v>1561399.8065674652</v>
      </c>
      <c r="K18" s="167">
        <f>'Volume adjustments'!K275</f>
        <v>0</v>
      </c>
      <c r="L18" s="167">
        <f>'Volume adjustments'!L275</f>
        <v>140325.94993452425</v>
      </c>
      <c r="M18" s="167">
        <f>'Volume adjustments'!M275</f>
        <v>0</v>
      </c>
      <c r="N18" s="167">
        <f>'Volume adjustments'!N275</f>
        <v>9052.8496383243109</v>
      </c>
      <c r="O18" s="167">
        <f>'Volume adjustments'!O275</f>
        <v>1724.623672792462</v>
      </c>
      <c r="P18" s="167">
        <f>'Volume adjustments'!P275</f>
        <v>1137.8174263567469</v>
      </c>
      <c r="Q18" s="167">
        <f>'Volume adjustments'!Q275</f>
        <v>1793.052617583103</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320.50176836858998</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429</v>
      </c>
      <c r="G20" t="s">
        <v>173</v>
      </c>
      <c r="H20" s="97"/>
      <c r="J20" s="167">
        <f>'System peak demand'!J200</f>
        <v>1476.0369685628284</v>
      </c>
      <c r="K20" s="167">
        <f>'System peak demand'!K200</f>
        <v>22.411797777387644</v>
      </c>
      <c r="L20" s="167">
        <f>'System peak demand'!L200</f>
        <v>465.10036624823925</v>
      </c>
      <c r="M20" s="167">
        <f>'System peak demand'!M200</f>
        <v>8.9715404258028091</v>
      </c>
      <c r="N20" s="167">
        <f>'System peak demand'!N200</f>
        <v>274.00133343264241</v>
      </c>
      <c r="O20" s="167">
        <f>'System peak demand'!O200</f>
        <v>119.1067604029769</v>
      </c>
      <c r="P20" s="167">
        <f>'System peak demand'!P200</f>
        <v>309.7185886643781</v>
      </c>
      <c r="Q20" s="167">
        <f>'System peak demand'!Q200</f>
        <v>22.569446367327203</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control'!$H$42:$H$65,MATCH($A$1,'Version control'!$F$42:$F$65,0),1)&amp;"-B: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155</v>
      </c>
      <c r="J23" s="106"/>
      <c r="K23" s="106"/>
      <c r="L23" s="106"/>
      <c r="M23" s="106"/>
      <c r="N23" s="106"/>
      <c r="O23" s="106"/>
      <c r="P23" s="106"/>
      <c r="Q23" s="106"/>
      <c r="R23" s="106"/>
      <c r="S23" s="106"/>
      <c r="T23" s="106"/>
      <c r="U23" s="106"/>
      <c r="V23" s="106"/>
      <c r="W23" s="106"/>
      <c r="X23" s="106"/>
      <c r="Y23" s="106"/>
      <c r="AA23" t="s">
        <v>679</v>
      </c>
    </row>
    <row r="24" spans="3:27" x14ac:dyDescent="0.25">
      <c r="C24" s="105"/>
      <c r="E24" s="75" t="s">
        <v>579</v>
      </c>
      <c r="J24" s="106"/>
      <c r="K24" s="106"/>
      <c r="L24" s="106"/>
      <c r="M24" s="106"/>
      <c r="N24" s="106"/>
      <c r="O24" s="106"/>
      <c r="P24" s="106"/>
      <c r="Q24" s="106"/>
      <c r="R24" s="106"/>
      <c r="S24" s="106"/>
      <c r="T24" s="106"/>
      <c r="U24" s="106"/>
      <c r="V24" s="106"/>
      <c r="W24" s="106"/>
      <c r="X24" s="106"/>
      <c r="Y24" s="106"/>
    </row>
    <row r="25" spans="3:27" x14ac:dyDescent="0.25">
      <c r="C25" s="105"/>
      <c r="E25" s="86"/>
      <c r="F25" s="95" t="s">
        <v>190</v>
      </c>
      <c r="G25" s="95" t="s">
        <v>272</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192</v>
      </c>
      <c r="G26" t="s">
        <v>272</v>
      </c>
      <c r="J26" s="119"/>
      <c r="K26" s="119"/>
      <c r="L26" s="119"/>
      <c r="M26" s="119"/>
      <c r="N26" s="119"/>
      <c r="O26" s="119"/>
      <c r="P26" s="119"/>
      <c r="Q26" s="119"/>
      <c r="R26" s="119"/>
      <c r="S26" s="119"/>
      <c r="T26" s="119"/>
      <c r="U26" s="119"/>
      <c r="V26" s="119"/>
      <c r="W26" s="119"/>
      <c r="X26" s="119"/>
      <c r="Y26" s="119"/>
    </row>
    <row r="27" spans="3:27" x14ac:dyDescent="0.25">
      <c r="C27" s="105"/>
      <c r="E27" s="86"/>
      <c r="F27" t="s">
        <v>193</v>
      </c>
      <c r="G27" t="s">
        <v>272</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194</v>
      </c>
      <c r="G28" t="s">
        <v>272</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195</v>
      </c>
      <c r="G29" t="s">
        <v>272</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196</v>
      </c>
      <c r="G30" t="s">
        <v>272</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197</v>
      </c>
      <c r="G31" t="s">
        <v>272</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198</v>
      </c>
      <c r="G32" t="s">
        <v>272</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199</v>
      </c>
      <c r="G33" t="s">
        <v>272</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200</v>
      </c>
      <c r="G34" t="s">
        <v>272</v>
      </c>
      <c r="J34" s="167">
        <f>'Capacity charges'!J271</f>
        <v>4.5452889404868495</v>
      </c>
      <c r="K34" s="167">
        <f>'Capacity charges'!K271</f>
        <v>0</v>
      </c>
      <c r="L34" s="167">
        <f>'Capacity charges'!L271</f>
        <v>4.5452889404868495</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335</v>
      </c>
      <c r="G35" t="s">
        <v>272</v>
      </c>
      <c r="J35" s="119"/>
      <c r="K35" s="119"/>
      <c r="L35" s="119"/>
      <c r="M35" s="119"/>
      <c r="N35" s="119"/>
      <c r="O35" s="119"/>
      <c r="P35" s="119"/>
      <c r="Q35" s="119"/>
      <c r="R35" s="119"/>
      <c r="S35" s="119"/>
      <c r="T35" s="119"/>
      <c r="U35" s="119"/>
      <c r="V35" s="119"/>
      <c r="W35" s="119"/>
      <c r="X35" s="119"/>
      <c r="Y35" s="119"/>
    </row>
    <row r="36" spans="3:25" x14ac:dyDescent="0.25">
      <c r="C36" s="105"/>
      <c r="E36" s="86"/>
      <c r="F36" s="96" t="s">
        <v>336</v>
      </c>
      <c r="G36" s="96" t="s">
        <v>272</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580</v>
      </c>
      <c r="J38" s="106"/>
      <c r="K38" s="106"/>
      <c r="L38" s="106"/>
      <c r="M38" s="106"/>
      <c r="N38" s="106"/>
      <c r="O38" s="106"/>
      <c r="P38" s="106"/>
      <c r="Q38" s="106"/>
      <c r="R38" s="106"/>
      <c r="S38" s="106"/>
      <c r="T38" s="106"/>
      <c r="U38" s="106"/>
      <c r="V38" s="106"/>
      <c r="W38" s="106"/>
      <c r="X38" s="106"/>
      <c r="Y38" s="106"/>
    </row>
    <row r="39" spans="3:25" x14ac:dyDescent="0.25">
      <c r="C39" s="105"/>
      <c r="F39" s="95" t="s">
        <v>190</v>
      </c>
      <c r="G39" s="95" t="s">
        <v>272</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192</v>
      </c>
      <c r="G40" t="s">
        <v>272</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193</v>
      </c>
      <c r="G41" t="s">
        <v>272</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194</v>
      </c>
      <c r="G42" t="s">
        <v>272</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195</v>
      </c>
      <c r="G43" t="s">
        <v>272</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196</v>
      </c>
      <c r="G44" t="s">
        <v>272</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197</v>
      </c>
      <c r="G45" t="s">
        <v>272</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198</v>
      </c>
      <c r="G46" t="s">
        <v>272</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199</v>
      </c>
      <c r="G47" t="s">
        <v>272</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200</v>
      </c>
      <c r="G48" t="s">
        <v>272</v>
      </c>
      <c r="J48" s="167">
        <f>'Capacity charges'!J285</f>
        <v>3.5195535580154393</v>
      </c>
      <c r="K48" s="167">
        <f>'Capacity charges'!K285</f>
        <v>0</v>
      </c>
      <c r="L48" s="167">
        <f>'Capacity charges'!L285</f>
        <v>3.5195535580154393</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335</v>
      </c>
      <c r="G49" t="s">
        <v>272</v>
      </c>
      <c r="J49" s="119"/>
      <c r="K49" s="119"/>
      <c r="L49" s="119"/>
      <c r="M49" s="119"/>
      <c r="N49" s="119"/>
      <c r="O49" s="119"/>
      <c r="P49" s="119"/>
      <c r="Q49" s="119"/>
      <c r="R49" s="119"/>
      <c r="S49" s="119"/>
      <c r="T49" s="119"/>
      <c r="U49" s="119"/>
      <c r="V49" s="119"/>
      <c r="W49" s="119"/>
      <c r="X49" s="119"/>
      <c r="Y49" s="119"/>
    </row>
    <row r="50" spans="3:27" x14ac:dyDescent="0.25">
      <c r="C50" s="105"/>
      <c r="F50" s="96" t="s">
        <v>336</v>
      </c>
      <c r="G50" s="96" t="s">
        <v>272</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control'!$H$42:$H$65,MATCH($A$1,'Version control'!$F$42:$F$65,0),1)&amp;"-C: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580</v>
      </c>
      <c r="I54" t="s">
        <v>155</v>
      </c>
      <c r="J54" s="106"/>
      <c r="K54" s="106"/>
      <c r="L54" s="106"/>
      <c r="M54" s="106"/>
      <c r="N54" s="106"/>
      <c r="O54" s="106"/>
      <c r="P54" s="106"/>
      <c r="Q54" s="106"/>
      <c r="R54" s="106"/>
      <c r="S54" s="106"/>
      <c r="T54" s="106"/>
      <c r="U54" s="106"/>
      <c r="V54" s="106"/>
      <c r="W54" s="106"/>
      <c r="X54" s="106"/>
      <c r="Y54" s="106"/>
      <c r="AA54" t="s">
        <v>680</v>
      </c>
    </row>
    <row r="55" spans="3:27" x14ac:dyDescent="0.25">
      <c r="C55" s="105"/>
      <c r="D55"/>
      <c r="F55" s="95" t="s">
        <v>335</v>
      </c>
      <c r="G55" s="95" t="s">
        <v>271</v>
      </c>
      <c r="H55" s="95"/>
      <c r="I55" s="95"/>
      <c r="J55" s="171">
        <f>'Service model charges'!J42</f>
        <v>3.2625418476922388</v>
      </c>
      <c r="K55" s="171">
        <f>'Service model charges'!K42</f>
        <v>0</v>
      </c>
      <c r="L55" s="171">
        <f>'Service model charges'!L42</f>
        <v>9.5662173143411007</v>
      </c>
      <c r="M55" s="171">
        <f>'Service model charges'!M42</f>
        <v>0</v>
      </c>
      <c r="N55" s="171">
        <f>'Service model charges'!N42</f>
        <v>19.085920524154083</v>
      </c>
      <c r="O55" s="171">
        <f>'Service model charges'!O42</f>
        <v>14.898612013947742</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336</v>
      </c>
      <c r="G56" s="96" t="s">
        <v>271</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137.54153750078822</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86.079364905669735</v>
      </c>
      <c r="Y56" s="172">
        <f>'Service model charges'!Y43</f>
        <v>86.079364905669735</v>
      </c>
    </row>
    <row r="57" spans="3:27" x14ac:dyDescent="0.25">
      <c r="C57" s="105"/>
      <c r="D57"/>
      <c r="F57" s="2"/>
    </row>
    <row r="58" spans="3:27" x14ac:dyDescent="0.25">
      <c r="C58" s="93" t="str">
        <f ca="1">INDEX('Version control'!$H$42:$H$65,MATCH($A$1,'Version control'!$F$42:$F$65,0),1)&amp;"-D: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681</v>
      </c>
      <c r="E60"/>
    </row>
    <row r="61" spans="3:27" x14ac:dyDescent="0.25">
      <c r="D61" s="86" t="s">
        <v>682</v>
      </c>
      <c r="E61"/>
    </row>
    <row r="62" spans="3:27" x14ac:dyDescent="0.25">
      <c r="D62" s="86"/>
      <c r="E62"/>
    </row>
    <row r="63" spans="3:27" x14ac:dyDescent="0.25">
      <c r="E63" t="s">
        <v>683</v>
      </c>
      <c r="G63" t="s">
        <v>150</v>
      </c>
      <c r="I63" t="s">
        <v>155</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684</v>
      </c>
    </row>
    <row r="65" spans="2:27" x14ac:dyDescent="0.25">
      <c r="B65" s="85" t="s">
        <v>685</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control'!$H$42:$H$65,MATCH($A$1,'Version control'!$F$42:$F$65,0),1)&amp;"-E: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155</v>
      </c>
      <c r="J68" s="106"/>
      <c r="K68" s="106"/>
      <c r="L68" s="106"/>
      <c r="M68" s="106"/>
      <c r="N68" s="106"/>
      <c r="O68" s="106"/>
      <c r="P68" s="106"/>
      <c r="Q68" s="106"/>
      <c r="R68" s="106"/>
      <c r="S68" s="106"/>
      <c r="T68" s="106"/>
      <c r="U68" s="106"/>
      <c r="V68" s="106"/>
      <c r="W68" s="106"/>
      <c r="X68" s="106"/>
      <c r="Y68" s="106"/>
      <c r="AA68" t="s">
        <v>684</v>
      </c>
    </row>
    <row r="69" spans="2:27" x14ac:dyDescent="0.25">
      <c r="C69" s="105"/>
      <c r="D69"/>
      <c r="E69" s="75" t="s">
        <v>579</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190</v>
      </c>
      <c r="G70" s="95" t="s">
        <v>686</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192</v>
      </c>
      <c r="G71" t="s">
        <v>686</v>
      </c>
      <c r="J71" s="119"/>
      <c r="K71" s="119"/>
      <c r="L71" s="119"/>
      <c r="M71" s="119"/>
      <c r="N71" s="119"/>
      <c r="O71" s="119"/>
      <c r="P71" s="119"/>
      <c r="Q71" s="119"/>
      <c r="R71" s="119"/>
      <c r="S71" s="119"/>
      <c r="T71" s="119"/>
      <c r="U71" s="119"/>
      <c r="V71" s="119"/>
      <c r="W71" s="119"/>
      <c r="X71" s="119"/>
      <c r="Y71" s="119"/>
    </row>
    <row r="72" spans="2:27" x14ac:dyDescent="0.25">
      <c r="C72" s="105"/>
      <c r="D72"/>
      <c r="E72" s="86"/>
      <c r="F72" t="s">
        <v>193</v>
      </c>
      <c r="G72" t="s">
        <v>686</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194</v>
      </c>
      <c r="G73" t="s">
        <v>686</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195</v>
      </c>
      <c r="G74" t="s">
        <v>686</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196</v>
      </c>
      <c r="G75" t="s">
        <v>686</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197</v>
      </c>
      <c r="G76" t="s">
        <v>686</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198</v>
      </c>
      <c r="G77" t="s">
        <v>686</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199</v>
      </c>
      <c r="G78" t="s">
        <v>686</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200</v>
      </c>
      <c r="G79" t="s">
        <v>686</v>
      </c>
      <c r="J79" s="168">
        <f t="shared" ref="J79:K79" si="49">J$20 * J34 * thousand / PowerFactor</f>
        <v>7062120.5357456412</v>
      </c>
      <c r="K79" s="168">
        <f t="shared" si="49"/>
        <v>0</v>
      </c>
      <c r="L79" s="168">
        <f t="shared" ref="L79:M79" si="50">L$20 * L34 * thousand / PowerFactor</f>
        <v>2225279.5272889528</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335</v>
      </c>
      <c r="G80" t="s">
        <v>686</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336</v>
      </c>
      <c r="G81" s="96" t="s">
        <v>686</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580</v>
      </c>
      <c r="J83" s="106"/>
      <c r="K83" s="106"/>
      <c r="L83" s="106"/>
      <c r="M83" s="106"/>
      <c r="N83" s="106"/>
      <c r="O83" s="106"/>
      <c r="P83" s="106"/>
      <c r="Q83" s="106"/>
      <c r="R83" s="106"/>
      <c r="S83" s="106"/>
      <c r="T83" s="106"/>
      <c r="U83" s="106"/>
      <c r="V83" s="106"/>
      <c r="W83" s="106"/>
      <c r="X83" s="106"/>
      <c r="Y83" s="106"/>
    </row>
    <row r="84" spans="3:25" x14ac:dyDescent="0.25">
      <c r="C84" s="105"/>
      <c r="D84"/>
      <c r="F84" s="95" t="s">
        <v>190</v>
      </c>
      <c r="G84" s="95" t="s">
        <v>686</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192</v>
      </c>
      <c r="G85" t="s">
        <v>686</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193</v>
      </c>
      <c r="G86" t="s">
        <v>686</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194</v>
      </c>
      <c r="G87" t="s">
        <v>686</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195</v>
      </c>
      <c r="G88" t="s">
        <v>686</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196</v>
      </c>
      <c r="G89" t="s">
        <v>686</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197</v>
      </c>
      <c r="G90" t="s">
        <v>686</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198</v>
      </c>
      <c r="G91" t="s">
        <v>686</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199</v>
      </c>
      <c r="G92" t="s">
        <v>686</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200</v>
      </c>
      <c r="G93" t="s">
        <v>686</v>
      </c>
      <c r="J93" s="168">
        <f t="shared" ref="J93:K93" si="119">J$20 * J48 * thousand / PowerFactor</f>
        <v>5468411.752071186</v>
      </c>
      <c r="K93" s="168">
        <f t="shared" si="119"/>
        <v>0</v>
      </c>
      <c r="L93" s="168">
        <f t="shared" ref="L93:M93" si="120">L$20 * L48 * thousand / PowerFactor</f>
        <v>1723100.6830139733</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335</v>
      </c>
      <c r="G94" t="s">
        <v>686</v>
      </c>
      <c r="J94" s="119"/>
      <c r="K94" s="119"/>
      <c r="L94" s="119"/>
      <c r="M94" s="119"/>
      <c r="N94" s="119"/>
      <c r="O94" s="119"/>
      <c r="P94" s="119"/>
      <c r="Q94" s="119"/>
      <c r="R94" s="119"/>
      <c r="S94" s="119"/>
      <c r="T94" s="119"/>
      <c r="U94" s="119"/>
      <c r="V94" s="119"/>
      <c r="W94" s="119"/>
      <c r="X94" s="119"/>
      <c r="Y94" s="119"/>
    </row>
    <row r="95" spans="3:25" x14ac:dyDescent="0.25">
      <c r="C95" s="105"/>
      <c r="D95"/>
      <c r="F95" s="96" t="s">
        <v>336</v>
      </c>
      <c r="G95" s="96" t="s">
        <v>686</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control'!$H$42:$H$65,MATCH($A$1,'Version control'!$F$42:$F$65,0),1)&amp;"-F: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155</v>
      </c>
      <c r="J98" s="106"/>
      <c r="K98" s="106"/>
      <c r="L98" s="106"/>
      <c r="M98" s="106"/>
      <c r="N98" s="106"/>
      <c r="O98" s="106"/>
      <c r="P98" s="106"/>
      <c r="Q98" s="106"/>
      <c r="R98" s="106"/>
      <c r="S98" s="106"/>
      <c r="T98" s="106"/>
      <c r="U98" s="106"/>
      <c r="V98" s="106"/>
      <c r="W98" s="106"/>
      <c r="X98" s="106"/>
      <c r="Y98" s="106"/>
      <c r="AA98" t="s">
        <v>684</v>
      </c>
    </row>
    <row r="99" spans="3:27" x14ac:dyDescent="0.25">
      <c r="C99" s="105"/>
      <c r="D99"/>
      <c r="E99" s="75" t="s">
        <v>579</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190</v>
      </c>
      <c r="G100" s="95" t="s">
        <v>686</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192</v>
      </c>
      <c r="G101" t="s">
        <v>686</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193</v>
      </c>
      <c r="G102" t="s">
        <v>686</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194</v>
      </c>
      <c r="G103" t="s">
        <v>686</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195</v>
      </c>
      <c r="G104" t="s">
        <v>686</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196</v>
      </c>
      <c r="G105" t="s">
        <v>686</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197</v>
      </c>
      <c r="G106" t="s">
        <v>686</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198</v>
      </c>
      <c r="G107" t="s">
        <v>686</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199</v>
      </c>
      <c r="G108" t="s">
        <v>686</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200</v>
      </c>
      <c r="G109" t="s">
        <v>686</v>
      </c>
      <c r="J109" s="168">
        <f t="shared" ref="J109:Y109" si="133">SUMIFS($J79:$Y79,$J$63:$Y$63,J$63)</f>
        <v>9287400.0630345941</v>
      </c>
      <c r="K109" s="168">
        <f t="shared" si="133"/>
        <v>0</v>
      </c>
      <c r="L109" s="168">
        <f t="shared" si="133"/>
        <v>9287400.0630345941</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335</v>
      </c>
      <c r="G110" t="s">
        <v>686</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336</v>
      </c>
      <c r="G111" s="96" t="s">
        <v>686</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580</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190</v>
      </c>
      <c r="G114" s="95" t="s">
        <v>686</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192</v>
      </c>
      <c r="G115" t="s">
        <v>686</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193</v>
      </c>
      <c r="G116" t="s">
        <v>686</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194</v>
      </c>
      <c r="G117" t="s">
        <v>686</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195</v>
      </c>
      <c r="G118" t="s">
        <v>686</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196</v>
      </c>
      <c r="G119" t="s">
        <v>686</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197</v>
      </c>
      <c r="G120" t="s">
        <v>686</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198</v>
      </c>
      <c r="G121" t="s">
        <v>686</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199</v>
      </c>
      <c r="G122" t="s">
        <v>686</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200</v>
      </c>
      <c r="G123" t="s">
        <v>686</v>
      </c>
      <c r="J123" s="168">
        <f t="shared" ref="J123:Y123" si="143">SUMIFS($J93:$Y93,$J$63:$Y$63,J$63)</f>
        <v>7191512.4350851588</v>
      </c>
      <c r="K123" s="168">
        <f t="shared" si="143"/>
        <v>0</v>
      </c>
      <c r="L123" s="168">
        <f t="shared" si="143"/>
        <v>7191512.4350851588</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335</v>
      </c>
      <c r="G124" t="s">
        <v>686</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336</v>
      </c>
      <c r="G125" s="96" t="s">
        <v>686</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control'!$H$42:$H$65,MATCH($A$1,'Version control'!$F$42:$F$65,0),1)&amp;"-G: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687</v>
      </c>
      <c r="G129" t="s">
        <v>213</v>
      </c>
      <c r="J129" s="106">
        <f t="shared" ref="J129:Y129" si="144">SUMIFS($J$18:$Y$18,$J$63:$Y$63,J63)</f>
        <v>1701725.7565019894</v>
      </c>
      <c r="K129" s="106">
        <f t="shared" si="144"/>
        <v>14028.845123425213</v>
      </c>
      <c r="L129" s="106">
        <f t="shared" si="144"/>
        <v>1701725.7565019894</v>
      </c>
      <c r="M129" s="106">
        <f t="shared" si="144"/>
        <v>14028.845123425213</v>
      </c>
      <c r="N129" s="106">
        <f t="shared" si="144"/>
        <v>14028.845123425213</v>
      </c>
      <c r="O129" s="106">
        <f t="shared" si="144"/>
        <v>14028.845123425213</v>
      </c>
      <c r="P129" s="106">
        <f t="shared" si="144"/>
        <v>14028.845123425213</v>
      </c>
      <c r="Q129" s="106">
        <f t="shared" si="144"/>
        <v>14028.845123425213</v>
      </c>
      <c r="R129" s="106">
        <f t="shared" si="144"/>
        <v>14028.845123425213</v>
      </c>
      <c r="S129" s="106">
        <f t="shared" si="144"/>
        <v>14028.845123425213</v>
      </c>
      <c r="T129" s="106">
        <f t="shared" si="144"/>
        <v>14028.845123425213</v>
      </c>
      <c r="U129" s="106">
        <f t="shared" si="144"/>
        <v>14028.845123425213</v>
      </c>
      <c r="V129" s="106">
        <f t="shared" si="144"/>
        <v>14028.845123425213</v>
      </c>
      <c r="W129" s="106">
        <f t="shared" si="144"/>
        <v>14028.845123425213</v>
      </c>
      <c r="X129" s="106">
        <f t="shared" si="144"/>
        <v>14028.845123425213</v>
      </c>
      <c r="Y129" s="106">
        <f t="shared" si="144"/>
        <v>14028.845123425213</v>
      </c>
    </row>
    <row r="130" spans="3:27" x14ac:dyDescent="0.25">
      <c r="D130"/>
      <c r="E130"/>
    </row>
    <row r="131" spans="3:27" x14ac:dyDescent="0.25">
      <c r="C131" s="105"/>
      <c r="E131" s="75" t="s">
        <v>579</v>
      </c>
      <c r="I131" t="s">
        <v>155</v>
      </c>
      <c r="J131" s="106"/>
      <c r="K131" s="106"/>
      <c r="L131" s="106"/>
      <c r="M131" s="106"/>
      <c r="N131" s="106"/>
      <c r="O131" s="106"/>
      <c r="P131" s="106"/>
      <c r="Q131" s="106"/>
      <c r="R131" s="106"/>
      <c r="S131" s="106"/>
      <c r="T131" s="106"/>
      <c r="U131" s="106"/>
      <c r="V131" s="106"/>
      <c r="W131" s="106"/>
      <c r="X131" s="106"/>
      <c r="Y131" s="106"/>
      <c r="AA131" t="s">
        <v>684</v>
      </c>
    </row>
    <row r="132" spans="3:27" x14ac:dyDescent="0.25">
      <c r="C132" s="105"/>
      <c r="E132" s="86"/>
      <c r="F132" s="95" t="s">
        <v>190</v>
      </c>
      <c r="G132" s="95" t="s">
        <v>271</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192</v>
      </c>
      <c r="G133" t="s">
        <v>271</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193</v>
      </c>
      <c r="G134" t="s">
        <v>271</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194</v>
      </c>
      <c r="G135" t="s">
        <v>271</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195</v>
      </c>
      <c r="G136" t="s">
        <v>271</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196</v>
      </c>
      <c r="G137" t="s">
        <v>271</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197</v>
      </c>
      <c r="G138" t="s">
        <v>271</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198</v>
      </c>
      <c r="G139" t="s">
        <v>271</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199</v>
      </c>
      <c r="G140" t="s">
        <v>271</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200</v>
      </c>
      <c r="G141" t="s">
        <v>271</v>
      </c>
      <c r="J141" s="168">
        <f t="shared" ref="J141:K141" si="208">IF(J$129 = 0, 0, J109 / J$129)</f>
        <v>5.4576361834738067</v>
      </c>
      <c r="K141" s="168">
        <f t="shared" si="208"/>
        <v>0</v>
      </c>
      <c r="L141" s="168">
        <f t="shared" ref="L141:M141" si="209">IF(L$129 = 0, 0, L109 / L$129)</f>
        <v>5.4576361834738067</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335</v>
      </c>
      <c r="G142" s="95" t="s">
        <v>271</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336</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580</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190</v>
      </c>
      <c r="G146" s="95" t="s">
        <v>271</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192</v>
      </c>
      <c r="G147" t="s">
        <v>271</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193</v>
      </c>
      <c r="G148" t="s">
        <v>271</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194</v>
      </c>
      <c r="G149" t="s">
        <v>271</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195</v>
      </c>
      <c r="G150" t="s">
        <v>271</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196</v>
      </c>
      <c r="G151" t="s">
        <v>271</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197</v>
      </c>
      <c r="G152" t="s">
        <v>271</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198</v>
      </c>
      <c r="G153" t="s">
        <v>271</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199</v>
      </c>
      <c r="G154" t="s">
        <v>271</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200</v>
      </c>
      <c r="G155" t="s">
        <v>271</v>
      </c>
      <c r="J155" s="168">
        <f t="shared" ref="J155:K155" si="278">IF(J$129 = 0, 0, J123 / J$129)</f>
        <v>4.2260113932034447</v>
      </c>
      <c r="K155" s="168">
        <f t="shared" si="278"/>
        <v>0</v>
      </c>
      <c r="L155" s="168">
        <f t="shared" ref="L155:M155" si="279">IF(L$129 = 0, 0, L123 / L$129)</f>
        <v>4.2260113932034447</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335</v>
      </c>
      <c r="G156" s="95" t="s">
        <v>271</v>
      </c>
      <c r="H156" s="95"/>
      <c r="I156" s="95"/>
      <c r="J156" s="147">
        <f t="shared" ref="J156:K156" si="285">J55</f>
        <v>3.2625418476922388</v>
      </c>
      <c r="K156" s="147">
        <f t="shared" si="285"/>
        <v>0</v>
      </c>
      <c r="L156" s="147">
        <f t="shared" ref="L156:M156" si="286">L55</f>
        <v>9.5662173143411007</v>
      </c>
      <c r="M156" s="147">
        <f t="shared" si="286"/>
        <v>0</v>
      </c>
      <c r="N156" s="147">
        <f t="shared" ref="N156:P156" si="287">N55</f>
        <v>19.085920524154083</v>
      </c>
      <c r="O156" s="147">
        <f t="shared" si="287"/>
        <v>14.898612013947742</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336</v>
      </c>
      <c r="G157" s="96" t="s">
        <v>271</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137.54153750078822</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86.079364905669735</v>
      </c>
      <c r="Y157" s="173">
        <f t="shared" si="298"/>
        <v>86.079364905669735</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control'!$H$42:$H$65,MATCH($A$1,'Version control'!$F$42:$F$65,0),1)&amp;"-H: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160</v>
      </c>
      <c r="G161" t="s">
        <v>271</v>
      </c>
      <c r="J161" s="151">
        <f t="shared" ref="J161:K161" si="299">SUM(J132:J143,J146:J157)</f>
        <v>12.946189424369491</v>
      </c>
      <c r="K161" s="151">
        <f t="shared" si="299"/>
        <v>0</v>
      </c>
      <c r="L161" s="151">
        <f t="shared" ref="L161:M161" si="300">SUM(L132:L143,L146:L157)</f>
        <v>19.249864891018355</v>
      </c>
      <c r="M161" s="151">
        <f t="shared" si="300"/>
        <v>0</v>
      </c>
      <c r="N161" s="151">
        <f t="shared" ref="N161:P161" si="301">SUM(N132:N143,N146:N157)</f>
        <v>19.085920524154083</v>
      </c>
      <c r="O161" s="151">
        <f t="shared" si="301"/>
        <v>14.898612013947742</v>
      </c>
      <c r="P161" s="151">
        <f t="shared" si="301"/>
        <v>137.54153750078822</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86.079364905669735</v>
      </c>
      <c r="Y161" s="151">
        <f>SUM(Y132:Y143,Y146:Y157)</f>
        <v>86.079364905669735</v>
      </c>
    </row>
    <row r="163" spans="2:27" x14ac:dyDescent="0.25">
      <c r="B163" s="85" t="s">
        <v>232</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233</v>
      </c>
      <c r="G165" s="6" t="s">
        <v>57</v>
      </c>
      <c r="H165" s="113">
        <f t="array" ref="H165">SUM(IF(ISERROR(H18:Y161), 1))</f>
        <v>0</v>
      </c>
    </row>
    <row r="167" spans="2:27" x14ac:dyDescent="0.25">
      <c r="B167" s="85" t="s">
        <v>108</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821</v>
      </c>
      <c r="E9"/>
    </row>
    <row r="10" spans="1:27" x14ac:dyDescent="0.25">
      <c r="C10" s="86" t="s">
        <v>822</v>
      </c>
      <c r="E10"/>
    </row>
    <row r="12" spans="1:27" x14ac:dyDescent="0.25">
      <c r="B12" s="85" t="s">
        <v>823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824</v>
      </c>
    </row>
    <row r="16" spans="1:27" x14ac:dyDescent="0.25">
      <c r="C16" s="93" t="str">
        <f ca="1">INDEX('Version control'!$H$42:$H$66,MATCH($A$1,'Version control'!$F$42:$F$66,0),1)&amp;"-A: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213</v>
      </c>
      <c r="F18" s="75"/>
    </row>
    <row r="19" spans="1:27" x14ac:dyDescent="0.25">
      <c r="E19" s="86" t="s">
        <v>825</v>
      </c>
      <c r="F19" s="2"/>
    </row>
    <row r="20" spans="1:27" x14ac:dyDescent="0.25">
      <c r="C20" s="105"/>
      <c r="F20" s="95" t="s">
        <v>405</v>
      </c>
      <c r="G20" s="95" t="s">
        <v>213</v>
      </c>
      <c r="H20" s="278"/>
      <c r="I20" s="266"/>
      <c r="J20" s="278">
        <f>'Volume adjustments'!J202</f>
        <v>1521199.0698093434</v>
      </c>
      <c r="K20" s="278">
        <f>'Volume adjustments'!K202</f>
        <v>0</v>
      </c>
      <c r="L20" s="278">
        <f>'Volume adjustments'!L202</f>
        <v>139344.77139611001</v>
      </c>
      <c r="M20" s="278">
        <f>'Volume adjustments'!M202</f>
        <v>0</v>
      </c>
      <c r="N20" s="278">
        <f>'Volume adjustments'!N202</f>
        <v>8754.6579525143989</v>
      </c>
      <c r="O20" s="278">
        <f>'Volume adjustments'!O202</f>
        <v>1697.1378227327129</v>
      </c>
      <c r="P20" s="278">
        <f>'Volume adjustments'!P202</f>
        <v>1126.2316396770004</v>
      </c>
      <c r="Q20" s="278">
        <f>'Volume adjustments'!Q202</f>
        <v>1657</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320.50176836858998</v>
      </c>
      <c r="Y20" s="278">
        <f>'Volume adjustments'!Y202</f>
        <v>0</v>
      </c>
      <c r="Z20" s="268"/>
      <c r="AA20" s="268"/>
    </row>
    <row r="21" spans="1:27" x14ac:dyDescent="0.25">
      <c r="C21" s="105"/>
      <c r="F21" t="s">
        <v>406</v>
      </c>
      <c r="G21" t="s">
        <v>213</v>
      </c>
      <c r="H21" s="279"/>
      <c r="I21" s="268"/>
      <c r="J21" s="279">
        <f>'Volume adjustments'!J211</f>
        <v>21273.515194887394</v>
      </c>
      <c r="K21" s="279">
        <f>'Volume adjustments'!K211</f>
        <v>0</v>
      </c>
      <c r="L21" s="279">
        <f>'Volume adjustments'!L211</f>
        <v>515.29324029899419</v>
      </c>
      <c r="M21" s="279">
        <f>'Volume adjustments'!M211</f>
        <v>0</v>
      </c>
      <c r="N21" s="279">
        <f>'Volume adjustments'!N211</f>
        <v>161.91258922113039</v>
      </c>
      <c r="O21" s="279">
        <f>'Volume adjustments'!O211</f>
        <v>0</v>
      </c>
      <c r="P21" s="279">
        <f>'Volume adjustments'!P211</f>
        <v>0</v>
      </c>
      <c r="Q21" s="279">
        <f>'Volume adjustments'!Q211</f>
        <v>80.95629461056518</v>
      </c>
      <c r="R21" s="279">
        <f>'Volume adjustments'!R211</f>
        <v>0</v>
      </c>
      <c r="S21" s="279">
        <f>'Volume adjustments'!S211</f>
        <v>0</v>
      </c>
      <c r="T21" s="279">
        <f>'Volume adjustments'!T211</f>
        <v>1.2850205493740503</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407</v>
      </c>
      <c r="G22" t="s">
        <v>213</v>
      </c>
      <c r="H22" s="279"/>
      <c r="I22" s="268"/>
      <c r="J22" s="279">
        <f>'Volume adjustments'!J220</f>
        <v>69257.467529063841</v>
      </c>
      <c r="K22" s="279">
        <f>'Volume adjustments'!K220</f>
        <v>0</v>
      </c>
      <c r="L22" s="279">
        <f>'Volume adjustments'!L220</f>
        <v>1696.2271251737466</v>
      </c>
      <c r="M22" s="279">
        <f>'Volume adjustments'!M220</f>
        <v>0</v>
      </c>
      <c r="N22" s="279">
        <f>'Volume adjustments'!N220</f>
        <v>507.58311700274993</v>
      </c>
      <c r="O22" s="279">
        <f>'Volume adjustments'!O220</f>
        <v>39.835637030595571</v>
      </c>
      <c r="P22" s="279">
        <f>'Volume adjustments'!P220</f>
        <v>14.135226043114557</v>
      </c>
      <c r="Q22" s="279">
        <f>'Volume adjustments'!Q220</f>
        <v>221.02353449233675</v>
      </c>
      <c r="R22" s="279">
        <f>'Volume adjustments'!R220</f>
        <v>0</v>
      </c>
      <c r="S22" s="279">
        <f>'Volume adjustments'!S220</f>
        <v>0</v>
      </c>
      <c r="T22" s="279">
        <f>'Volume adjustments'!T220</f>
        <v>8.9951438456183546</v>
      </c>
      <c r="U22" s="279">
        <f>'Volume adjustments'!U220</f>
        <v>0</v>
      </c>
      <c r="V22" s="279">
        <f>'Volume adjustments'!V220</f>
        <v>0</v>
      </c>
      <c r="W22" s="279">
        <f>'Volume adjustments'!W220</f>
        <v>0</v>
      </c>
      <c r="X22" s="279">
        <f>'Volume adjustments'!X220</f>
        <v>0</v>
      </c>
      <c r="Y22" s="279">
        <f>'Volume adjustments'!Y220</f>
        <v>0</v>
      </c>
      <c r="Z22" s="268"/>
      <c r="AA22" s="268"/>
    </row>
    <row r="23" spans="1:27" x14ac:dyDescent="0.25">
      <c r="C23" s="105"/>
      <c r="F23" s="96" t="s">
        <v>826</v>
      </c>
      <c r="G23" s="96" t="s">
        <v>213</v>
      </c>
      <c r="H23" s="298"/>
      <c r="I23" s="96"/>
      <c r="J23" s="172">
        <f>'Inputs by customer type'!J161</f>
        <v>7354.1726040676895</v>
      </c>
      <c r="K23" s="172">
        <f>'Inputs by customer type'!K161</f>
        <v>0</v>
      </c>
      <c r="L23" s="172">
        <f>'Inputs by customer type'!L161</f>
        <v>65.536048018076571</v>
      </c>
      <c r="M23" s="172">
        <f>'Inputs by customer type'!M161</f>
        <v>0</v>
      </c>
      <c r="N23" s="172">
        <f>'Inputs by customer type'!N161</f>
        <v>10.280164394992402</v>
      </c>
      <c r="O23" s="172">
        <f>'Inputs by customer type'!O161</f>
        <v>1.2850205493740503</v>
      </c>
      <c r="P23" s="172">
        <f>'Inputs by customer type'!P161</f>
        <v>7.7101232962443014</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827</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177</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177</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828</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278</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278</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control'!$H$42:$H$66,MATCH($A$1,'Version control'!$F$42:$F$66,0),1)&amp;"-B: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829</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213</v>
      </c>
      <c r="H36" s="95"/>
      <c r="I36" s="95"/>
      <c r="J36" s="223">
        <f t="shared" ref="J36:Y36" si="0">SUM( J$20:J$23 ) * J26</f>
        <v>1619084.2251373623</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213</v>
      </c>
      <c r="H37" s="96"/>
      <c r="I37" s="96"/>
      <c r="J37" s="196">
        <f t="shared" ref="J37:Y37" si="1">SUM( J$20:J$23 ) * J27</f>
        <v>1619084.2251373623</v>
      </c>
      <c r="K37" s="196">
        <f t="shared" si="1"/>
        <v>0</v>
      </c>
      <c r="L37" s="196">
        <f t="shared" si="1"/>
        <v>141621.82780960083</v>
      </c>
      <c r="M37" s="196">
        <f t="shared" si="1"/>
        <v>0</v>
      </c>
      <c r="N37" s="196">
        <f t="shared" si="1"/>
        <v>9434.4338231332713</v>
      </c>
      <c r="O37" s="196">
        <f t="shared" si="1"/>
        <v>1738.2584803126824</v>
      </c>
      <c r="P37" s="196">
        <f t="shared" si="1"/>
        <v>1148.0769890163592</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830</v>
      </c>
      <c r="I39" t="s">
        <v>155</v>
      </c>
      <c r="J39" s="106"/>
      <c r="K39" s="106"/>
      <c r="L39" s="106"/>
      <c r="M39" s="106"/>
      <c r="N39" s="106"/>
      <c r="O39" s="106"/>
      <c r="P39" s="106"/>
      <c r="Q39" s="106"/>
      <c r="R39" s="106"/>
      <c r="S39" s="106"/>
      <c r="T39" s="106"/>
      <c r="U39" s="106"/>
      <c r="V39" s="106"/>
      <c r="W39" s="106"/>
      <c r="X39" s="106"/>
      <c r="Y39" s="106"/>
      <c r="AA39" t="s">
        <v>1106</v>
      </c>
    </row>
    <row r="40" spans="1:27" x14ac:dyDescent="0.25">
      <c r="A40" s="15"/>
      <c r="C40" s="105"/>
      <c r="E40"/>
      <c r="F40" s="95" t="s">
        <v>1150</v>
      </c>
      <c r="G40" s="95" t="s">
        <v>271</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271</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831</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271</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271</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503</v>
      </c>
      <c r="G46" s="303" t="s">
        <v>271</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control'!$H$42:$H$66,MATCH($A$1,'Version control'!$F$42:$F$66,0),1)&amp;"-C: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832</v>
      </c>
      <c r="G50" s="6" t="s">
        <v>278</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833</v>
      </c>
      <c r="G52" s="6" t="s">
        <v>278</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834</v>
      </c>
      <c r="G54" s="6" t="s">
        <v>278</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835</v>
      </c>
      <c r="G56" s="6" t="s">
        <v>278</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232</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836</v>
      </c>
      <c r="G60" s="6" t="s">
        <v>278</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837</v>
      </c>
      <c r="G62" s="6" t="s">
        <v>278</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838</v>
      </c>
      <c r="G64" s="6" t="s">
        <v>57</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233</v>
      </c>
      <c r="G66" s="6" t="s">
        <v>57</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108</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0" t="s">
        <v>144</v>
      </c>
      <c r="H5" s="107"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6" spans="1:43" x14ac:dyDescent="0.25">
      <c r="C6" s="105"/>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688</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689</v>
      </c>
      <c r="E10"/>
    </row>
    <row r="11" spans="1:43" x14ac:dyDescent="0.25">
      <c r="D11" s="86" t="s">
        <v>690</v>
      </c>
    </row>
    <row r="13" spans="1:43" x14ac:dyDescent="0.25">
      <c r="B13" s="85" t="s">
        <v>691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control'!$H$42:$H$65,MATCH($A$1,'Version control'!$F$42:$F$65,0),1)&amp;"-A: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977</v>
      </c>
      <c r="F17" s="2"/>
    </row>
    <row r="18" spans="3:43" x14ac:dyDescent="0.25">
      <c r="D18" s="105"/>
      <c r="F18" s="2"/>
    </row>
    <row r="19" spans="3:43" ht="60" x14ac:dyDescent="0.25">
      <c r="D19"/>
      <c r="E19" s="75" t="s">
        <v>692</v>
      </c>
      <c r="F19" s="75"/>
      <c r="J19" s="309" t="s">
        <v>1114</v>
      </c>
      <c r="K19" s="309" t="s">
        <v>786</v>
      </c>
      <c r="L19" s="309" t="s">
        <v>1115</v>
      </c>
      <c r="M19" s="309" t="s">
        <v>787</v>
      </c>
      <c r="N19" s="309" t="s">
        <v>793</v>
      </c>
      <c r="O19" s="309" t="s">
        <v>794</v>
      </c>
      <c r="P19" s="309" t="s">
        <v>795</v>
      </c>
      <c r="Q19" s="309" t="s">
        <v>796</v>
      </c>
      <c r="R19" s="309" t="s">
        <v>788</v>
      </c>
      <c r="S19" s="309" t="s">
        <v>789</v>
      </c>
      <c r="T19" s="309" t="s">
        <v>790</v>
      </c>
      <c r="U19" s="309" t="s">
        <v>799</v>
      </c>
      <c r="V19" s="309" t="s">
        <v>791</v>
      </c>
      <c r="W19" s="309" t="s">
        <v>798</v>
      </c>
      <c r="X19" s="309" t="s">
        <v>792</v>
      </c>
      <c r="Y19" s="309" t="s">
        <v>797</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157</v>
      </c>
      <c r="G20" s="95" t="s">
        <v>270</v>
      </c>
      <c r="H20" s="266"/>
      <c r="I20" s="266"/>
      <c r="J20" s="278">
        <f>'Unit rate charges'!J217</f>
        <v>25.395136853030557</v>
      </c>
      <c r="K20" s="278">
        <f>'Unit rate charges'!K217</f>
        <v>25.395136853030557</v>
      </c>
      <c r="L20" s="278">
        <f>'Unit rate charges'!L217</f>
        <v>24.844477123489018</v>
      </c>
      <c r="M20" s="278">
        <f>'Unit rate charges'!M217</f>
        <v>24.844477123489018</v>
      </c>
      <c r="N20" s="278">
        <f>'Unit rate charges'!N217</f>
        <v>15.429151116302295</v>
      </c>
      <c r="O20" s="278">
        <f>'Unit rate charges'!O217</f>
        <v>9.8212748354902395</v>
      </c>
      <c r="P20" s="278">
        <f>'Unit rate charges'!P217</f>
        <v>7.5003520676968254</v>
      </c>
      <c r="Q20" s="278">
        <f>'Unit rate charges'!Q217</f>
        <v>75.305541892989694</v>
      </c>
      <c r="R20" s="278">
        <f>'Unit rate charges'!R217</f>
        <v>-15.280425382806436</v>
      </c>
      <c r="S20" s="278">
        <f>'Unit rate charges'!S217</f>
        <v>-13.108991883469402</v>
      </c>
      <c r="T20" s="278">
        <f>'Unit rate charges'!T217</f>
        <v>-15.280425382806436</v>
      </c>
      <c r="U20" s="278">
        <f>'Unit rate charges'!U217</f>
        <v>-15.280425382806436</v>
      </c>
      <c r="V20" s="278">
        <f>'Unit rate charges'!V217</f>
        <v>-13.108991883469402</v>
      </c>
      <c r="W20" s="278">
        <f>'Unit rate charges'!W217</f>
        <v>-13.108991883469402</v>
      </c>
      <c r="X20" s="278">
        <f>'Unit rate charges'!X217</f>
        <v>-8.1964824270810812</v>
      </c>
      <c r="Y20" s="278">
        <f>'Unit rate charges'!Y217</f>
        <v>-8.1964824270810812</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158</v>
      </c>
      <c r="G21" t="s">
        <v>270</v>
      </c>
      <c r="H21" s="268"/>
      <c r="I21" s="268"/>
      <c r="J21" s="310">
        <f>'Unit rate charges'!J218</f>
        <v>2.0255668188196898</v>
      </c>
      <c r="K21" s="310">
        <f>'Unit rate charges'!K218</f>
        <v>2.0255668188196898</v>
      </c>
      <c r="L21" s="310">
        <f>'Unit rate charges'!L218</f>
        <v>1.9816450993552617</v>
      </c>
      <c r="M21" s="310">
        <f>'Unit rate charges'!M218</f>
        <v>1.9816450993552617</v>
      </c>
      <c r="N21" s="310">
        <f>'Unit rate charges'!N218</f>
        <v>1.0970359548046356</v>
      </c>
      <c r="O21" s="310">
        <f>'Unit rate charges'!O218</f>
        <v>0.49592572828189158</v>
      </c>
      <c r="P21" s="310">
        <f>'Unit rate charges'!P218</f>
        <v>0.28752383061602405</v>
      </c>
      <c r="Q21" s="310">
        <f>'Unit rate charges'!Q218</f>
        <v>3.6473004752013618</v>
      </c>
      <c r="R21" s="310">
        <f>'Unit rate charges'!R218</f>
        <v>-1.2187972371241318</v>
      </c>
      <c r="S21" s="310">
        <f>'Unit rate charges'!S218</f>
        <v>-0.97486597250895268</v>
      </c>
      <c r="T21" s="310">
        <f>'Unit rate charges'!T218</f>
        <v>-1.2187972371241318</v>
      </c>
      <c r="U21" s="310">
        <f>'Unit rate charges'!U218</f>
        <v>-1.2187972371241318</v>
      </c>
      <c r="V21" s="310">
        <f>'Unit rate charges'!V218</f>
        <v>-0.97486597250895268</v>
      </c>
      <c r="W21" s="310">
        <f>'Unit rate charges'!W218</f>
        <v>-0.97486597250895268</v>
      </c>
      <c r="X21" s="310">
        <f>'Unit rate charges'!X218</f>
        <v>-0.41388176026916063</v>
      </c>
      <c r="Y21" s="310">
        <f>'Unit rate charges'!Y218</f>
        <v>-0.41388176026916063</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159</v>
      </c>
      <c r="G22" t="s">
        <v>270</v>
      </c>
      <c r="H22" s="268"/>
      <c r="I22" s="268"/>
      <c r="J22" s="310">
        <f>'Unit rate charges'!J219</f>
        <v>0.20028453291725412</v>
      </c>
      <c r="K22" s="310">
        <f>'Unit rate charges'!K219</f>
        <v>0.20028453291725412</v>
      </c>
      <c r="L22" s="310">
        <f>'Unit rate charges'!L219</f>
        <v>0.19594162949579028</v>
      </c>
      <c r="M22" s="310">
        <f>'Unit rate charges'!M219</f>
        <v>0.19594162949579028</v>
      </c>
      <c r="N22" s="310">
        <f>'Unit rate charges'!N219</f>
        <v>0.11055342216280105</v>
      </c>
      <c r="O22" s="310">
        <f>'Unit rate charges'!O219</f>
        <v>5.3511450595281604E-2</v>
      </c>
      <c r="P22" s="310">
        <f>'Unit rate charges'!P219</f>
        <v>3.3267489359390272E-2</v>
      </c>
      <c r="Q22" s="310">
        <f>'Unit rate charges'!Q219</f>
        <v>1.5593410910780692</v>
      </c>
      <c r="R22" s="310">
        <f>'Unit rate charges'!R219</f>
        <v>-0.12051255633249795</v>
      </c>
      <c r="S22" s="310">
        <f>'Unit rate charges'!S219</f>
        <v>-9.7494314339578544E-2</v>
      </c>
      <c r="T22" s="310">
        <f>'Unit rate charges'!T219</f>
        <v>-0.12051255633249795</v>
      </c>
      <c r="U22" s="310">
        <f>'Unit rate charges'!U219</f>
        <v>-0.12051255633249795</v>
      </c>
      <c r="V22" s="310">
        <f>'Unit rate charges'!V219</f>
        <v>-9.7494314339578544E-2</v>
      </c>
      <c r="W22" s="310">
        <f>'Unit rate charges'!W219</f>
        <v>-9.7494314339578544E-2</v>
      </c>
      <c r="X22" s="310">
        <f>'Unit rate charges'!X219</f>
        <v>-4.4658730337826823E-2</v>
      </c>
      <c r="Y22" s="310">
        <f>'Unit rate charges'!Y219</f>
        <v>-4.4658730337826823E-2</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160</v>
      </c>
      <c r="G23" t="s">
        <v>271</v>
      </c>
      <c r="J23" s="171">
        <f>'Fixed charges'!J161</f>
        <v>12.946189424369491</v>
      </c>
      <c r="K23" s="171">
        <f>'Fixed charges'!K161</f>
        <v>0</v>
      </c>
      <c r="L23" s="171">
        <f>'Fixed charges'!L161</f>
        <v>19.249864891018355</v>
      </c>
      <c r="M23" s="171">
        <f>'Fixed charges'!M161</f>
        <v>0</v>
      </c>
      <c r="N23" s="171">
        <f>'Fixed charges'!N161</f>
        <v>19.085920524154083</v>
      </c>
      <c r="O23" s="171">
        <f>'Fixed charges'!O161</f>
        <v>14.898612013947742</v>
      </c>
      <c r="P23" s="171">
        <f>'Fixed charges'!P161</f>
        <v>137.54153750078822</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86.079364905669735</v>
      </c>
      <c r="Y23" s="171">
        <f>'Fixed charges'!Y161</f>
        <v>86.079364905669735</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161</v>
      </c>
      <c r="G24" t="s">
        <v>272</v>
      </c>
      <c r="J24" s="171">
        <f>'Capacity charges'!J256</f>
        <v>0</v>
      </c>
      <c r="K24" s="171">
        <f>'Capacity charges'!K256</f>
        <v>0</v>
      </c>
      <c r="L24" s="171">
        <f>'Capacity charges'!L256</f>
        <v>0</v>
      </c>
      <c r="M24" s="171">
        <f>'Capacity charges'!M256</f>
        <v>0</v>
      </c>
      <c r="N24" s="171">
        <f>'Capacity charges'!N256</f>
        <v>12.912493254799603</v>
      </c>
      <c r="O24" s="171">
        <f>'Capacity charges'!O256</f>
        <v>11.05458065371368</v>
      </c>
      <c r="P24" s="171">
        <f>'Capacity charges'!P256</f>
        <v>10.616443931280937</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162</v>
      </c>
      <c r="G25" t="s">
        <v>272</v>
      </c>
      <c r="J25" s="172">
        <f>'Capacity charges'!J257</f>
        <v>0</v>
      </c>
      <c r="K25" s="172">
        <f>'Capacity charges'!K257</f>
        <v>0</v>
      </c>
      <c r="L25" s="172">
        <f>'Capacity charges'!L257</f>
        <v>0</v>
      </c>
      <c r="M25" s="172">
        <f>'Capacity charges'!M257</f>
        <v>0</v>
      </c>
      <c r="N25" s="172">
        <f>'Capacity charges'!N257</f>
        <v>12.912493254799603</v>
      </c>
      <c r="O25" s="172">
        <f>'Capacity charges'!O257</f>
        <v>11.05458065371368</v>
      </c>
      <c r="P25" s="172">
        <f>'Capacity charges'!P257</f>
        <v>10.616443931280937</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163</v>
      </c>
      <c r="G26" s="96" t="s">
        <v>273</v>
      </c>
      <c r="H26" s="270"/>
      <c r="I26" s="270"/>
      <c r="J26" s="311">
        <f>'Reactive power charges'!J250</f>
        <v>0</v>
      </c>
      <c r="K26" s="311">
        <f>'Reactive power charges'!K250</f>
        <v>0</v>
      </c>
      <c r="L26" s="311">
        <f>'Reactive power charges'!L250</f>
        <v>0</v>
      </c>
      <c r="M26" s="311">
        <f>'Reactive power charges'!M250</f>
        <v>0</v>
      </c>
      <c r="N26" s="311">
        <f>'Reactive power charges'!N250</f>
        <v>0.25264310707810089</v>
      </c>
      <c r="O26" s="311">
        <f>'Reactive power charges'!O250</f>
        <v>0.13863470006128026</v>
      </c>
      <c r="P26" s="311">
        <f>'Reactive power charges'!P250</f>
        <v>9.6603194796647043E-2</v>
      </c>
      <c r="Q26" s="311">
        <f>'Reactive power charges'!Q250</f>
        <v>0</v>
      </c>
      <c r="R26" s="311">
        <f>'Reactive power charges'!R250</f>
        <v>0</v>
      </c>
      <c r="S26" s="311">
        <f>'Reactive power charges'!S250</f>
        <v>0</v>
      </c>
      <c r="T26" s="311">
        <f>'Reactive power charges'!T250</f>
        <v>0.31225598745472138</v>
      </c>
      <c r="U26" s="311">
        <f>'Reactive power charges'!U250</f>
        <v>0</v>
      </c>
      <c r="V26" s="311">
        <f>'Reactive power charges'!V250</f>
        <v>0.22398663020284471</v>
      </c>
      <c r="W26" s="311">
        <f>'Reactive power charges'!W250</f>
        <v>0</v>
      </c>
      <c r="X26" s="311">
        <f>'Reactive power charges'!X250</f>
        <v>0.18734964255838274</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786</v>
      </c>
      <c r="L28" s="309" t="s">
        <v>1115</v>
      </c>
      <c r="M28" s="309" t="s">
        <v>787</v>
      </c>
      <c r="N28" s="309" t="s">
        <v>793</v>
      </c>
      <c r="O28" s="309" t="s">
        <v>794</v>
      </c>
      <c r="P28" s="309" t="s">
        <v>795</v>
      </c>
      <c r="Q28" s="309" t="s">
        <v>796</v>
      </c>
      <c r="R28" s="309" t="s">
        <v>788</v>
      </c>
      <c r="S28" s="309" t="s">
        <v>789</v>
      </c>
      <c r="T28" s="309" t="s">
        <v>790</v>
      </c>
      <c r="U28" s="309" t="s">
        <v>799</v>
      </c>
      <c r="V28" s="309" t="s">
        <v>791</v>
      </c>
      <c r="W28" s="309" t="s">
        <v>798</v>
      </c>
      <c r="X28" s="309" t="s">
        <v>792</v>
      </c>
      <c r="Y28" s="309" t="s">
        <v>797</v>
      </c>
      <c r="Z28" s="261"/>
      <c r="AA28" s="261"/>
      <c r="AB28" s="261"/>
      <c r="AC28" s="261"/>
      <c r="AD28" s="261"/>
      <c r="AE28" s="261"/>
      <c r="AF28" s="261"/>
      <c r="AG28" s="261"/>
      <c r="AH28" s="261"/>
      <c r="AI28" s="261"/>
      <c r="AJ28" s="261"/>
      <c r="AK28" s="261"/>
      <c r="AL28" s="261"/>
      <c r="AM28" s="261"/>
      <c r="AN28" s="261"/>
      <c r="AO28" s="261"/>
    </row>
    <row r="29" spans="3:43" x14ac:dyDescent="0.25">
      <c r="D29"/>
      <c r="E29" s="94" t="s">
        <v>830</v>
      </c>
      <c r="F29" s="193"/>
      <c r="G29" t="s">
        <v>271</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879</v>
      </c>
      <c r="G32" s="95" t="s">
        <v>862</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891</v>
      </c>
      <c r="G33" t="s">
        <v>862</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892</v>
      </c>
      <c r="G34" t="s">
        <v>862</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889</v>
      </c>
      <c r="G35" t="s">
        <v>150</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888</v>
      </c>
      <c r="G36" t="s">
        <v>150</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890</v>
      </c>
      <c r="G37" s="96" t="s">
        <v>150</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692</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157</v>
      </c>
      <c r="G40" s="95" t="s">
        <v>270</v>
      </c>
      <c r="H40" s="266"/>
      <c r="I40" s="266"/>
      <c r="J40" s="267">
        <f t="shared" ref="J40:AO40" si="0">INDEX($J20:$Y20,J$37)</f>
        <v>25.395136853030557</v>
      </c>
      <c r="K40" s="267">
        <f t="shared" si="0"/>
        <v>25.395136853030557</v>
      </c>
      <c r="L40" s="267">
        <f t="shared" si="0"/>
        <v>24.844477123489018</v>
      </c>
      <c r="M40" s="267">
        <f t="shared" si="0"/>
        <v>24.844477123489018</v>
      </c>
      <c r="N40" s="267">
        <f t="shared" si="0"/>
        <v>24.844477123489018</v>
      </c>
      <c r="O40" s="267">
        <f t="shared" si="0"/>
        <v>24.844477123489018</v>
      </c>
      <c r="P40" s="267">
        <f t="shared" si="0"/>
        <v>24.844477123489018</v>
      </c>
      <c r="Q40" s="267">
        <f t="shared" si="0"/>
        <v>24.844477123489018</v>
      </c>
      <c r="R40" s="267">
        <f t="shared" si="0"/>
        <v>15.429151116302295</v>
      </c>
      <c r="S40" s="267">
        <f t="shared" si="0"/>
        <v>15.429151116302295</v>
      </c>
      <c r="T40" s="267">
        <f t="shared" si="0"/>
        <v>15.429151116302295</v>
      </c>
      <c r="U40" s="267">
        <f t="shared" si="0"/>
        <v>15.429151116302295</v>
      </c>
      <c r="V40" s="267">
        <f t="shared" si="0"/>
        <v>15.429151116302295</v>
      </c>
      <c r="W40" s="267">
        <f t="shared" si="0"/>
        <v>9.8212748354902395</v>
      </c>
      <c r="X40" s="267">
        <f t="shared" si="0"/>
        <v>9.8212748354902395</v>
      </c>
      <c r="Y40" s="267">
        <f t="shared" si="0"/>
        <v>9.8212748354902395</v>
      </c>
      <c r="Z40" s="267">
        <f t="shared" si="0"/>
        <v>9.8212748354902395</v>
      </c>
      <c r="AA40" s="267">
        <f t="shared" si="0"/>
        <v>9.8212748354902395</v>
      </c>
      <c r="AB40" s="267">
        <f t="shared" si="0"/>
        <v>7.5003520676968254</v>
      </c>
      <c r="AC40" s="267">
        <f t="shared" si="0"/>
        <v>7.5003520676968254</v>
      </c>
      <c r="AD40" s="267">
        <f t="shared" si="0"/>
        <v>7.5003520676968254</v>
      </c>
      <c r="AE40" s="267">
        <f t="shared" si="0"/>
        <v>7.5003520676968254</v>
      </c>
      <c r="AF40" s="267">
        <f t="shared" si="0"/>
        <v>7.5003520676968254</v>
      </c>
      <c r="AG40" s="267">
        <f t="shared" si="0"/>
        <v>75.305541892989694</v>
      </c>
      <c r="AH40" s="267">
        <f t="shared" si="0"/>
        <v>-15.280425382806436</v>
      </c>
      <c r="AI40" s="267">
        <f t="shared" si="0"/>
        <v>-13.108991883469402</v>
      </c>
      <c r="AJ40" s="267">
        <f t="shared" si="0"/>
        <v>-15.280425382806436</v>
      </c>
      <c r="AK40" s="267">
        <f t="shared" si="0"/>
        <v>-15.280425382806436</v>
      </c>
      <c r="AL40" s="267">
        <f t="shared" si="0"/>
        <v>-13.108991883469402</v>
      </c>
      <c r="AM40" s="267">
        <f t="shared" si="0"/>
        <v>-13.108991883469402</v>
      </c>
      <c r="AN40" s="267">
        <f t="shared" si="0"/>
        <v>-8.1964824270810812</v>
      </c>
      <c r="AO40" s="267">
        <f t="shared" si="0"/>
        <v>-8.1964824270810812</v>
      </c>
      <c r="AP40" s="268"/>
      <c r="AQ40" s="268"/>
    </row>
    <row r="41" spans="3:43" x14ac:dyDescent="0.25">
      <c r="D41"/>
      <c r="E41" s="105"/>
      <c r="F41" t="s">
        <v>158</v>
      </c>
      <c r="G41" t="s">
        <v>270</v>
      </c>
      <c r="H41" s="268"/>
      <c r="I41" s="268"/>
      <c r="J41" s="269">
        <f t="shared" ref="J41:AO41" si="1">INDEX($J21:$Y21,J$37)</f>
        <v>2.0255668188196898</v>
      </c>
      <c r="K41" s="269">
        <f t="shared" si="1"/>
        <v>2.0255668188196898</v>
      </c>
      <c r="L41" s="269">
        <f t="shared" si="1"/>
        <v>1.9816450993552617</v>
      </c>
      <c r="M41" s="269">
        <f t="shared" si="1"/>
        <v>1.9816450993552617</v>
      </c>
      <c r="N41" s="269">
        <f t="shared" si="1"/>
        <v>1.9816450993552617</v>
      </c>
      <c r="O41" s="269">
        <f t="shared" si="1"/>
        <v>1.9816450993552617</v>
      </c>
      <c r="P41" s="269">
        <f t="shared" si="1"/>
        <v>1.9816450993552617</v>
      </c>
      <c r="Q41" s="269">
        <f t="shared" si="1"/>
        <v>1.9816450993552617</v>
      </c>
      <c r="R41" s="269">
        <f t="shared" si="1"/>
        <v>1.0970359548046356</v>
      </c>
      <c r="S41" s="269">
        <f t="shared" si="1"/>
        <v>1.0970359548046356</v>
      </c>
      <c r="T41" s="269">
        <f t="shared" si="1"/>
        <v>1.0970359548046356</v>
      </c>
      <c r="U41" s="269">
        <f t="shared" si="1"/>
        <v>1.0970359548046356</v>
      </c>
      <c r="V41" s="269">
        <f t="shared" si="1"/>
        <v>1.0970359548046356</v>
      </c>
      <c r="W41" s="269">
        <f t="shared" si="1"/>
        <v>0.49592572828189158</v>
      </c>
      <c r="X41" s="269">
        <f t="shared" si="1"/>
        <v>0.49592572828189158</v>
      </c>
      <c r="Y41" s="269">
        <f t="shared" si="1"/>
        <v>0.49592572828189158</v>
      </c>
      <c r="Z41" s="269">
        <f t="shared" si="1"/>
        <v>0.49592572828189158</v>
      </c>
      <c r="AA41" s="269">
        <f t="shared" si="1"/>
        <v>0.49592572828189158</v>
      </c>
      <c r="AB41" s="269">
        <f t="shared" si="1"/>
        <v>0.28752383061602405</v>
      </c>
      <c r="AC41" s="269">
        <f t="shared" si="1"/>
        <v>0.28752383061602405</v>
      </c>
      <c r="AD41" s="269">
        <f t="shared" si="1"/>
        <v>0.28752383061602405</v>
      </c>
      <c r="AE41" s="269">
        <f t="shared" si="1"/>
        <v>0.28752383061602405</v>
      </c>
      <c r="AF41" s="269">
        <f t="shared" si="1"/>
        <v>0.28752383061602405</v>
      </c>
      <c r="AG41" s="269">
        <f t="shared" si="1"/>
        <v>3.6473004752013618</v>
      </c>
      <c r="AH41" s="269">
        <f t="shared" si="1"/>
        <v>-1.2187972371241318</v>
      </c>
      <c r="AI41" s="269">
        <f t="shared" si="1"/>
        <v>-0.97486597250895268</v>
      </c>
      <c r="AJ41" s="269">
        <f t="shared" si="1"/>
        <v>-1.2187972371241318</v>
      </c>
      <c r="AK41" s="269">
        <f t="shared" si="1"/>
        <v>-1.2187972371241318</v>
      </c>
      <c r="AL41" s="269">
        <f t="shared" si="1"/>
        <v>-0.97486597250895268</v>
      </c>
      <c r="AM41" s="269">
        <f t="shared" si="1"/>
        <v>-0.97486597250895268</v>
      </c>
      <c r="AN41" s="269">
        <f t="shared" si="1"/>
        <v>-0.41388176026916063</v>
      </c>
      <c r="AO41" s="269">
        <f t="shared" si="1"/>
        <v>-0.41388176026916063</v>
      </c>
      <c r="AP41" s="268"/>
      <c r="AQ41" s="268"/>
    </row>
    <row r="42" spans="3:43" x14ac:dyDescent="0.25">
      <c r="D42"/>
      <c r="E42" s="105"/>
      <c r="F42" t="s">
        <v>159</v>
      </c>
      <c r="G42" t="s">
        <v>270</v>
      </c>
      <c r="H42" s="268"/>
      <c r="I42" s="268"/>
      <c r="J42" s="269">
        <f t="shared" ref="J42:AO42" si="2">INDEX($J22:$Y22,J$37)</f>
        <v>0.20028453291725412</v>
      </c>
      <c r="K42" s="269">
        <f t="shared" si="2"/>
        <v>0.20028453291725412</v>
      </c>
      <c r="L42" s="269">
        <f t="shared" si="2"/>
        <v>0.19594162949579028</v>
      </c>
      <c r="M42" s="269">
        <f t="shared" si="2"/>
        <v>0.19594162949579028</v>
      </c>
      <c r="N42" s="269">
        <f t="shared" si="2"/>
        <v>0.19594162949579028</v>
      </c>
      <c r="O42" s="269">
        <f t="shared" si="2"/>
        <v>0.19594162949579028</v>
      </c>
      <c r="P42" s="269">
        <f t="shared" si="2"/>
        <v>0.19594162949579028</v>
      </c>
      <c r="Q42" s="269">
        <f t="shared" si="2"/>
        <v>0.19594162949579028</v>
      </c>
      <c r="R42" s="269">
        <f t="shared" si="2"/>
        <v>0.11055342216280105</v>
      </c>
      <c r="S42" s="269">
        <f t="shared" si="2"/>
        <v>0.11055342216280105</v>
      </c>
      <c r="T42" s="269">
        <f t="shared" si="2"/>
        <v>0.11055342216280105</v>
      </c>
      <c r="U42" s="269">
        <f t="shared" si="2"/>
        <v>0.11055342216280105</v>
      </c>
      <c r="V42" s="269">
        <f t="shared" si="2"/>
        <v>0.11055342216280105</v>
      </c>
      <c r="W42" s="269">
        <f t="shared" si="2"/>
        <v>5.3511450595281604E-2</v>
      </c>
      <c r="X42" s="269">
        <f t="shared" si="2"/>
        <v>5.3511450595281604E-2</v>
      </c>
      <c r="Y42" s="269">
        <f t="shared" si="2"/>
        <v>5.3511450595281604E-2</v>
      </c>
      <c r="Z42" s="269">
        <f t="shared" si="2"/>
        <v>5.3511450595281604E-2</v>
      </c>
      <c r="AA42" s="269">
        <f t="shared" si="2"/>
        <v>5.3511450595281604E-2</v>
      </c>
      <c r="AB42" s="269">
        <f t="shared" si="2"/>
        <v>3.3267489359390272E-2</v>
      </c>
      <c r="AC42" s="269">
        <f t="shared" si="2"/>
        <v>3.3267489359390272E-2</v>
      </c>
      <c r="AD42" s="269">
        <f t="shared" si="2"/>
        <v>3.3267489359390272E-2</v>
      </c>
      <c r="AE42" s="269">
        <f t="shared" si="2"/>
        <v>3.3267489359390272E-2</v>
      </c>
      <c r="AF42" s="269">
        <f t="shared" si="2"/>
        <v>3.3267489359390272E-2</v>
      </c>
      <c r="AG42" s="269">
        <f t="shared" si="2"/>
        <v>1.5593410910780692</v>
      </c>
      <c r="AH42" s="269">
        <f t="shared" si="2"/>
        <v>-0.12051255633249795</v>
      </c>
      <c r="AI42" s="269">
        <f t="shared" si="2"/>
        <v>-9.7494314339578544E-2</v>
      </c>
      <c r="AJ42" s="269">
        <f t="shared" si="2"/>
        <v>-0.12051255633249795</v>
      </c>
      <c r="AK42" s="269">
        <f t="shared" si="2"/>
        <v>-0.12051255633249795</v>
      </c>
      <c r="AL42" s="269">
        <f t="shared" si="2"/>
        <v>-9.7494314339578544E-2</v>
      </c>
      <c r="AM42" s="269">
        <f t="shared" si="2"/>
        <v>-9.7494314339578544E-2</v>
      </c>
      <c r="AN42" s="269">
        <f t="shared" si="2"/>
        <v>-4.4658730337826823E-2</v>
      </c>
      <c r="AO42" s="269">
        <f t="shared" si="2"/>
        <v>-4.4658730337826823E-2</v>
      </c>
      <c r="AP42" s="268"/>
      <c r="AQ42" s="268"/>
    </row>
    <row r="43" spans="3:43" x14ac:dyDescent="0.25">
      <c r="D43"/>
      <c r="E43" s="105"/>
      <c r="F43" t="s">
        <v>160</v>
      </c>
      <c r="G43" t="s">
        <v>271</v>
      </c>
      <c r="J43" s="307">
        <f t="shared" ref="J43:AO43" si="3">INDEX($J23:$Y23,J$37)</f>
        <v>12.946189424369491</v>
      </c>
      <c r="K43" s="307">
        <f t="shared" si="3"/>
        <v>0</v>
      </c>
      <c r="L43" s="307">
        <f t="shared" si="3"/>
        <v>19.249864891018355</v>
      </c>
      <c r="M43" s="307">
        <f t="shared" si="3"/>
        <v>19.249864891018355</v>
      </c>
      <c r="N43" s="307">
        <f t="shared" si="3"/>
        <v>19.249864891018355</v>
      </c>
      <c r="O43" s="307">
        <f t="shared" si="3"/>
        <v>19.249864891018355</v>
      </c>
      <c r="P43" s="307">
        <f t="shared" si="3"/>
        <v>19.249864891018355</v>
      </c>
      <c r="Q43" s="307">
        <f t="shared" si="3"/>
        <v>0</v>
      </c>
      <c r="R43" s="307">
        <f t="shared" si="3"/>
        <v>19.085920524154083</v>
      </c>
      <c r="S43" s="307">
        <f t="shared" si="3"/>
        <v>19.085920524154083</v>
      </c>
      <c r="T43" s="307">
        <f t="shared" si="3"/>
        <v>19.085920524154083</v>
      </c>
      <c r="U43" s="307">
        <f t="shared" si="3"/>
        <v>19.085920524154083</v>
      </c>
      <c r="V43" s="307">
        <f t="shared" si="3"/>
        <v>19.085920524154083</v>
      </c>
      <c r="W43" s="307">
        <f t="shared" si="3"/>
        <v>14.898612013947742</v>
      </c>
      <c r="X43" s="307">
        <f t="shared" si="3"/>
        <v>14.898612013947742</v>
      </c>
      <c r="Y43" s="307">
        <f t="shared" si="3"/>
        <v>14.898612013947742</v>
      </c>
      <c r="Z43" s="307">
        <f t="shared" si="3"/>
        <v>14.898612013947742</v>
      </c>
      <c r="AA43" s="307">
        <f t="shared" si="3"/>
        <v>14.898612013947742</v>
      </c>
      <c r="AB43" s="307">
        <f t="shared" si="3"/>
        <v>137.54153750078822</v>
      </c>
      <c r="AC43" s="307">
        <f t="shared" si="3"/>
        <v>137.54153750078822</v>
      </c>
      <c r="AD43" s="307">
        <f t="shared" si="3"/>
        <v>137.54153750078822</v>
      </c>
      <c r="AE43" s="307">
        <f t="shared" si="3"/>
        <v>137.54153750078822</v>
      </c>
      <c r="AF43" s="307">
        <f t="shared" si="3"/>
        <v>137.54153750078822</v>
      </c>
      <c r="AG43" s="307">
        <f t="shared" si="3"/>
        <v>0</v>
      </c>
      <c r="AH43" s="307">
        <f t="shared" si="3"/>
        <v>0</v>
      </c>
      <c r="AI43" s="307">
        <f t="shared" si="3"/>
        <v>0</v>
      </c>
      <c r="AJ43" s="307">
        <f t="shared" si="3"/>
        <v>0</v>
      </c>
      <c r="AK43" s="307">
        <f t="shared" si="3"/>
        <v>0</v>
      </c>
      <c r="AL43" s="307">
        <f t="shared" si="3"/>
        <v>0</v>
      </c>
      <c r="AM43" s="307">
        <f t="shared" si="3"/>
        <v>0</v>
      </c>
      <c r="AN43" s="307">
        <f t="shared" si="3"/>
        <v>86.079364905669735</v>
      </c>
      <c r="AO43" s="307">
        <f t="shared" si="3"/>
        <v>86.079364905669735</v>
      </c>
    </row>
    <row r="44" spans="3:43" x14ac:dyDescent="0.25">
      <c r="D44"/>
      <c r="E44" s="105"/>
      <c r="F44" t="s">
        <v>161</v>
      </c>
      <c r="G44" t="s">
        <v>272</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12.912493254799603</v>
      </c>
      <c r="S44" s="307">
        <f t="shared" si="4"/>
        <v>12.912493254799603</v>
      </c>
      <c r="T44" s="307">
        <f t="shared" si="4"/>
        <v>12.912493254799603</v>
      </c>
      <c r="U44" s="307">
        <f t="shared" si="4"/>
        <v>12.912493254799603</v>
      </c>
      <c r="V44" s="307">
        <f t="shared" si="4"/>
        <v>12.912493254799603</v>
      </c>
      <c r="W44" s="307">
        <f t="shared" si="4"/>
        <v>11.05458065371368</v>
      </c>
      <c r="X44" s="307">
        <f t="shared" si="4"/>
        <v>11.05458065371368</v>
      </c>
      <c r="Y44" s="307">
        <f t="shared" si="4"/>
        <v>11.05458065371368</v>
      </c>
      <c r="Z44" s="307">
        <f t="shared" si="4"/>
        <v>11.05458065371368</v>
      </c>
      <c r="AA44" s="307">
        <f t="shared" si="4"/>
        <v>11.05458065371368</v>
      </c>
      <c r="AB44" s="307">
        <f t="shared" si="4"/>
        <v>10.616443931280937</v>
      </c>
      <c r="AC44" s="307">
        <f t="shared" si="4"/>
        <v>10.616443931280937</v>
      </c>
      <c r="AD44" s="307">
        <f t="shared" si="4"/>
        <v>10.616443931280937</v>
      </c>
      <c r="AE44" s="307">
        <f t="shared" si="4"/>
        <v>10.616443931280937</v>
      </c>
      <c r="AF44" s="307">
        <f t="shared" si="4"/>
        <v>10.616443931280937</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162</v>
      </c>
      <c r="G45" t="s">
        <v>272</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12.912493254799603</v>
      </c>
      <c r="S45" s="307">
        <f t="shared" si="5"/>
        <v>12.912493254799603</v>
      </c>
      <c r="T45" s="307">
        <f t="shared" si="5"/>
        <v>12.912493254799603</v>
      </c>
      <c r="U45" s="307">
        <f t="shared" si="5"/>
        <v>12.912493254799603</v>
      </c>
      <c r="V45" s="307">
        <f t="shared" si="5"/>
        <v>12.912493254799603</v>
      </c>
      <c r="W45" s="307">
        <f t="shared" si="5"/>
        <v>11.05458065371368</v>
      </c>
      <c r="X45" s="307">
        <f t="shared" si="5"/>
        <v>11.05458065371368</v>
      </c>
      <c r="Y45" s="307">
        <f t="shared" si="5"/>
        <v>11.05458065371368</v>
      </c>
      <c r="Z45" s="307">
        <f t="shared" si="5"/>
        <v>11.05458065371368</v>
      </c>
      <c r="AA45" s="307">
        <f t="shared" si="5"/>
        <v>11.05458065371368</v>
      </c>
      <c r="AB45" s="307">
        <f t="shared" si="5"/>
        <v>10.616443931280937</v>
      </c>
      <c r="AC45" s="307">
        <f t="shared" si="5"/>
        <v>10.616443931280937</v>
      </c>
      <c r="AD45" s="307">
        <f t="shared" si="5"/>
        <v>10.616443931280937</v>
      </c>
      <c r="AE45" s="307">
        <f t="shared" si="5"/>
        <v>10.616443931280937</v>
      </c>
      <c r="AF45" s="307">
        <f t="shared" si="5"/>
        <v>10.616443931280937</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163</v>
      </c>
      <c r="G46" s="96" t="s">
        <v>273</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0.25264310707810089</v>
      </c>
      <c r="S46" s="271">
        <f t="shared" si="6"/>
        <v>0.25264310707810089</v>
      </c>
      <c r="T46" s="271">
        <f t="shared" si="6"/>
        <v>0.25264310707810089</v>
      </c>
      <c r="U46" s="271">
        <f t="shared" si="6"/>
        <v>0.25264310707810089</v>
      </c>
      <c r="V46" s="271">
        <f t="shared" si="6"/>
        <v>0.25264310707810089</v>
      </c>
      <c r="W46" s="271">
        <f t="shared" si="6"/>
        <v>0.13863470006128026</v>
      </c>
      <c r="X46" s="271">
        <f t="shared" si="6"/>
        <v>0.13863470006128026</v>
      </c>
      <c r="Y46" s="271">
        <f t="shared" si="6"/>
        <v>0.13863470006128026</v>
      </c>
      <c r="Z46" s="271">
        <f t="shared" si="6"/>
        <v>0.13863470006128026</v>
      </c>
      <c r="AA46" s="271">
        <f t="shared" si="6"/>
        <v>0.13863470006128026</v>
      </c>
      <c r="AB46" s="271">
        <f t="shared" si="6"/>
        <v>9.6603194796647043E-2</v>
      </c>
      <c r="AC46" s="271">
        <f t="shared" si="6"/>
        <v>9.6603194796647043E-2</v>
      </c>
      <c r="AD46" s="271">
        <f t="shared" si="6"/>
        <v>9.6603194796647043E-2</v>
      </c>
      <c r="AE46" s="271">
        <f t="shared" si="6"/>
        <v>9.6603194796647043E-2</v>
      </c>
      <c r="AF46" s="271">
        <f t="shared" si="6"/>
        <v>9.6603194796647043E-2</v>
      </c>
      <c r="AG46" s="271">
        <f t="shared" si="6"/>
        <v>0</v>
      </c>
      <c r="AH46" s="271">
        <f t="shared" si="6"/>
        <v>0</v>
      </c>
      <c r="AI46" s="271">
        <f t="shared" si="6"/>
        <v>0</v>
      </c>
      <c r="AJ46" s="271">
        <f t="shared" si="6"/>
        <v>0.31225598745472138</v>
      </c>
      <c r="AK46" s="271">
        <f t="shared" si="6"/>
        <v>0</v>
      </c>
      <c r="AL46" s="271">
        <f t="shared" si="6"/>
        <v>0.22398663020284471</v>
      </c>
      <c r="AM46" s="271">
        <f t="shared" si="6"/>
        <v>0</v>
      </c>
      <c r="AN46" s="271">
        <f t="shared" si="6"/>
        <v>0.18734964255838274</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830</v>
      </c>
      <c r="F48" s="193"/>
      <c r="G48" t="s">
        <v>271</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693</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983</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979</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157</v>
      </c>
      <c r="G53" s="95" t="s">
        <v>208</v>
      </c>
      <c r="H53" s="8">
        <v>0</v>
      </c>
      <c r="I53" s="95"/>
      <c r="J53" s="260">
        <f>INDEX('Volume adjustments'!$J$481:$Y$521, J$36 + 1 + $H53*$H$59, J$37)</f>
        <v>438764.76682252146</v>
      </c>
      <c r="K53" s="260">
        <f>INDEX('Volume adjustments'!$J$481:$Y$521, K$36 + 1 + $H53*$H$59, K$37)</f>
        <v>36.928307828276772</v>
      </c>
      <c r="L53" s="260">
        <f>INDEX('Volume adjustments'!$J$481:$Y$521, L$36 + 1 + $H53*$H$59, L$37)</f>
        <v>110.22088993802085</v>
      </c>
      <c r="M53" s="260">
        <f>INDEX('Volume adjustments'!$J$481:$Y$521, M$36 + 1 + $H53*$H$59, M$37)</f>
        <v>8837.4372229143428</v>
      </c>
      <c r="N53" s="260">
        <f>INDEX('Volume adjustments'!$J$481:$Y$521, N$36 + 1 + $H53*$H$59, N$37)</f>
        <v>25872.123685434846</v>
      </c>
      <c r="O53" s="260">
        <f>INDEX('Volume adjustments'!$J$481:$Y$521, O$36 + 1 + $H53*$H$59, O$37)</f>
        <v>21143.134077991195</v>
      </c>
      <c r="P53" s="260">
        <f>INDEX('Volume adjustments'!$J$481:$Y$521, P$36 + 1 + $H53*$H$59, P$37)</f>
        <v>53471.120246528364</v>
      </c>
      <c r="Q53" s="260">
        <f>INDEX('Volume adjustments'!$J$481:$Y$521, Q$36 + 1 + $H53*$H$59, Q$37)</f>
        <v>26.004708483632935</v>
      </c>
      <c r="R53" s="260">
        <f>INDEX('Volume adjustments'!$J$481:$Y$521, R$36 + 1 + $H53*$H$59, R$37)</f>
        <v>129.50544300070618</v>
      </c>
      <c r="S53" s="260">
        <f>INDEX('Volume adjustments'!$J$481:$Y$521, S$36 + 1 + $H53*$H$59, S$37)</f>
        <v>28966.177273742094</v>
      </c>
      <c r="T53" s="260">
        <f>INDEX('Volume adjustments'!$J$481:$Y$521, T$36 + 1 + $H53*$H$59, T$37)</f>
        <v>25503.656211323978</v>
      </c>
      <c r="U53" s="260">
        <f>INDEX('Volume adjustments'!$J$481:$Y$521, U$36 + 1 + $H53*$H$59, U$37)</f>
        <v>18512.445429425872</v>
      </c>
      <c r="V53" s="260">
        <f>INDEX('Volume adjustments'!$J$481:$Y$521, V$36 + 1 + $H53*$H$59, V$37)</f>
        <v>17196.907469236761</v>
      </c>
      <c r="W53" s="260">
        <f>INDEX('Volume adjustments'!$J$481:$Y$521, W$36 + 1 + $H53*$H$59, W$37)</f>
        <v>39.501171005630091</v>
      </c>
      <c r="X53" s="260">
        <f>INDEX('Volume adjustments'!$J$481:$Y$521, X$36 + 1 + $H53*$H$59, X$37)</f>
        <v>2911.3441055235471</v>
      </c>
      <c r="Y53" s="260">
        <f>INDEX('Volume adjustments'!$J$481:$Y$521, Y$36 + 1 + $H53*$H$59, Y$37)</f>
        <v>5339.2572559956634</v>
      </c>
      <c r="Z53" s="260">
        <f>INDEX('Volume adjustments'!$J$481:$Y$521, Z$36 + 1 + $H53*$H$59, Z$37)</f>
        <v>8150.9479574246043</v>
      </c>
      <c r="AA53" s="260">
        <f>INDEX('Volume adjustments'!$J$481:$Y$521, AA$36 + 1 + $H53*$H$59, AA$37)</f>
        <v>24808.375901120831</v>
      </c>
      <c r="AB53" s="260">
        <f>INDEX('Volume adjustments'!$J$481:$Y$521, AB$36 + 1 + $H53*$H$59, AB$37)</f>
        <v>471.94648344763874</v>
      </c>
      <c r="AC53" s="260">
        <f>INDEX('Volume adjustments'!$J$481:$Y$521, AC$36 + 1 + $H53*$H$59, AC$37)</f>
        <v>16772.556915985522</v>
      </c>
      <c r="AD53" s="260">
        <f>INDEX('Volume adjustments'!$J$481:$Y$521, AD$36 + 1 + $H53*$H$59, AD$37)</f>
        <v>31102.699588118739</v>
      </c>
      <c r="AE53" s="260">
        <f>INDEX('Volume adjustments'!$J$481:$Y$521, AE$36 + 1 + $H53*$H$59, AE$37)</f>
        <v>29116.286104214414</v>
      </c>
      <c r="AF53" s="260">
        <f>INDEX('Volume adjustments'!$J$481:$Y$521, AF$36 + 1 + $H53*$H$59, AF$37)</f>
        <v>50009.561037248597</v>
      </c>
      <c r="AG53" s="260">
        <f>INDEX('Volume adjustments'!$J$481:$Y$521, AG$36 + 1 + $H53*$H$59, AG$37)</f>
        <v>2860.6386819365989</v>
      </c>
      <c r="AH53" s="260">
        <f>INDEX('Volume adjustments'!$J$481:$Y$521, AH$36 + 1 + $H53*$H$59, AH$37)</f>
        <v>11199.507843454163</v>
      </c>
      <c r="AI53" s="260">
        <f>INDEX('Volume adjustments'!$J$481:$Y$521, AI$36 + 1 + $H53*$H$59, AI$37)</f>
        <v>1296.193700379747</v>
      </c>
      <c r="AJ53" s="260">
        <f>INDEX('Volume adjustments'!$J$481:$Y$521, AJ$36 + 1 + $H53*$H$59, AJ$37)</f>
        <v>4453.5338269398771</v>
      </c>
      <c r="AK53" s="260">
        <f>INDEX('Volume adjustments'!$J$481:$Y$521, AK$36 + 1 + $H53*$H$59, AK$37)</f>
        <v>0</v>
      </c>
      <c r="AL53" s="260">
        <f>INDEX('Volume adjustments'!$J$481:$Y$521, AL$36 + 1 + $H53*$H$59, AL$37)</f>
        <v>0</v>
      </c>
      <c r="AM53" s="260">
        <f>INDEX('Volume adjustments'!$J$481:$Y$521, AM$36 + 1 + $H53*$H$59, AM$37)</f>
        <v>0</v>
      </c>
      <c r="AN53" s="260">
        <f>INDEX('Volume adjustments'!$J$481:$Y$521, AN$36 + 1 + $H53*$H$59, AN$37)</f>
        <v>57918.120807023566</v>
      </c>
      <c r="AO53" s="260">
        <f>INDEX('Volume adjustments'!$J$481:$Y$521, AO$36 + 1 + $H53*$H$59, AO$37)</f>
        <v>0</v>
      </c>
    </row>
    <row r="54" spans="1:41" x14ac:dyDescent="0.25">
      <c r="D54" s="105"/>
      <c r="F54" t="s">
        <v>158</v>
      </c>
      <c r="G54" t="s">
        <v>208</v>
      </c>
      <c r="H54" s="7">
        <v>1</v>
      </c>
      <c r="J54" s="312">
        <f>INDEX('Volume adjustments'!$J$481:$Y$521, J$36 + 1 + $H54*$H$59, J$37)</f>
        <v>2326173.3938634903</v>
      </c>
      <c r="K54" s="312">
        <f>INDEX('Volume adjustments'!$J$481:$Y$521, K$36 + 1 + $H54*$H$59, K$37)</f>
        <v>2889.7541426122689</v>
      </c>
      <c r="L54" s="312">
        <f>INDEX('Volume adjustments'!$J$481:$Y$521, L$36 + 1 + $H54*$H$59, L$37)</f>
        <v>942.04155705548749</v>
      </c>
      <c r="M54" s="312">
        <f>INDEX('Volume adjustments'!$J$481:$Y$521, M$36 + 1 + $H54*$H$59, M$37)</f>
        <v>74438.875574890757</v>
      </c>
      <c r="N54" s="312">
        <f>INDEX('Volume adjustments'!$J$481:$Y$521, N$36 + 1 + $H54*$H$59, N$37)</f>
        <v>217922.87402057351</v>
      </c>
      <c r="O54" s="312">
        <f>INDEX('Volume adjustments'!$J$481:$Y$521, O$36 + 1 + $H54*$H$59, O$37)</f>
        <v>178079.4913694133</v>
      </c>
      <c r="P54" s="312">
        <f>INDEX('Volume adjustments'!$J$481:$Y$521, P$36 + 1 + $H54*$H$59, P$37)</f>
        <v>450276.28890431771</v>
      </c>
      <c r="Q54" s="312">
        <f>INDEX('Volume adjustments'!$J$481:$Y$521, Q$36 + 1 + $H54*$H$59, Q$37)</f>
        <v>1591.5677042444584</v>
      </c>
      <c r="R54" s="312">
        <f>INDEX('Volume adjustments'!$J$481:$Y$521, R$36 + 1 + $H54*$H$59, R$37)</f>
        <v>856.71139491996382</v>
      </c>
      <c r="S54" s="312">
        <f>INDEX('Volume adjustments'!$J$481:$Y$521, S$36 + 1 + $H54*$H$59, S$37)</f>
        <v>206519.99534722982</v>
      </c>
      <c r="T54" s="312">
        <f>INDEX('Volume adjustments'!$J$481:$Y$521, T$36 + 1 + $H54*$H$59, T$37)</f>
        <v>181722.28739133276</v>
      </c>
      <c r="U54" s="312">
        <f>INDEX('Volume adjustments'!$J$481:$Y$521, U$36 + 1 + $H54*$H$59, U$37)</f>
        <v>131780.09024866749</v>
      </c>
      <c r="V54" s="312">
        <f>INDEX('Volume adjustments'!$J$481:$Y$521, V$36 + 1 + $H54*$H$59, V$37)</f>
        <v>121584.911941909</v>
      </c>
      <c r="W54" s="312">
        <f>INDEX('Volume adjustments'!$J$481:$Y$521, W$36 + 1 + $H54*$H$59, W$37)</f>
        <v>434.30240671719349</v>
      </c>
      <c r="X54" s="312">
        <f>INDEX('Volume adjustments'!$J$481:$Y$521, X$36 + 1 + $H54*$H$59, X$37)</f>
        <v>20771.059895505616</v>
      </c>
      <c r="Y54" s="312">
        <f>INDEX('Volume adjustments'!$J$481:$Y$521, Y$36 + 1 + $H54*$H$59, Y$37)</f>
        <v>38092.453428061002</v>
      </c>
      <c r="Z54" s="312">
        <f>INDEX('Volume adjustments'!$J$481:$Y$521, Z$36 + 1 + $H54*$H$59, Z$37)</f>
        <v>58094.309258051326</v>
      </c>
      <c r="AA54" s="312">
        <f>INDEX('Volume adjustments'!$J$481:$Y$521, AA$36 + 1 + $H54*$H$59, AA$37)</f>
        <v>176452.21081943181</v>
      </c>
      <c r="AB54" s="312">
        <f>INDEX('Volume adjustments'!$J$481:$Y$521, AB$36 + 1 + $H54*$H$59, AB$37)</f>
        <v>7574.7482435674356</v>
      </c>
      <c r="AC54" s="312">
        <f>INDEX('Volume adjustments'!$J$481:$Y$521, AC$36 + 1 + $H54*$H$59, AC$37)</f>
        <v>114903.87344757051</v>
      </c>
      <c r="AD54" s="312">
        <f>INDEX('Volume adjustments'!$J$481:$Y$521, AD$36 + 1 + $H54*$H$59, AD$37)</f>
        <v>213134.60028562334</v>
      </c>
      <c r="AE54" s="312">
        <f>INDEX('Volume adjustments'!$J$481:$Y$521, AE$36 + 1 + $H54*$H$59, AE$37)</f>
        <v>199124.55782620906</v>
      </c>
      <c r="AF54" s="312">
        <f>INDEX('Volume adjustments'!$J$481:$Y$521, AF$36 + 1 + $H54*$H$59, AF$37)</f>
        <v>342394.63645892672</v>
      </c>
      <c r="AG54" s="312">
        <f>INDEX('Volume adjustments'!$J$481:$Y$521, AG$36 + 1 + $H54*$H$59, AG$37)</f>
        <v>30425.348505603444</v>
      </c>
      <c r="AH54" s="312">
        <f>INDEX('Volume adjustments'!$J$481:$Y$521, AH$36 + 1 + $H54*$H$59, AH$37)</f>
        <v>122385.50091081993</v>
      </c>
      <c r="AI54" s="312">
        <f>INDEX('Volume adjustments'!$J$481:$Y$521, AI$36 + 1 + $H54*$H$59, AI$37)</f>
        <v>11378.491454160423</v>
      </c>
      <c r="AJ54" s="312">
        <f>INDEX('Volume adjustments'!$J$481:$Y$521, AJ$36 + 1 + $H54*$H$59, AJ$37)</f>
        <v>42162.359126339878</v>
      </c>
      <c r="AK54" s="312">
        <f>INDEX('Volume adjustments'!$J$481:$Y$521, AK$36 + 1 + $H54*$H$59, AK$37)</f>
        <v>0</v>
      </c>
      <c r="AL54" s="312">
        <f>INDEX('Volume adjustments'!$J$481:$Y$521, AL$36 + 1 + $H54*$H$59, AL$37)</f>
        <v>0</v>
      </c>
      <c r="AM54" s="312">
        <f>INDEX('Volume adjustments'!$J$481:$Y$521, AM$36 + 1 + $H54*$H$59, AM$37)</f>
        <v>0</v>
      </c>
      <c r="AN54" s="312">
        <f>INDEX('Volume adjustments'!$J$481:$Y$521, AN$36 + 1 + $H54*$H$59, AN$37)</f>
        <v>316726.54989568843</v>
      </c>
      <c r="AO54" s="312">
        <f>INDEX('Volume adjustments'!$J$481:$Y$521, AO$36 + 1 + $H54*$H$59, AO$37)</f>
        <v>0</v>
      </c>
    </row>
    <row r="55" spans="1:41" x14ac:dyDescent="0.25">
      <c r="D55" s="105"/>
      <c r="F55" t="s">
        <v>159</v>
      </c>
      <c r="G55" t="s">
        <v>208</v>
      </c>
      <c r="H55" s="7">
        <v>2</v>
      </c>
      <c r="J55" s="312">
        <f>INDEX('Volume adjustments'!$J$481:$Y$521, J$36 + 1 + $H55*$H$59, J$37)</f>
        <v>2765513.5778142381</v>
      </c>
      <c r="K55" s="312">
        <f>INDEX('Volume adjustments'!$J$481:$Y$521, K$36 + 1 + $H55*$H$59, K$37)</f>
        <v>22694.611658437898</v>
      </c>
      <c r="L55" s="312">
        <f>INDEX('Volume adjustments'!$J$481:$Y$521, L$36 + 1 + $H55*$H$59, L$37)</f>
        <v>799.08941219628446</v>
      </c>
      <c r="M55" s="312">
        <f>INDEX('Volume adjustments'!$J$481:$Y$521, M$36 + 1 + $H55*$H$59, M$37)</f>
        <v>60065.482726741175</v>
      </c>
      <c r="N55" s="312">
        <f>INDEX('Volume adjustments'!$J$481:$Y$521, N$36 + 1 + $H55*$H$59, N$37)</f>
        <v>175954.1390950426</v>
      </c>
      <c r="O55" s="312">
        <f>INDEX('Volume adjustments'!$J$481:$Y$521, O$36 + 1 + $H55*$H$59, O$37)</f>
        <v>143771.71001719512</v>
      </c>
      <c r="P55" s="312">
        <f>INDEX('Volume adjustments'!$J$481:$Y$521, P$36 + 1 + $H55*$H$59, P$37)</f>
        <v>363546.47451863921</v>
      </c>
      <c r="Q55" s="312">
        <f>INDEX('Volume adjustments'!$J$481:$Y$521, Q$36 + 1 + $H55*$H$59, Q$37)</f>
        <v>11266.245993465296</v>
      </c>
      <c r="R55" s="312">
        <f>INDEX('Volume adjustments'!$J$481:$Y$521, R$36 + 1 + $H55*$H$59, R$37)</f>
        <v>1018.4553052564441</v>
      </c>
      <c r="S55" s="312">
        <f>INDEX('Volume adjustments'!$J$481:$Y$521, S$36 + 1 + $H55*$H$59, S$37)</f>
        <v>188416.95583883696</v>
      </c>
      <c r="T55" s="312">
        <f>INDEX('Volume adjustments'!$J$481:$Y$521, T$36 + 1 + $H55*$H$59, T$37)</f>
        <v>165672.63780393818</v>
      </c>
      <c r="U55" s="312">
        <f>INDEX('Volume adjustments'!$J$481:$Y$521, U$36 + 1 + $H55*$H$59, U$37)</f>
        <v>119583.67932078311</v>
      </c>
      <c r="V55" s="312">
        <f>INDEX('Volume adjustments'!$J$481:$Y$521, V$36 + 1 + $H55*$H$59, V$37)</f>
        <v>111105.16734818177</v>
      </c>
      <c r="W55" s="312">
        <f>INDEX('Volume adjustments'!$J$481:$Y$521, W$36 + 1 + $H55*$H$59, W$37)</f>
        <v>289.40239347849558</v>
      </c>
      <c r="X55" s="312">
        <f>INDEX('Volume adjustments'!$J$481:$Y$521, X$36 + 1 + $H55*$H$59, X$37)</f>
        <v>21026.992263570053</v>
      </c>
      <c r="Y55" s="312">
        <f>INDEX('Volume adjustments'!$J$481:$Y$521, Y$36 + 1 + $H55*$H$59, Y$37)</f>
        <v>38563.122904876298</v>
      </c>
      <c r="Z55" s="312">
        <f>INDEX('Volume adjustments'!$J$481:$Y$521, Z$36 + 1 + $H55*$H$59, Z$37)</f>
        <v>58854.971651760308</v>
      </c>
      <c r="AA55" s="312">
        <f>INDEX('Volume adjustments'!$J$481:$Y$521, AA$36 + 1 + $H55*$H$59, AA$37)</f>
        <v>175773.71463295951</v>
      </c>
      <c r="AB55" s="312">
        <f>INDEX('Volume adjustments'!$J$481:$Y$521, AB$36 + 1 + $H55*$H$59, AB$37)</f>
        <v>10292.028157480876</v>
      </c>
      <c r="AC55" s="312">
        <f>INDEX('Volume adjustments'!$J$481:$Y$521, AC$36 + 1 + $H55*$H$59, AC$37)</f>
        <v>129392.77752484499</v>
      </c>
      <c r="AD55" s="312">
        <f>INDEX('Volume adjustments'!$J$481:$Y$521, AD$36 + 1 + $H55*$H$59, AD$37)</f>
        <v>239695.80685766402</v>
      </c>
      <c r="AE55" s="312">
        <f>INDEX('Volume adjustments'!$J$481:$Y$521, AE$36 + 1 + $H55*$H$59, AE$37)</f>
        <v>224595.62895580821</v>
      </c>
      <c r="AF55" s="312">
        <f>INDEX('Volume adjustments'!$J$481:$Y$521, AF$36 + 1 + $H55*$H$59, AF$37)</f>
        <v>385798.90119158186</v>
      </c>
      <c r="AG55" s="312">
        <f>INDEX('Volume adjustments'!$J$481:$Y$521, AG$36 + 1 + $H55*$H$59, AG$37)</f>
        <v>65820.427370404781</v>
      </c>
      <c r="AH55" s="312">
        <f>INDEX('Volume adjustments'!$J$481:$Y$521, AH$36 + 1 + $H55*$H$59, AH$37)</f>
        <v>50604.015593424534</v>
      </c>
      <c r="AI55" s="312">
        <f>INDEX('Volume adjustments'!$J$481:$Y$521, AI$36 + 1 + $H55*$H$59, AI$37)</f>
        <v>11582.900696102439</v>
      </c>
      <c r="AJ55" s="312">
        <f>INDEX('Volume adjustments'!$J$481:$Y$521, AJ$36 + 1 + $H55*$H$59, AJ$37)</f>
        <v>30711.018749331204</v>
      </c>
      <c r="AK55" s="312">
        <f>INDEX('Volume adjustments'!$J$481:$Y$521, AK$36 + 1 + $H55*$H$59, AK$37)</f>
        <v>0</v>
      </c>
      <c r="AL55" s="312">
        <f>INDEX('Volume adjustments'!$J$481:$Y$521, AL$36 + 1 + $H55*$H$59, AL$37)</f>
        <v>0</v>
      </c>
      <c r="AM55" s="312">
        <f>INDEX('Volume adjustments'!$J$481:$Y$521, AM$36 + 1 + $H55*$H$59, AM$37)</f>
        <v>0</v>
      </c>
      <c r="AN55" s="312">
        <f>INDEX('Volume adjustments'!$J$481:$Y$521, AN$36 + 1 + $H55*$H$59, AN$37)</f>
        <v>252665.02390971759</v>
      </c>
      <c r="AO55" s="312">
        <f>INDEX('Volume adjustments'!$J$481:$Y$521, AO$36 + 1 + $H55*$H$59, AO$37)</f>
        <v>0</v>
      </c>
    </row>
    <row r="56" spans="1:41" x14ac:dyDescent="0.25">
      <c r="D56" s="105"/>
      <c r="F56" t="s">
        <v>213</v>
      </c>
      <c r="G56" t="s">
        <v>213</v>
      </c>
      <c r="H56" s="7">
        <v>3</v>
      </c>
      <c r="J56" s="312">
        <f>INDEX('Volume adjustments'!$J$481:$Y$521, J$36 + 1 + $H56*$H$59, J$37)</f>
        <v>1561399.8065674652</v>
      </c>
      <c r="K56" s="312">
        <f>INDEX('Volume adjustments'!$J$481:$Y$521, K$36 + 1 + $H56*$H$59, K$37)</f>
        <v>0</v>
      </c>
      <c r="L56" s="312">
        <f>INDEX('Volume adjustments'!$J$481:$Y$521, L$36 + 1 + $H56*$H$59, L$37)</f>
        <v>200.66313779862551</v>
      </c>
      <c r="M56" s="312">
        <f>INDEX('Volume adjustments'!$J$481:$Y$521, M$36 + 1 + $H56*$H$59, M$37)</f>
        <v>60526.820419003758</v>
      </c>
      <c r="N56" s="312">
        <f>INDEX('Volume adjustments'!$J$481:$Y$521, N$36 + 1 + $H56*$H$59, N$37)</f>
        <v>43509.210892087875</v>
      </c>
      <c r="O56" s="312">
        <f>INDEX('Volume adjustments'!$J$481:$Y$521, O$36 + 1 + $H56*$H$59, O$37)</f>
        <v>17687.373926380194</v>
      </c>
      <c r="P56" s="312">
        <f>INDEX('Volume adjustments'!$J$481:$Y$521, P$36 + 1 + $H56*$H$59, P$37)</f>
        <v>18401.881559253805</v>
      </c>
      <c r="Q56" s="312">
        <f>INDEX('Volume adjustments'!$J$481:$Y$521, Q$36 + 1 + $H56*$H$59, Q$37)</f>
        <v>0</v>
      </c>
      <c r="R56" s="312">
        <f>INDEX('Volume adjustments'!$J$481:$Y$521, R$36 + 1 + $H56*$H$59, R$37)</f>
        <v>70.677801427237753</v>
      </c>
      <c r="S56" s="312">
        <f>INDEX('Volume adjustments'!$J$481:$Y$521, S$36 + 1 + $H56*$H$59, S$37)</f>
        <v>4840.1397864801875</v>
      </c>
      <c r="T56" s="312">
        <f>INDEX('Volume adjustments'!$J$481:$Y$521, T$36 + 1 + $H56*$H$59, T$37)</f>
        <v>2414.9626783771373</v>
      </c>
      <c r="U56" s="312">
        <f>INDEX('Volume adjustments'!$J$481:$Y$521, U$36 + 1 + $H56*$H$59, U$37)</f>
        <v>1158.8780163302902</v>
      </c>
      <c r="V56" s="312">
        <f>INDEX('Volume adjustments'!$J$481:$Y$521, V$36 + 1 + $H56*$H$59, V$37)</f>
        <v>568.19135570945821</v>
      </c>
      <c r="W56" s="312">
        <f>INDEX('Volume adjustments'!$J$481:$Y$521, W$36 + 1 + $H56*$H$59, W$37)</f>
        <v>11.234604758434388</v>
      </c>
      <c r="X56" s="312">
        <f>INDEX('Volume adjustments'!$J$481:$Y$521, X$36 + 1 + $H56*$H$59, X$37)</f>
        <v>382.30885363765054</v>
      </c>
      <c r="Y56" s="312">
        <f>INDEX('Volume adjustments'!$J$481:$Y$521, Y$36 + 1 + $H56*$H$59, Y$37)</f>
        <v>409.79946058127348</v>
      </c>
      <c r="Z56" s="312">
        <f>INDEX('Volume adjustments'!$J$481:$Y$521, Z$36 + 1 + $H56*$H$59, Z$37)</f>
        <v>384.18082605916283</v>
      </c>
      <c r="AA56" s="312">
        <f>INDEX('Volume adjustments'!$J$481:$Y$521, AA$36 + 1 + $H56*$H$59, AA$37)</f>
        <v>537.09992775594071</v>
      </c>
      <c r="AB56" s="312">
        <f>INDEX('Volume adjustments'!$J$481:$Y$521, AB$36 + 1 + $H56*$H$59, AB$37)</f>
        <v>166.27312445158776</v>
      </c>
      <c r="AC56" s="312">
        <f>INDEX('Volume adjustments'!$J$481:$Y$521, AC$36 + 1 + $H56*$H$59, AC$37)</f>
        <v>399.43603715306864</v>
      </c>
      <c r="AD56" s="312">
        <f>INDEX('Volume adjustments'!$J$481:$Y$521, AD$36 + 1 + $H56*$H$59, AD$37)</f>
        <v>320.90602854317882</v>
      </c>
      <c r="AE56" s="312">
        <f>INDEX('Volume adjustments'!$J$481:$Y$521, AE$36 + 1 + $H56*$H$59, AE$37)</f>
        <v>132.75415955899788</v>
      </c>
      <c r="AF56" s="312">
        <f>INDEX('Volume adjustments'!$J$481:$Y$521, AF$36 + 1 + $H56*$H$59, AF$37)</f>
        <v>118.44807664991369</v>
      </c>
      <c r="AG56" s="312">
        <f>INDEX('Volume adjustments'!$J$481:$Y$521, AG$36 + 1 + $H56*$H$59, AG$37)</f>
        <v>1793.052617583103</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320.50176836858998</v>
      </c>
      <c r="AO56" s="312">
        <f>INDEX('Volume adjustments'!$J$481:$Y$521, AO$36 + 1 + $H56*$H$59, AO$37)</f>
        <v>0</v>
      </c>
    </row>
    <row r="57" spans="1:41" x14ac:dyDescent="0.25">
      <c r="D57" s="105"/>
      <c r="F57" t="s">
        <v>694</v>
      </c>
      <c r="G57" t="s">
        <v>252</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2575.1243165986407</v>
      </c>
      <c r="S57" s="312">
        <f>INDEX('Volume adjustments'!$J$481:$Y$521, S$36 + 1 + $H57*$H$59, S$37)</f>
        <v>215854.20806633524</v>
      </c>
      <c r="T57" s="312">
        <f>INDEX('Volume adjustments'!$J$481:$Y$521, T$36 + 1 + $H57*$H$59, T$37)</f>
        <v>280897.15435304202</v>
      </c>
      <c r="U57" s="312">
        <f>INDEX('Volume adjustments'!$J$481:$Y$521, U$36 + 1 + $H57*$H$59, U$37)</f>
        <v>217929.11546584047</v>
      </c>
      <c r="V57" s="312">
        <f>INDEX('Volume adjustments'!$J$481:$Y$521, V$36 + 1 + $H57*$H$59, V$37)</f>
        <v>229453.25734675518</v>
      </c>
      <c r="W57" s="312">
        <f>INDEX('Volume adjustments'!$J$481:$Y$521, W$36 + 1 + $H57*$H$59, W$37)</f>
        <v>823.52012126469754</v>
      </c>
      <c r="X57" s="312">
        <f>INDEX('Volume adjustments'!$J$481:$Y$521, X$36 + 1 + $H57*$H$59, X$37)</f>
        <v>20797.24763972445</v>
      </c>
      <c r="Y57" s="312">
        <f>INDEX('Volume adjustments'!$J$481:$Y$521, Y$36 + 1 + $H57*$H$59, Y$37)</f>
        <v>51037.036254424456</v>
      </c>
      <c r="Z57" s="312">
        <f>INDEX('Volume adjustments'!$J$481:$Y$521, Z$36 + 1 + $H57*$H$59, Z$37)</f>
        <v>78651.90763847687</v>
      </c>
      <c r="AA57" s="312">
        <f>INDEX('Volume adjustments'!$J$481:$Y$521, AA$36 + 1 + $H57*$H$59, AA$37)</f>
        <v>245678.25758925237</v>
      </c>
      <c r="AB57" s="312">
        <f>INDEX('Volume adjustments'!$J$481:$Y$521, AB$36 + 1 + $H57*$H$59, AB$37)</f>
        <v>29704.539007986918</v>
      </c>
      <c r="AC57" s="312">
        <f>INDEX('Volume adjustments'!$J$481:$Y$521, AC$36 + 1 + $H57*$H$59, AC$37)</f>
        <v>110601.53153037807</v>
      </c>
      <c r="AD57" s="312">
        <f>INDEX('Volume adjustments'!$J$481:$Y$521, AD$36 + 1 + $H57*$H$59, AD$37)</f>
        <v>232758.40545438204</v>
      </c>
      <c r="AE57" s="312">
        <f>INDEX('Volume adjustments'!$J$481:$Y$521, AE$36 + 1 + $H57*$H$59, AE$37)</f>
        <v>190815.09053250562</v>
      </c>
      <c r="AF57" s="312">
        <f>INDEX('Volume adjustments'!$J$481:$Y$521, AF$36 + 1 + $H57*$H$59, AF$37)</f>
        <v>426550.47784776025</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253</v>
      </c>
      <c r="G58" t="s">
        <v>252</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193.55191256830602</v>
      </c>
      <c r="S58" s="312">
        <f>INDEX('Volume adjustments'!$J$481:$Y$521, S$36 + 1 + $H58*$H$59, S$37)</f>
        <v>6813.3052214002355</v>
      </c>
      <c r="T58" s="312">
        <f>INDEX('Volume adjustments'!$J$481:$Y$521, T$36 + 1 + $H58*$H$59, T$37)</f>
        <v>8615.2241070332857</v>
      </c>
      <c r="U58" s="312">
        <f>INDEX('Volume adjustments'!$J$481:$Y$521, U$36 + 1 + $H58*$H$59, U$37)</f>
        <v>6506.4753878326692</v>
      </c>
      <c r="V58" s="312">
        <f>INDEX('Volume adjustments'!$J$481:$Y$521, V$36 + 1 + $H58*$H$59, V$37)</f>
        <v>5633.085839009309</v>
      </c>
      <c r="W58" s="312">
        <f>INDEX('Volume adjustments'!$J$481:$Y$521, W$36 + 1 + $H58*$H$59, W$37)</f>
        <v>66.306010928961754</v>
      </c>
      <c r="X58" s="312">
        <f>INDEX('Volume adjustments'!$J$481:$Y$521, X$36 + 1 + $H58*$H$59, X$37)</f>
        <v>243.38073583802102</v>
      </c>
      <c r="Y58" s="312">
        <f>INDEX('Volume adjustments'!$J$481:$Y$521, Y$36 + 1 + $H58*$H$59, Y$37)</f>
        <v>595.82097977499575</v>
      </c>
      <c r="Z58" s="312">
        <f>INDEX('Volume adjustments'!$J$481:$Y$521, Z$36 + 1 + $H58*$H$59, Z$37)</f>
        <v>918.3004547603739</v>
      </c>
      <c r="AA58" s="312">
        <f>INDEX('Volume adjustments'!$J$481:$Y$521, AA$36 + 1 + $H58*$H$59, AA$37)</f>
        <v>2611.2628569490134</v>
      </c>
      <c r="AB58" s="312">
        <f>INDEX('Volume adjustments'!$J$481:$Y$521, AB$36 + 1 + $H58*$H$59, AB$37)</f>
        <v>7327.4153005464477</v>
      </c>
      <c r="AC58" s="312">
        <f>INDEX('Volume adjustments'!$J$481:$Y$521, AC$36 + 1 + $H58*$H$59, AC$37)</f>
        <v>908.32726340729596</v>
      </c>
      <c r="AD58" s="312">
        <f>INDEX('Volume adjustments'!$J$481:$Y$521, AD$36 + 1 + $H58*$H$59, AD$37)</f>
        <v>1898.0240662293093</v>
      </c>
      <c r="AE58" s="312">
        <f>INDEX('Volume adjustments'!$J$481:$Y$521, AE$36 + 1 + $H58*$H$59, AE$37)</f>
        <v>1538.3499727830376</v>
      </c>
      <c r="AF58" s="312">
        <f>INDEX('Volume adjustments'!$J$481:$Y$521, AF$36 + 1 + $H58*$H$59, AF$37)</f>
        <v>3413.5937795475702</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216</v>
      </c>
      <c r="G59" s="101" t="s">
        <v>255</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439.39170233929832</v>
      </c>
      <c r="S59" s="259">
        <f>INDEX('Volume adjustments'!$J$481:$Y$521, S$36 + 1 + $H59*$H$59, S$37)</f>
        <v>33235.641739213905</v>
      </c>
      <c r="T59" s="259">
        <f>INDEX('Volume adjustments'!$J$481:$Y$521, T$36 + 1 + $H59*$H$59, T$37)</f>
        <v>29485.083081547364</v>
      </c>
      <c r="U59" s="259">
        <f>INDEX('Volume adjustments'!$J$481:$Y$521, U$36 + 1 + $H59*$H$59, U$37)</f>
        <v>21060.489971209023</v>
      </c>
      <c r="V59" s="259">
        <f>INDEX('Volume adjustments'!$J$481:$Y$521, V$36 + 1 + $H59*$H$59, V$37)</f>
        <v>19725.51365386711</v>
      </c>
      <c r="W59" s="259">
        <f>INDEX('Volume adjustments'!$J$481:$Y$521, W$36 + 1 + $H59*$H$59, W$37)</f>
        <v>101.444</v>
      </c>
      <c r="X59" s="259">
        <f>INDEX('Volume adjustments'!$J$481:$Y$521, X$36 + 1 + $H59*$H$59, X$37)</f>
        <v>4054.4751424410956</v>
      </c>
      <c r="Y59" s="259">
        <f>INDEX('Volume adjustments'!$J$481:$Y$521, Y$36 + 1 + $H59*$H$59, Y$37)</f>
        <v>7434.8530337112988</v>
      </c>
      <c r="Z59" s="259">
        <f>INDEX('Volume adjustments'!$J$481:$Y$521, Z$36 + 1 + $H59*$H$59, Z$37)</f>
        <v>11300.841119826839</v>
      </c>
      <c r="AA59" s="259">
        <f>INDEX('Volume adjustments'!$J$481:$Y$521, AA$36 + 1 + $H59*$H$59, AA$37)</f>
        <v>32873.924624674568</v>
      </c>
      <c r="AB59" s="259">
        <f>INDEX('Volume adjustments'!$J$481:$Y$521, AB$36 + 1 + $H59*$H$59, AB$37)</f>
        <v>5273.9209999999994</v>
      </c>
      <c r="AC59" s="259">
        <f>INDEX('Volume adjustments'!$J$481:$Y$521, AC$36 + 1 + $H59*$H$59, AC$37)</f>
        <v>18650.780803801492</v>
      </c>
      <c r="AD59" s="259">
        <f>INDEX('Volume adjustments'!$J$481:$Y$521, AD$36 + 1 + $H59*$H$59, AD$37)</f>
        <v>34303.535222848244</v>
      </c>
      <c r="AE59" s="259">
        <f>INDEX('Volume adjustments'!$J$481:$Y$521, AE$36 + 1 + $H59*$H$59, AE$37)</f>
        <v>31890.56151102592</v>
      </c>
      <c r="AF59" s="259">
        <f>INDEX('Volume adjustments'!$J$481:$Y$521, AF$36 + 1 + $H59*$H$59, AF$37)</f>
        <v>55487.384215313323</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5880.660462834041</v>
      </c>
      <c r="AK59" s="259">
        <f>INDEX('Volume adjustments'!$J$481:$Y$521, AK$36 + 1 + $H59*$H$59, AK$37)</f>
        <v>0</v>
      </c>
      <c r="AL59" s="259">
        <f>INDEX('Volume adjustments'!$J$481:$Y$521, AL$36 + 1 + $H59*$H$59, AL$37)</f>
        <v>0</v>
      </c>
      <c r="AM59" s="259">
        <f>INDEX('Volume adjustments'!$J$481:$Y$521, AM$36 + 1 + $H59*$H$59, AM$37)</f>
        <v>0</v>
      </c>
      <c r="AN59" s="259">
        <f>INDEX('Volume adjustments'!$J$481:$Y$521, AN$36 + 1 + $H59*$H$59, AN$37)</f>
        <v>7364.4659999999994</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695</v>
      </c>
      <c r="G61" t="s">
        <v>278</v>
      </c>
      <c r="H61" s="167">
        <f>'General inputs'!H86</f>
        <v>488464679.24631959</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828</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278</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278</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841</v>
      </c>
      <c r="F67"/>
      <c r="G67" s="15" t="s">
        <v>278</v>
      </c>
      <c r="H67" s="314">
        <f>H61 - H64 - H65</f>
        <v>488464679.24631959</v>
      </c>
      <c r="I67" s="15" t="s">
        <v>155</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1105</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control'!$H$42:$H$65,MATCH($A$1,'Version control'!$F$42:$F$65,0),1)&amp;"-B: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696</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697</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698</v>
      </c>
      <c r="F74" s="75"/>
      <c r="H74" s="175" t="s">
        <v>503</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157</v>
      </c>
      <c r="G75" s="95" t="s">
        <v>278</v>
      </c>
      <c r="H75" s="223">
        <f t="shared" ref="H75:H82" si="8">SUM(J75:AO75)</f>
        <v>161020279.0010303</v>
      </c>
      <c r="I75" s="176"/>
      <c r="J75" s="299">
        <f t="shared" ref="J75:AO75" si="9">J53 * thousand * J40 / hundred</f>
        <v>111424912.99745974</v>
      </c>
      <c r="K75" s="299">
        <f t="shared" si="9"/>
        <v>9377.9943104992835</v>
      </c>
      <c r="L75" s="299">
        <f t="shared" si="9"/>
        <v>27383.803785957596</v>
      </c>
      <c r="M75" s="299">
        <f t="shared" si="9"/>
        <v>2195615.0691496572</v>
      </c>
      <c r="N75" s="299">
        <f t="shared" si="9"/>
        <v>6427793.8503886452</v>
      </c>
      <c r="O75" s="299">
        <f t="shared" si="9"/>
        <v>5252901.1091951327</v>
      </c>
      <c r="P75" s="299">
        <f t="shared" si="9"/>
        <v>13284620.237322044</v>
      </c>
      <c r="Q75" s="299">
        <f t="shared" si="9"/>
        <v>6460.7338502461917</v>
      </c>
      <c r="R75" s="299">
        <f t="shared" si="9"/>
        <v>19981.59050441569</v>
      </c>
      <c r="S75" s="299">
        <f t="shared" si="9"/>
        <v>4469235.26418168</v>
      </c>
      <c r="T75" s="299">
        <f t="shared" si="9"/>
        <v>3934997.6570273931</v>
      </c>
      <c r="U75" s="299">
        <f t="shared" si="9"/>
        <v>2856313.1806291151</v>
      </c>
      <c r="V75" s="299">
        <f t="shared" si="9"/>
        <v>2653336.8407592163</v>
      </c>
      <c r="W75" s="299">
        <f t="shared" si="9"/>
        <v>3879.5185676999154</v>
      </c>
      <c r="X75" s="299">
        <f t="shared" si="9"/>
        <v>285931.10601031256</v>
      </c>
      <c r="Y75" s="299">
        <f t="shared" si="9"/>
        <v>524383.12928518886</v>
      </c>
      <c r="Z75" s="299">
        <f t="shared" si="9"/>
        <v>800527.00059644831</v>
      </c>
      <c r="AA75" s="299">
        <f t="shared" si="9"/>
        <v>2436498.7794706048</v>
      </c>
      <c r="AB75" s="299">
        <f t="shared" si="9"/>
        <v>35397.647829687427</v>
      </c>
      <c r="AC75" s="299">
        <f t="shared" si="9"/>
        <v>1258000.819453747</v>
      </c>
      <c r="AD75" s="299">
        <f t="shared" si="9"/>
        <v>2332811.9716669959</v>
      </c>
      <c r="AE75" s="299">
        <f t="shared" si="9"/>
        <v>2183823.9668539693</v>
      </c>
      <c r="AF75" s="299">
        <f t="shared" si="9"/>
        <v>3750893.1453033811</v>
      </c>
      <c r="AG75" s="299">
        <f t="shared" si="9"/>
        <v>2154219.4610328339</v>
      </c>
      <c r="AH75" s="299">
        <f t="shared" si="9"/>
        <v>-1711332.4392605678</v>
      </c>
      <c r="AI75" s="299">
        <f t="shared" si="9"/>
        <v>-169917.92697682272</v>
      </c>
      <c r="AJ75" s="299">
        <f t="shared" si="9"/>
        <v>-680518.91332359181</v>
      </c>
      <c r="AK75" s="299">
        <f t="shared" si="9"/>
        <v>0</v>
      </c>
      <c r="AL75" s="299">
        <f t="shared" si="9"/>
        <v>0</v>
      </c>
      <c r="AM75" s="299">
        <f t="shared" si="9"/>
        <v>0</v>
      </c>
      <c r="AN75" s="299">
        <f t="shared" si="9"/>
        <v>-4747248.5940432772</v>
      </c>
      <c r="AO75" s="299">
        <f t="shared" si="9"/>
        <v>0</v>
      </c>
    </row>
    <row r="76" spans="1:43" x14ac:dyDescent="0.25">
      <c r="D76" s="105"/>
      <c r="F76" t="s">
        <v>158</v>
      </c>
      <c r="G76" t="s">
        <v>278</v>
      </c>
      <c r="H76" s="106">
        <f t="shared" si="8"/>
        <v>74181967.337647751</v>
      </c>
      <c r="I76" s="97"/>
      <c r="J76" s="306">
        <f t="shared" ref="J76:AO76" si="10">J54 * thousand * J41 / hundred</f>
        <v>47118196.414310716</v>
      </c>
      <c r="K76" s="306">
        <f t="shared" si="10"/>
        <v>58533.901058221534</v>
      </c>
      <c r="L76" s="306">
        <f t="shared" si="10"/>
        <v>18667.92034928007</v>
      </c>
      <c r="M76" s="306">
        <f t="shared" si="10"/>
        <v>1475114.3298449835</v>
      </c>
      <c r="N76" s="306">
        <f t="shared" si="10"/>
        <v>4318457.9534028349</v>
      </c>
      <c r="O76" s="306">
        <f t="shared" si="10"/>
        <v>3528903.5136787547</v>
      </c>
      <c r="P76" s="306">
        <f t="shared" si="10"/>
        <v>8922878.0126311537</v>
      </c>
      <c r="Q76" s="306">
        <f t="shared" si="10"/>
        <v>31539.223414081353</v>
      </c>
      <c r="R76" s="306">
        <f t="shared" si="10"/>
        <v>9398.4320311803367</v>
      </c>
      <c r="S76" s="306">
        <f t="shared" si="10"/>
        <v>2265598.6028199713</v>
      </c>
      <c r="T76" s="306">
        <f t="shared" si="10"/>
        <v>1993558.8305763314</v>
      </c>
      <c r="U76" s="306">
        <f t="shared" si="10"/>
        <v>1445674.97130188</v>
      </c>
      <c r="V76" s="306">
        <f t="shared" si="10"/>
        <v>1333830.1996202967</v>
      </c>
      <c r="W76" s="306">
        <f t="shared" si="10"/>
        <v>2153.8173734580246</v>
      </c>
      <c r="X76" s="306">
        <f t="shared" si="10"/>
        <v>103009.03005865411</v>
      </c>
      <c r="Y76" s="306">
        <f t="shared" si="10"/>
        <v>188910.27708355189</v>
      </c>
      <c r="Z76" s="306">
        <f t="shared" si="10"/>
        <v>288104.62627832545</v>
      </c>
      <c r="AA76" s="306">
        <f t="shared" si="10"/>
        <v>875071.91157576593</v>
      </c>
      <c r="AB76" s="306">
        <f t="shared" si="10"/>
        <v>21779.206309425092</v>
      </c>
      <c r="AC76" s="306">
        <f t="shared" si="10"/>
        <v>330376.01846264326</v>
      </c>
      <c r="AD76" s="306">
        <f t="shared" si="10"/>
        <v>612812.76710937556</v>
      </c>
      <c r="AE76" s="306">
        <f t="shared" si="10"/>
        <v>572530.55635913613</v>
      </c>
      <c r="AF76" s="306">
        <f t="shared" si="10"/>
        <v>984466.17457051575</v>
      </c>
      <c r="AG76" s="306">
        <f t="shared" si="10"/>
        <v>1109703.8806265448</v>
      </c>
      <c r="AH76" s="306">
        <f t="shared" si="10"/>
        <v>-1491631.1037416025</v>
      </c>
      <c r="AI76" s="306">
        <f t="shared" si="10"/>
        <v>-110925.04137144907</v>
      </c>
      <c r="AJ76" s="306">
        <f t="shared" si="10"/>
        <v>-513873.66813818464</v>
      </c>
      <c r="AK76" s="306">
        <f t="shared" si="10"/>
        <v>0</v>
      </c>
      <c r="AL76" s="306">
        <f t="shared" si="10"/>
        <v>0</v>
      </c>
      <c r="AM76" s="306">
        <f t="shared" si="10"/>
        <v>0</v>
      </c>
      <c r="AN76" s="306">
        <f t="shared" si="10"/>
        <v>-1310873.4199480566</v>
      </c>
      <c r="AO76" s="306">
        <f t="shared" si="10"/>
        <v>0</v>
      </c>
    </row>
    <row r="77" spans="1:43" x14ac:dyDescent="0.25">
      <c r="D77" s="105"/>
      <c r="F77" t="s">
        <v>159</v>
      </c>
      <c r="G77" t="s">
        <v>278</v>
      </c>
      <c r="H77" s="106">
        <f t="shared" si="8"/>
        <v>9003226.9240239114</v>
      </c>
      <c r="I77" s="97"/>
      <c r="J77" s="306">
        <f t="shared" ref="J77:AO77" si="11">J55 * thousand * J42 / hundred</f>
        <v>5538895.9520884892</v>
      </c>
      <c r="K77" s="306">
        <f t="shared" si="11"/>
        <v>45453.796957487044</v>
      </c>
      <c r="L77" s="306">
        <f t="shared" si="11"/>
        <v>1565.7488153857321</v>
      </c>
      <c r="M77" s="306">
        <f t="shared" si="11"/>
        <v>117693.28561928909</v>
      </c>
      <c r="N77" s="306">
        <f t="shared" si="11"/>
        <v>344767.4073081158</v>
      </c>
      <c r="O77" s="306">
        <f t="shared" si="11"/>
        <v>281708.63136165444</v>
      </c>
      <c r="P77" s="306">
        <f t="shared" si="11"/>
        <v>712338.88614631968</v>
      </c>
      <c r="Q77" s="306">
        <f t="shared" si="11"/>
        <v>22075.265982600089</v>
      </c>
      <c r="R77" s="306">
        <f t="shared" si="11"/>
        <v>1125.9371931596008</v>
      </c>
      <c r="S77" s="306">
        <f t="shared" si="11"/>
        <v>208301.39261480785</v>
      </c>
      <c r="T77" s="306">
        <f t="shared" si="11"/>
        <v>183156.7706796361</v>
      </c>
      <c r="U77" s="306">
        <f t="shared" si="11"/>
        <v>132203.84983731556</v>
      </c>
      <c r="V77" s="306">
        <f t="shared" si="11"/>
        <v>122830.56470312199</v>
      </c>
      <c r="W77" s="306">
        <f t="shared" si="11"/>
        <v>154.86341880780765</v>
      </c>
      <c r="X77" s="306">
        <f t="shared" si="11"/>
        <v>11251.848576793973</v>
      </c>
      <c r="Y77" s="306">
        <f t="shared" si="11"/>
        <v>20635.686461240606</v>
      </c>
      <c r="Z77" s="306">
        <f t="shared" si="11"/>
        <v>31494.149078298709</v>
      </c>
      <c r="AA77" s="306">
        <f t="shared" si="11"/>
        <v>94059.064465307412</v>
      </c>
      <c r="AB77" s="306">
        <f t="shared" si="11"/>
        <v>3423.8993721554016</v>
      </c>
      <c r="AC77" s="306">
        <f t="shared" si="11"/>
        <v>43045.728494897339</v>
      </c>
      <c r="AD77" s="306">
        <f t="shared" si="11"/>
        <v>79740.777041278037</v>
      </c>
      <c r="AE77" s="306">
        <f t="shared" si="11"/>
        <v>74717.326964529144</v>
      </c>
      <c r="AF77" s="306">
        <f t="shared" si="11"/>
        <v>128345.60840255408</v>
      </c>
      <c r="AG77" s="306">
        <f t="shared" si="11"/>
        <v>1026364.9703099179</v>
      </c>
      <c r="AH77" s="306">
        <f t="shared" si="11"/>
        <v>-60984.192798531789</v>
      </c>
      <c r="AI77" s="306">
        <f t="shared" si="11"/>
        <v>-11292.669614299342</v>
      </c>
      <c r="AJ77" s="306">
        <f t="shared" si="11"/>
        <v>-37010.633770571774</v>
      </c>
      <c r="AK77" s="306">
        <f t="shared" si="11"/>
        <v>0</v>
      </c>
      <c r="AL77" s="306">
        <f t="shared" si="11"/>
        <v>0</v>
      </c>
      <c r="AM77" s="306">
        <f t="shared" si="11"/>
        <v>0</v>
      </c>
      <c r="AN77" s="306">
        <f t="shared" si="11"/>
        <v>-112836.99168584644</v>
      </c>
      <c r="AO77" s="306">
        <f t="shared" si="11"/>
        <v>0</v>
      </c>
    </row>
    <row r="78" spans="1:43" x14ac:dyDescent="0.25">
      <c r="D78" s="105"/>
      <c r="F78" t="s">
        <v>160</v>
      </c>
      <c r="G78" t="s">
        <v>278</v>
      </c>
      <c r="H78" s="106">
        <f t="shared" si="8"/>
        <v>85270663.363519296</v>
      </c>
      <c r="I78" s="97"/>
      <c r="J78" s="299">
        <f t="shared" ref="J78:AO78" si="12">J56 * J43 * days_in_year / hundred</f>
        <v>73983890.246566415</v>
      </c>
      <c r="K78" s="299">
        <f t="shared" si="12"/>
        <v>0</v>
      </c>
      <c r="L78" s="299">
        <f t="shared" si="12"/>
        <v>14137.6221459067</v>
      </c>
      <c r="M78" s="299">
        <f t="shared" si="12"/>
        <v>4264387.2021764368</v>
      </c>
      <c r="N78" s="299">
        <f t="shared" si="12"/>
        <v>3065419.9381463076</v>
      </c>
      <c r="O78" s="299">
        <f t="shared" si="12"/>
        <v>1246155.1835966469</v>
      </c>
      <c r="P78" s="299">
        <f t="shared" si="12"/>
        <v>1296495.4655475379</v>
      </c>
      <c r="Q78" s="299">
        <f t="shared" si="12"/>
        <v>0</v>
      </c>
      <c r="R78" s="299">
        <f t="shared" si="12"/>
        <v>4937.1602971556658</v>
      </c>
      <c r="S78" s="299">
        <f t="shared" si="12"/>
        <v>338105.39524343848</v>
      </c>
      <c r="T78" s="299">
        <f t="shared" si="12"/>
        <v>168695.93583879381</v>
      </c>
      <c r="U78" s="299">
        <f t="shared" si="12"/>
        <v>80952.808603741476</v>
      </c>
      <c r="V78" s="299">
        <f t="shared" si="12"/>
        <v>39690.70551075042</v>
      </c>
      <c r="W78" s="299">
        <f t="shared" si="12"/>
        <v>612.61086377903212</v>
      </c>
      <c r="X78" s="299">
        <f t="shared" si="12"/>
        <v>20846.88888423083</v>
      </c>
      <c r="Y78" s="299">
        <f t="shared" si="12"/>
        <v>22345.921990215207</v>
      </c>
      <c r="Z78" s="299">
        <f t="shared" si="12"/>
        <v>20948.965518591485</v>
      </c>
      <c r="AA78" s="299">
        <f t="shared" si="12"/>
        <v>29287.478977059749</v>
      </c>
      <c r="AB78" s="299">
        <f t="shared" si="12"/>
        <v>83702.227926600506</v>
      </c>
      <c r="AC78" s="299">
        <f t="shared" si="12"/>
        <v>201076.91086071343</v>
      </c>
      <c r="AD78" s="299">
        <f t="shared" si="12"/>
        <v>161544.74532630836</v>
      </c>
      <c r="AE78" s="299">
        <f t="shared" si="12"/>
        <v>66828.713048252481</v>
      </c>
      <c r="AF78" s="299">
        <f t="shared" si="12"/>
        <v>59627.001909771658</v>
      </c>
      <c r="AG78" s="299">
        <f t="shared" si="12"/>
        <v>0</v>
      </c>
      <c r="AH78" s="299">
        <f t="shared" si="12"/>
        <v>0</v>
      </c>
      <c r="AI78" s="299">
        <f t="shared" si="12"/>
        <v>0</v>
      </c>
      <c r="AJ78" s="299">
        <f t="shared" si="12"/>
        <v>0</v>
      </c>
      <c r="AK78" s="299">
        <f t="shared" si="12"/>
        <v>0</v>
      </c>
      <c r="AL78" s="299">
        <f t="shared" si="12"/>
        <v>0</v>
      </c>
      <c r="AM78" s="299">
        <f t="shared" si="12"/>
        <v>0</v>
      </c>
      <c r="AN78" s="299">
        <f t="shared" si="12"/>
        <v>100974.23454066299</v>
      </c>
      <c r="AO78" s="299">
        <f t="shared" si="12"/>
        <v>0</v>
      </c>
    </row>
    <row r="79" spans="1:43" x14ac:dyDescent="0.25">
      <c r="D79" s="105"/>
      <c r="F79" t="s">
        <v>694</v>
      </c>
      <c r="G79" t="s">
        <v>278</v>
      </c>
      <c r="H79" s="106">
        <f t="shared" si="8"/>
        <v>99287573.49732855</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121699.66784816241</v>
      </c>
      <c r="S79" s="316">
        <f t="shared" si="13"/>
        <v>10201210.580776591</v>
      </c>
      <c r="T79" s="316">
        <f t="shared" si="13"/>
        <v>13275122.355806373</v>
      </c>
      <c r="U79" s="316">
        <f t="shared" si="13"/>
        <v>10299270.134526219</v>
      </c>
      <c r="V79" s="316">
        <f t="shared" si="13"/>
        <v>10843897.914281292</v>
      </c>
      <c r="W79" s="316">
        <f t="shared" si="13"/>
        <v>33319.430737744609</v>
      </c>
      <c r="X79" s="316">
        <f t="shared" si="13"/>
        <v>841451.75615544082</v>
      </c>
      <c r="Y79" s="316">
        <f t="shared" si="13"/>
        <v>2064946.5029798222</v>
      </c>
      <c r="Z79" s="316">
        <f t="shared" si="13"/>
        <v>3182237.7150022131</v>
      </c>
      <c r="AA79" s="316">
        <f t="shared" si="13"/>
        <v>9940084.6149863005</v>
      </c>
      <c r="AB79" s="316">
        <f t="shared" si="13"/>
        <v>1154205.0567511965</v>
      </c>
      <c r="AC79" s="316">
        <f t="shared" si="13"/>
        <v>4297553.547034177</v>
      </c>
      <c r="AD79" s="316">
        <f t="shared" si="13"/>
        <v>9044103.6134093348</v>
      </c>
      <c r="AE79" s="316">
        <f t="shared" si="13"/>
        <v>7414346.4181631496</v>
      </c>
      <c r="AF79" s="316">
        <f t="shared" si="13"/>
        <v>16574124.188870527</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253</v>
      </c>
      <c r="G80" t="s">
        <v>278</v>
      </c>
      <c r="H80" s="106">
        <f t="shared" si="8"/>
        <v>2077622.6803646623</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9147.2102217000393</v>
      </c>
      <c r="S80" s="300">
        <f t="shared" si="14"/>
        <v>321994.93323405052</v>
      </c>
      <c r="T80" s="300">
        <f t="shared" si="14"/>
        <v>407153.1248045945</v>
      </c>
      <c r="U80" s="300">
        <f t="shared" si="14"/>
        <v>307494.23958194681</v>
      </c>
      <c r="V80" s="300">
        <f t="shared" si="14"/>
        <v>266218.08941368846</v>
      </c>
      <c r="W80" s="300">
        <f t="shared" si="14"/>
        <v>2682.725633043236</v>
      </c>
      <c r="X80" s="300">
        <f t="shared" si="14"/>
        <v>9847.127424406608</v>
      </c>
      <c r="Y80" s="300">
        <f t="shared" si="14"/>
        <v>24106.776938516476</v>
      </c>
      <c r="Z80" s="300">
        <f t="shared" si="14"/>
        <v>37154.220775855247</v>
      </c>
      <c r="AA80" s="300">
        <f t="shared" si="14"/>
        <v>105651.08204829422</v>
      </c>
      <c r="AB80" s="300">
        <f t="shared" si="14"/>
        <v>284715.40294002881</v>
      </c>
      <c r="AC80" s="300">
        <f t="shared" si="14"/>
        <v>35294.131995375712</v>
      </c>
      <c r="AD80" s="300">
        <f t="shared" si="14"/>
        <v>73749.973850403869</v>
      </c>
      <c r="AE80" s="300">
        <f t="shared" si="14"/>
        <v>59774.410811823553</v>
      </c>
      <c r="AF80" s="300">
        <f t="shared" si="14"/>
        <v>132639.23069093435</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216</v>
      </c>
      <c r="G81" s="101" t="s">
        <v>278</v>
      </c>
      <c r="H81" s="196">
        <f t="shared" si="8"/>
        <v>512743.33334859466</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1110.0928490333638</v>
      </c>
      <c r="S81" s="300">
        <f t="shared" si="15"/>
        <v>83967.557947296184</v>
      </c>
      <c r="T81" s="300">
        <f t="shared" si="15"/>
        <v>74492.030021780723</v>
      </c>
      <c r="U81" s="300">
        <f t="shared" si="15"/>
        <v>53207.876229134316</v>
      </c>
      <c r="V81" s="300">
        <f t="shared" si="15"/>
        <v>49835.150582244896</v>
      </c>
      <c r="W81" s="300">
        <f t="shared" si="15"/>
        <v>140.63658513016514</v>
      </c>
      <c r="X81" s="300">
        <f t="shared" si="15"/>
        <v>5620.909452782379</v>
      </c>
      <c r="Y81" s="300">
        <f t="shared" si="15"/>
        <v>10307.286203282656</v>
      </c>
      <c r="Z81" s="300">
        <f t="shared" si="15"/>
        <v>15666.887190873762</v>
      </c>
      <c r="AA81" s="300">
        <f t="shared" si="15"/>
        <v>45574.666801788939</v>
      </c>
      <c r="AB81" s="300">
        <f t="shared" si="15"/>
        <v>5094.7761770512743</v>
      </c>
      <c r="AC81" s="300">
        <f t="shared" si="15"/>
        <v>18017.250110992009</v>
      </c>
      <c r="AD81" s="300">
        <f t="shared" si="15"/>
        <v>33138.310953464519</v>
      </c>
      <c r="AE81" s="300">
        <f t="shared" si="15"/>
        <v>30807.301258240914</v>
      </c>
      <c r="AF81" s="300">
        <f t="shared" si="15"/>
        <v>53602.585861083113</v>
      </c>
      <c r="AG81" s="300">
        <f t="shared" si="15"/>
        <v>0</v>
      </c>
      <c r="AH81" s="300">
        <f t="shared" si="15"/>
        <v>0</v>
      </c>
      <c r="AI81" s="300">
        <f t="shared" si="15"/>
        <v>0</v>
      </c>
      <c r="AJ81" s="300">
        <f t="shared" si="15"/>
        <v>18362.714397081825</v>
      </c>
      <c r="AK81" s="300">
        <f t="shared" si="15"/>
        <v>0</v>
      </c>
      <c r="AL81" s="300">
        <f t="shared" si="15"/>
        <v>0</v>
      </c>
      <c r="AM81" s="300">
        <f t="shared" si="15"/>
        <v>0</v>
      </c>
      <c r="AN81" s="300">
        <f t="shared" si="15"/>
        <v>13797.300727333624</v>
      </c>
      <c r="AO81" s="300">
        <f t="shared" si="15"/>
        <v>0</v>
      </c>
    </row>
    <row r="82" spans="2:43" x14ac:dyDescent="0.25">
      <c r="D82"/>
      <c r="E82" s="86"/>
      <c r="F82" s="145" t="s">
        <v>102</v>
      </c>
      <c r="G82" s="217" t="s">
        <v>278</v>
      </c>
      <c r="H82" s="228">
        <f t="shared" si="8"/>
        <v>431354076.13726324</v>
      </c>
      <c r="I82" s="229"/>
      <c r="J82" s="317">
        <f t="shared" ref="J82" si="16">SUM(J75:J81)</f>
        <v>238065895.61042535</v>
      </c>
      <c r="K82" s="317">
        <f t="shared" ref="K82:AO82" si="17">SUM(K75:K81)</f>
        <v>113365.69232620785</v>
      </c>
      <c r="L82" s="317">
        <f t="shared" si="17"/>
        <v>61755.095096530102</v>
      </c>
      <c r="M82" s="317">
        <f t="shared" si="17"/>
        <v>8052809.8867903668</v>
      </c>
      <c r="N82" s="317">
        <f t="shared" si="17"/>
        <v>14156439.149245905</v>
      </c>
      <c r="O82" s="317">
        <f t="shared" si="17"/>
        <v>10309668.437832188</v>
      </c>
      <c r="P82" s="317">
        <f t="shared" si="17"/>
        <v>24216332.601647053</v>
      </c>
      <c r="Q82" s="317">
        <f t="shared" si="17"/>
        <v>60075.223246927635</v>
      </c>
      <c r="R82" s="317">
        <f t="shared" si="17"/>
        <v>167400.09094480713</v>
      </c>
      <c r="S82" s="317">
        <f t="shared" si="17"/>
        <v>17888413.726817835</v>
      </c>
      <c r="T82" s="317">
        <f t="shared" si="17"/>
        <v>20037176.7047549</v>
      </c>
      <c r="U82" s="317">
        <f t="shared" si="17"/>
        <v>15175117.06070935</v>
      </c>
      <c r="V82" s="317">
        <f t="shared" si="17"/>
        <v>15309639.464870609</v>
      </c>
      <c r="W82" s="317">
        <f t="shared" si="17"/>
        <v>42943.603179662794</v>
      </c>
      <c r="X82" s="317">
        <f t="shared" si="17"/>
        <v>1277958.6665626212</v>
      </c>
      <c r="Y82" s="317">
        <f t="shared" si="17"/>
        <v>2855635.5809418182</v>
      </c>
      <c r="Z82" s="317">
        <f t="shared" si="17"/>
        <v>4376133.5644406071</v>
      </c>
      <c r="AA82" s="317">
        <f t="shared" si="17"/>
        <v>13526227.598325124</v>
      </c>
      <c r="AB82" s="317">
        <f t="shared" si="17"/>
        <v>1588318.217306145</v>
      </c>
      <c r="AC82" s="317">
        <f t="shared" si="17"/>
        <v>6183364.4064125456</v>
      </c>
      <c r="AD82" s="317">
        <f t="shared" si="17"/>
        <v>12337902.15935716</v>
      </c>
      <c r="AE82" s="317">
        <f t="shared" si="17"/>
        <v>10402828.693459101</v>
      </c>
      <c r="AF82" s="317">
        <f t="shared" si="17"/>
        <v>21683697.935608767</v>
      </c>
      <c r="AG82" s="317">
        <f t="shared" si="17"/>
        <v>4290288.311969297</v>
      </c>
      <c r="AH82" s="317">
        <f t="shared" si="17"/>
        <v>-3263947.7358007021</v>
      </c>
      <c r="AI82" s="317">
        <f t="shared" si="17"/>
        <v>-292135.63796257111</v>
      </c>
      <c r="AJ82" s="317">
        <f t="shared" si="17"/>
        <v>-1213040.5008352664</v>
      </c>
      <c r="AK82" s="317">
        <f t="shared" si="17"/>
        <v>0</v>
      </c>
      <c r="AL82" s="317">
        <f t="shared" si="17"/>
        <v>0</v>
      </c>
      <c r="AM82" s="317">
        <f t="shared" si="17"/>
        <v>0</v>
      </c>
      <c r="AN82" s="317">
        <f t="shared" si="17"/>
        <v>-6056187.4704091838</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699</v>
      </c>
      <c r="G84" t="s">
        <v>278</v>
      </c>
      <c r="H84" s="168">
        <f>H67 - H82</f>
        <v>57110603.109056354</v>
      </c>
      <c r="I84" s="318" t="s">
        <v>155</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1095</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885</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control'!$H$42:$H$65,MATCH($A$1,'Version control'!$F$42:$F$65,0),1)&amp;"-C: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1091</v>
      </c>
      <c r="E90"/>
      <c r="I90" t="s">
        <v>155</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1089</v>
      </c>
    </row>
    <row r="91" spans="2:43" x14ac:dyDescent="0.25">
      <c r="C91" s="86"/>
      <c r="D91" s="86" t="s">
        <v>1067</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975</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942</v>
      </c>
      <c r="G94" s="95" t="s">
        <v>150</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943</v>
      </c>
      <c r="G95" t="s">
        <v>150</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944</v>
      </c>
      <c r="G96" t="s">
        <v>150</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945</v>
      </c>
      <c r="G97" t="s">
        <v>150</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946</v>
      </c>
      <c r="G98" t="s">
        <v>150</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947</v>
      </c>
      <c r="G99" t="s">
        <v>150</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948</v>
      </c>
      <c r="G100" t="s">
        <v>150</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949</v>
      </c>
      <c r="G101" s="96" t="s">
        <v>150</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964</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942</v>
      </c>
      <c r="G104" s="95" t="s">
        <v>150</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943</v>
      </c>
      <c r="G105" t="s">
        <v>150</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944</v>
      </c>
      <c r="G106" t="s">
        <v>150</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945</v>
      </c>
      <c r="G107" t="s">
        <v>150</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946</v>
      </c>
      <c r="G108" t="s">
        <v>150</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947</v>
      </c>
      <c r="G109" t="s">
        <v>150</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948</v>
      </c>
      <c r="G110" t="s">
        <v>150</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949</v>
      </c>
      <c r="G111" s="96" t="s">
        <v>150</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965</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942</v>
      </c>
      <c r="G114" s="95" t="s">
        <v>213</v>
      </c>
      <c r="H114" s="95"/>
      <c r="I114" s="95"/>
      <c r="J114" s="326">
        <f t="shared" ref="J114:J121" si="44">SUMIF($J104:$AO104, J104, $J$56:$AO$56)</f>
        <v>1561399.8065674652</v>
      </c>
      <c r="K114" s="321"/>
      <c r="L114" s="321"/>
      <c r="M114" s="326">
        <f t="shared" ref="M114:P121" si="45">SUMIF($J104:$AO104, M104, $J$56:$AO$56)</f>
        <v>60526.820419003758</v>
      </c>
      <c r="N114" s="326">
        <f t="shared" si="45"/>
        <v>43509.210892087875</v>
      </c>
      <c r="O114" s="326">
        <f t="shared" si="45"/>
        <v>17687.373926380194</v>
      </c>
      <c r="P114" s="326">
        <f t="shared" si="45"/>
        <v>18401.881559253805</v>
      </c>
      <c r="Q114" s="321"/>
      <c r="R114" s="321"/>
      <c r="S114" s="326">
        <f t="shared" ref="S114:V121" si="46">SUMIF($J104:$AO104, S104, $J$56:$AO$56)</f>
        <v>5222.4486401178383</v>
      </c>
      <c r="T114" s="326">
        <f t="shared" si="46"/>
        <v>2824.762138958411</v>
      </c>
      <c r="U114" s="326">
        <f t="shared" si="46"/>
        <v>1543.058842389453</v>
      </c>
      <c r="V114" s="326">
        <f t="shared" si="46"/>
        <v>1105.2912834653989</v>
      </c>
      <c r="W114" s="321"/>
      <c r="X114" s="326">
        <f t="shared" ref="X114:AA121" si="47">SUMIF($J104:$AO104, X104, $J$56:$AO$56)</f>
        <v>5222.4486401178383</v>
      </c>
      <c r="Y114" s="326">
        <f t="shared" si="47"/>
        <v>2824.762138958411</v>
      </c>
      <c r="Z114" s="326">
        <f t="shared" si="47"/>
        <v>1543.058842389453</v>
      </c>
      <c r="AA114" s="326">
        <f t="shared" si="47"/>
        <v>1105.2912834653989</v>
      </c>
      <c r="AB114" s="321"/>
      <c r="AC114" s="326">
        <f t="shared" ref="AC114:AG121" si="48">SUMIF($J104:$AO104, AC104, $J$56:$AO$56)</f>
        <v>399.43603715306864</v>
      </c>
      <c r="AD114" s="326">
        <f t="shared" si="48"/>
        <v>320.90602854317882</v>
      </c>
      <c r="AE114" s="326">
        <f t="shared" si="48"/>
        <v>132.75415955899788</v>
      </c>
      <c r="AF114" s="326">
        <f t="shared" si="48"/>
        <v>118.44807664991369</v>
      </c>
      <c r="AG114" s="326">
        <f t="shared" si="48"/>
        <v>1793.052617583103</v>
      </c>
      <c r="AH114" s="321"/>
      <c r="AI114" s="321"/>
      <c r="AJ114" s="321"/>
      <c r="AK114" s="321"/>
      <c r="AL114" s="321"/>
      <c r="AM114" s="321"/>
      <c r="AN114" s="321"/>
      <c r="AO114" s="321"/>
    </row>
    <row r="115" spans="3:41" x14ac:dyDescent="0.25">
      <c r="C115" s="86"/>
      <c r="D115"/>
      <c r="E115"/>
      <c r="F115" t="s">
        <v>943</v>
      </c>
      <c r="G115" t="s">
        <v>213</v>
      </c>
      <c r="J115" s="327">
        <f t="shared" si="44"/>
        <v>1561399.8065674652</v>
      </c>
      <c r="K115" s="323"/>
      <c r="L115" s="323"/>
      <c r="M115" s="327">
        <f t="shared" si="45"/>
        <v>104036.03131109163</v>
      </c>
      <c r="N115" s="327">
        <f t="shared" si="45"/>
        <v>104036.03131109163</v>
      </c>
      <c r="O115" s="327">
        <f t="shared" si="45"/>
        <v>17687.373926380194</v>
      </c>
      <c r="P115" s="327">
        <f t="shared" si="45"/>
        <v>18401.881559253805</v>
      </c>
      <c r="Q115" s="323"/>
      <c r="R115" s="323"/>
      <c r="S115" s="327">
        <f t="shared" si="46"/>
        <v>8047.2107790762493</v>
      </c>
      <c r="T115" s="327">
        <f t="shared" si="46"/>
        <v>8047.2107790762493</v>
      </c>
      <c r="U115" s="327">
        <f t="shared" si="46"/>
        <v>1543.058842389453</v>
      </c>
      <c r="V115" s="327">
        <f t="shared" si="46"/>
        <v>1105.2912834653989</v>
      </c>
      <c r="W115" s="323"/>
      <c r="X115" s="327">
        <f t="shared" si="47"/>
        <v>8047.2107790762493</v>
      </c>
      <c r="Y115" s="327">
        <f t="shared" si="47"/>
        <v>8047.2107790762493</v>
      </c>
      <c r="Z115" s="327">
        <f t="shared" si="47"/>
        <v>1543.058842389453</v>
      </c>
      <c r="AA115" s="327">
        <f t="shared" si="47"/>
        <v>1105.2912834653989</v>
      </c>
      <c r="AB115" s="323"/>
      <c r="AC115" s="327">
        <f t="shared" si="48"/>
        <v>720.34206569624746</v>
      </c>
      <c r="AD115" s="327">
        <f t="shared" si="48"/>
        <v>720.34206569624746</v>
      </c>
      <c r="AE115" s="327">
        <f t="shared" si="48"/>
        <v>132.75415955899788</v>
      </c>
      <c r="AF115" s="327">
        <f t="shared" si="48"/>
        <v>118.44807664991369</v>
      </c>
      <c r="AG115" s="327">
        <f t="shared" si="48"/>
        <v>1793.052617583103</v>
      </c>
      <c r="AH115" s="323"/>
      <c r="AI115" s="323"/>
      <c r="AJ115" s="323"/>
      <c r="AK115" s="323"/>
      <c r="AL115" s="323"/>
      <c r="AM115" s="323"/>
      <c r="AN115" s="323"/>
      <c r="AO115" s="323"/>
    </row>
    <row r="116" spans="3:41" x14ac:dyDescent="0.25">
      <c r="C116" s="86"/>
      <c r="D116"/>
      <c r="E116"/>
      <c r="F116" t="s">
        <v>944</v>
      </c>
      <c r="G116" t="s">
        <v>213</v>
      </c>
      <c r="J116" s="327">
        <f t="shared" si="44"/>
        <v>1561399.8065674652</v>
      </c>
      <c r="K116" s="323"/>
      <c r="L116" s="323"/>
      <c r="M116" s="327">
        <f t="shared" si="45"/>
        <v>60526.820419003758</v>
      </c>
      <c r="N116" s="327">
        <f t="shared" si="45"/>
        <v>61196.584818468065</v>
      </c>
      <c r="O116" s="327">
        <f t="shared" si="45"/>
        <v>61196.584818468065</v>
      </c>
      <c r="P116" s="327">
        <f t="shared" si="45"/>
        <v>18401.881559253805</v>
      </c>
      <c r="Q116" s="323"/>
      <c r="R116" s="323"/>
      <c r="S116" s="327">
        <f t="shared" si="46"/>
        <v>5222.4486401178383</v>
      </c>
      <c r="T116" s="327">
        <f t="shared" si="46"/>
        <v>4367.8209813478634</v>
      </c>
      <c r="U116" s="327">
        <f t="shared" si="46"/>
        <v>4367.8209813478634</v>
      </c>
      <c r="V116" s="327">
        <f t="shared" si="46"/>
        <v>1105.2912834653989</v>
      </c>
      <c r="W116" s="323"/>
      <c r="X116" s="327">
        <f t="shared" si="47"/>
        <v>5222.4486401178383</v>
      </c>
      <c r="Y116" s="327">
        <f t="shared" si="47"/>
        <v>4367.8209813478634</v>
      </c>
      <c r="Z116" s="327">
        <f t="shared" si="47"/>
        <v>4367.8209813478634</v>
      </c>
      <c r="AA116" s="327">
        <f t="shared" si="47"/>
        <v>1105.2912834653989</v>
      </c>
      <c r="AB116" s="323"/>
      <c r="AC116" s="327">
        <f t="shared" si="48"/>
        <v>399.43603715306864</v>
      </c>
      <c r="AD116" s="327">
        <f t="shared" si="48"/>
        <v>453.66018810217668</v>
      </c>
      <c r="AE116" s="327">
        <f t="shared" si="48"/>
        <v>453.66018810217668</v>
      </c>
      <c r="AF116" s="327">
        <f t="shared" si="48"/>
        <v>118.44807664991369</v>
      </c>
      <c r="AG116" s="327">
        <f t="shared" si="48"/>
        <v>1793.052617583103</v>
      </c>
      <c r="AH116" s="323"/>
      <c r="AI116" s="323"/>
      <c r="AJ116" s="323"/>
      <c r="AK116" s="323"/>
      <c r="AL116" s="323"/>
      <c r="AM116" s="323"/>
      <c r="AN116" s="323"/>
      <c r="AO116" s="323"/>
    </row>
    <row r="117" spans="3:41" x14ac:dyDescent="0.25">
      <c r="C117" s="86"/>
      <c r="D117"/>
      <c r="E117"/>
      <c r="F117" t="s">
        <v>945</v>
      </c>
      <c r="G117" t="s">
        <v>213</v>
      </c>
      <c r="J117" s="327">
        <f t="shared" si="44"/>
        <v>1561399.8065674652</v>
      </c>
      <c r="K117" s="323"/>
      <c r="L117" s="323"/>
      <c r="M117" s="327">
        <f t="shared" si="45"/>
        <v>60526.820419003758</v>
      </c>
      <c r="N117" s="327">
        <f t="shared" si="45"/>
        <v>43509.210892087875</v>
      </c>
      <c r="O117" s="327">
        <f t="shared" si="45"/>
        <v>36089.255485633999</v>
      </c>
      <c r="P117" s="327">
        <f t="shared" si="45"/>
        <v>36089.255485633999</v>
      </c>
      <c r="Q117" s="323"/>
      <c r="R117" s="323"/>
      <c r="S117" s="327">
        <f t="shared" si="46"/>
        <v>5222.4486401178383</v>
      </c>
      <c r="T117" s="327">
        <f t="shared" si="46"/>
        <v>2824.762138958411</v>
      </c>
      <c r="U117" s="327">
        <f t="shared" si="46"/>
        <v>2648.3501258548522</v>
      </c>
      <c r="V117" s="327">
        <f t="shared" si="46"/>
        <v>2648.3501258548522</v>
      </c>
      <c r="W117" s="323"/>
      <c r="X117" s="327">
        <f t="shared" si="47"/>
        <v>5222.4486401178383</v>
      </c>
      <c r="Y117" s="327">
        <f t="shared" si="47"/>
        <v>2824.762138958411</v>
      </c>
      <c r="Z117" s="327">
        <f t="shared" si="47"/>
        <v>2648.3501258548522</v>
      </c>
      <c r="AA117" s="327">
        <f t="shared" si="47"/>
        <v>2648.3501258548522</v>
      </c>
      <c r="AB117" s="323"/>
      <c r="AC117" s="327">
        <f t="shared" si="48"/>
        <v>399.43603715306864</v>
      </c>
      <c r="AD117" s="327">
        <f t="shared" si="48"/>
        <v>320.90602854317882</v>
      </c>
      <c r="AE117" s="327">
        <f t="shared" si="48"/>
        <v>251.20223620891159</v>
      </c>
      <c r="AF117" s="327">
        <f t="shared" si="48"/>
        <v>251.20223620891159</v>
      </c>
      <c r="AG117" s="327">
        <f t="shared" si="48"/>
        <v>1793.052617583103</v>
      </c>
      <c r="AH117" s="323"/>
      <c r="AI117" s="323"/>
      <c r="AJ117" s="323"/>
      <c r="AK117" s="323"/>
      <c r="AL117" s="323"/>
      <c r="AM117" s="323"/>
      <c r="AN117" s="323"/>
      <c r="AO117" s="323"/>
    </row>
    <row r="118" spans="3:41" x14ac:dyDescent="0.25">
      <c r="C118" s="86"/>
      <c r="D118"/>
      <c r="E118"/>
      <c r="F118" t="s">
        <v>946</v>
      </c>
      <c r="G118" t="s">
        <v>213</v>
      </c>
      <c r="J118" s="327">
        <f t="shared" si="44"/>
        <v>1561399.8065674652</v>
      </c>
      <c r="K118" s="323"/>
      <c r="L118" s="323"/>
      <c r="M118" s="327">
        <f t="shared" si="45"/>
        <v>104036.03131109163</v>
      </c>
      <c r="N118" s="327">
        <f t="shared" si="45"/>
        <v>104036.03131109163</v>
      </c>
      <c r="O118" s="327">
        <f t="shared" si="45"/>
        <v>36089.255485633999</v>
      </c>
      <c r="P118" s="327">
        <f t="shared" si="45"/>
        <v>36089.255485633999</v>
      </c>
      <c r="Q118" s="323"/>
      <c r="R118" s="323"/>
      <c r="S118" s="327">
        <f t="shared" si="46"/>
        <v>8047.2107790762493</v>
      </c>
      <c r="T118" s="327">
        <f t="shared" si="46"/>
        <v>8047.2107790762493</v>
      </c>
      <c r="U118" s="327">
        <f t="shared" si="46"/>
        <v>2648.3501258548522</v>
      </c>
      <c r="V118" s="327">
        <f t="shared" si="46"/>
        <v>2648.3501258548522</v>
      </c>
      <c r="W118" s="323"/>
      <c r="X118" s="327">
        <f t="shared" si="47"/>
        <v>8047.2107790762493</v>
      </c>
      <c r="Y118" s="327">
        <f t="shared" si="47"/>
        <v>8047.2107790762493</v>
      </c>
      <c r="Z118" s="327">
        <f t="shared" si="47"/>
        <v>2648.3501258548522</v>
      </c>
      <c r="AA118" s="327">
        <f t="shared" si="47"/>
        <v>2648.3501258548522</v>
      </c>
      <c r="AB118" s="323"/>
      <c r="AC118" s="327">
        <f t="shared" si="48"/>
        <v>720.34206569624746</v>
      </c>
      <c r="AD118" s="327">
        <f t="shared" si="48"/>
        <v>720.34206569624746</v>
      </c>
      <c r="AE118" s="327">
        <f t="shared" si="48"/>
        <v>251.20223620891159</v>
      </c>
      <c r="AF118" s="327">
        <f t="shared" si="48"/>
        <v>251.20223620891159</v>
      </c>
      <c r="AG118" s="327">
        <f t="shared" si="48"/>
        <v>1793.052617583103</v>
      </c>
      <c r="AH118" s="323"/>
      <c r="AI118" s="323"/>
      <c r="AJ118" s="323"/>
      <c r="AK118" s="323"/>
      <c r="AL118" s="323"/>
      <c r="AM118" s="323"/>
      <c r="AN118" s="323"/>
      <c r="AO118" s="323"/>
    </row>
    <row r="119" spans="3:41" x14ac:dyDescent="0.25">
      <c r="C119" s="86"/>
      <c r="D119"/>
      <c r="E119"/>
      <c r="F119" t="s">
        <v>947</v>
      </c>
      <c r="G119" t="s">
        <v>213</v>
      </c>
      <c r="J119" s="327">
        <f t="shared" si="44"/>
        <v>1561399.8065674652</v>
      </c>
      <c r="K119" s="323"/>
      <c r="L119" s="323"/>
      <c r="M119" s="327">
        <f t="shared" si="45"/>
        <v>121723.40523747183</v>
      </c>
      <c r="N119" s="327">
        <f t="shared" si="45"/>
        <v>121723.40523747183</v>
      </c>
      <c r="O119" s="327">
        <f t="shared" si="45"/>
        <v>121723.40523747183</v>
      </c>
      <c r="P119" s="327">
        <f t="shared" si="45"/>
        <v>18401.881559253805</v>
      </c>
      <c r="Q119" s="323"/>
      <c r="R119" s="323"/>
      <c r="S119" s="327">
        <f t="shared" si="46"/>
        <v>9590.2696214657008</v>
      </c>
      <c r="T119" s="327">
        <f t="shared" si="46"/>
        <v>9590.2696214657008</v>
      </c>
      <c r="U119" s="327">
        <f t="shared" si="46"/>
        <v>9590.2696214657008</v>
      </c>
      <c r="V119" s="327">
        <f t="shared" si="46"/>
        <v>1105.2912834653989</v>
      </c>
      <c r="W119" s="323"/>
      <c r="X119" s="327">
        <f t="shared" si="47"/>
        <v>9590.2696214657008</v>
      </c>
      <c r="Y119" s="327">
        <f t="shared" si="47"/>
        <v>9590.2696214657008</v>
      </c>
      <c r="Z119" s="327">
        <f t="shared" si="47"/>
        <v>9590.2696214657008</v>
      </c>
      <c r="AA119" s="327">
        <f t="shared" si="47"/>
        <v>1105.2912834653989</v>
      </c>
      <c r="AB119" s="323"/>
      <c r="AC119" s="327">
        <f t="shared" si="48"/>
        <v>853.09622525524537</v>
      </c>
      <c r="AD119" s="327">
        <f t="shared" si="48"/>
        <v>853.09622525524537</v>
      </c>
      <c r="AE119" s="327">
        <f t="shared" si="48"/>
        <v>853.09622525524537</v>
      </c>
      <c r="AF119" s="327">
        <f t="shared" si="48"/>
        <v>118.44807664991369</v>
      </c>
      <c r="AG119" s="327">
        <f t="shared" si="48"/>
        <v>1793.052617583103</v>
      </c>
      <c r="AH119" s="323"/>
      <c r="AI119" s="323"/>
      <c r="AJ119" s="323"/>
      <c r="AK119" s="323"/>
      <c r="AL119" s="323"/>
      <c r="AM119" s="323"/>
      <c r="AN119" s="323"/>
      <c r="AO119" s="323"/>
    </row>
    <row r="120" spans="3:41" x14ac:dyDescent="0.25">
      <c r="C120" s="86"/>
      <c r="D120"/>
      <c r="E120"/>
      <c r="F120" t="s">
        <v>948</v>
      </c>
      <c r="G120" t="s">
        <v>213</v>
      </c>
      <c r="J120" s="327">
        <f t="shared" si="44"/>
        <v>1561399.8065674652</v>
      </c>
      <c r="K120" s="323"/>
      <c r="L120" s="323"/>
      <c r="M120" s="327">
        <f t="shared" si="45"/>
        <v>60526.820419003758</v>
      </c>
      <c r="N120" s="327">
        <f t="shared" si="45"/>
        <v>79598.466377721867</v>
      </c>
      <c r="O120" s="327">
        <f t="shared" si="45"/>
        <v>79598.466377721867</v>
      </c>
      <c r="P120" s="327">
        <f t="shared" si="45"/>
        <v>79598.466377721867</v>
      </c>
      <c r="Q120" s="323"/>
      <c r="R120" s="323"/>
      <c r="S120" s="327">
        <f t="shared" si="46"/>
        <v>5222.4486401178383</v>
      </c>
      <c r="T120" s="327">
        <f t="shared" si="46"/>
        <v>5473.1122648132623</v>
      </c>
      <c r="U120" s="327">
        <f t="shared" si="46"/>
        <v>5473.1122648132623</v>
      </c>
      <c r="V120" s="327">
        <f t="shared" si="46"/>
        <v>5473.1122648132623</v>
      </c>
      <c r="W120" s="323"/>
      <c r="X120" s="327">
        <f t="shared" si="47"/>
        <v>5222.4486401178383</v>
      </c>
      <c r="Y120" s="327">
        <f t="shared" si="47"/>
        <v>5473.1122648132623</v>
      </c>
      <c r="Z120" s="327">
        <f t="shared" si="47"/>
        <v>5473.1122648132623</v>
      </c>
      <c r="AA120" s="327">
        <f t="shared" si="47"/>
        <v>5473.1122648132623</v>
      </c>
      <c r="AB120" s="323"/>
      <c r="AC120" s="327">
        <f t="shared" si="48"/>
        <v>399.43603715306864</v>
      </c>
      <c r="AD120" s="327">
        <f t="shared" si="48"/>
        <v>572.10826475209035</v>
      </c>
      <c r="AE120" s="327">
        <f t="shared" si="48"/>
        <v>572.10826475209035</v>
      </c>
      <c r="AF120" s="327">
        <f t="shared" si="48"/>
        <v>572.10826475209035</v>
      </c>
      <c r="AG120" s="327">
        <f t="shared" si="48"/>
        <v>1793.052617583103</v>
      </c>
      <c r="AH120" s="323"/>
      <c r="AI120" s="323"/>
      <c r="AJ120" s="323"/>
      <c r="AK120" s="323"/>
      <c r="AL120" s="323"/>
      <c r="AM120" s="323"/>
      <c r="AN120" s="323"/>
      <c r="AO120" s="323"/>
    </row>
    <row r="121" spans="3:41" x14ac:dyDescent="0.25">
      <c r="C121" s="86"/>
      <c r="D121"/>
      <c r="E121"/>
      <c r="F121" s="96" t="s">
        <v>949</v>
      </c>
      <c r="G121" s="96" t="s">
        <v>213</v>
      </c>
      <c r="H121" s="96"/>
      <c r="I121" s="96"/>
      <c r="J121" s="328">
        <f t="shared" si="44"/>
        <v>1561399.8065674652</v>
      </c>
      <c r="K121" s="325"/>
      <c r="L121" s="325"/>
      <c r="M121" s="328">
        <f t="shared" si="45"/>
        <v>140125.28679672565</v>
      </c>
      <c r="N121" s="328">
        <f t="shared" si="45"/>
        <v>140125.28679672565</v>
      </c>
      <c r="O121" s="328">
        <f t="shared" si="45"/>
        <v>140125.28679672565</v>
      </c>
      <c r="P121" s="328">
        <f t="shared" si="45"/>
        <v>140125.28679672565</v>
      </c>
      <c r="Q121" s="325"/>
      <c r="R121" s="325"/>
      <c r="S121" s="328">
        <f t="shared" si="46"/>
        <v>10695.560904931099</v>
      </c>
      <c r="T121" s="328">
        <f t="shared" si="46"/>
        <v>10695.560904931099</v>
      </c>
      <c r="U121" s="328">
        <f t="shared" si="46"/>
        <v>10695.560904931099</v>
      </c>
      <c r="V121" s="328">
        <f t="shared" si="46"/>
        <v>10695.560904931099</v>
      </c>
      <c r="W121" s="325"/>
      <c r="X121" s="328">
        <f t="shared" si="47"/>
        <v>10695.560904931099</v>
      </c>
      <c r="Y121" s="328">
        <f t="shared" si="47"/>
        <v>10695.560904931099</v>
      </c>
      <c r="Z121" s="328">
        <f t="shared" si="47"/>
        <v>10695.560904931099</v>
      </c>
      <c r="AA121" s="328">
        <f t="shared" si="47"/>
        <v>10695.560904931099</v>
      </c>
      <c r="AB121" s="325"/>
      <c r="AC121" s="328">
        <f t="shared" si="48"/>
        <v>971.54430190515905</v>
      </c>
      <c r="AD121" s="328">
        <f t="shared" si="48"/>
        <v>971.54430190515905</v>
      </c>
      <c r="AE121" s="328">
        <f t="shared" si="48"/>
        <v>971.54430190515905</v>
      </c>
      <c r="AF121" s="328">
        <f t="shared" si="48"/>
        <v>971.54430190515905</v>
      </c>
      <c r="AG121" s="328">
        <f t="shared" si="48"/>
        <v>1793.052617583103</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957</v>
      </c>
      <c r="G123" t="s">
        <v>150</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966</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942</v>
      </c>
      <c r="G126" s="95" t="s">
        <v>862</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943</v>
      </c>
      <c r="G127" t="s">
        <v>862</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944</v>
      </c>
      <c r="G128" t="s">
        <v>862</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945</v>
      </c>
      <c r="G129" t="s">
        <v>862</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946</v>
      </c>
      <c r="G130" t="s">
        <v>862</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947</v>
      </c>
      <c r="G131" t="s">
        <v>862</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948</v>
      </c>
      <c r="G132" t="s">
        <v>862</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949</v>
      </c>
      <c r="G133" s="96" t="s">
        <v>862</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1066</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942</v>
      </c>
      <c r="G136" s="95" t="s">
        <v>150</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943</v>
      </c>
      <c r="G137" t="s">
        <v>150</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944</v>
      </c>
      <c r="G138" t="s">
        <v>150</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945</v>
      </c>
      <c r="G139" t="s">
        <v>150</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946</v>
      </c>
      <c r="G140" t="s">
        <v>150</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947</v>
      </c>
      <c r="G141" t="s">
        <v>150</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948</v>
      </c>
      <c r="G142" t="s">
        <v>150</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949</v>
      </c>
      <c r="G143" s="96" t="s">
        <v>150</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959</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958</v>
      </c>
      <c r="G147" t="s">
        <v>150</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967</v>
      </c>
      <c r="G149" t="s">
        <v>150</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control'!$H$42:$H$65,MATCH($A$1,'Version control'!$F$42:$F$65,0),1)&amp;"-D: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976</v>
      </c>
      <c r="G153" t="s">
        <v>213</v>
      </c>
      <c r="J153" s="261">
        <f t="shared" ref="J153:AO153" si="92">IF(J32, J56, 0)</f>
        <v>1561399.8065674652</v>
      </c>
      <c r="K153" s="261">
        <f t="shared" si="92"/>
        <v>0</v>
      </c>
      <c r="L153" s="261">
        <f t="shared" si="92"/>
        <v>0</v>
      </c>
      <c r="M153" s="261">
        <f t="shared" si="92"/>
        <v>60526.820419003758</v>
      </c>
      <c r="N153" s="261">
        <f t="shared" si="92"/>
        <v>43509.210892087875</v>
      </c>
      <c r="O153" s="261">
        <f t="shared" si="92"/>
        <v>17687.373926380194</v>
      </c>
      <c r="P153" s="261">
        <f t="shared" si="92"/>
        <v>18401.881559253805</v>
      </c>
      <c r="Q153" s="261">
        <f t="shared" si="92"/>
        <v>0</v>
      </c>
      <c r="R153" s="261">
        <f t="shared" si="92"/>
        <v>0</v>
      </c>
      <c r="S153" s="261">
        <f t="shared" si="92"/>
        <v>4840.1397864801875</v>
      </c>
      <c r="T153" s="261">
        <f t="shared" si="92"/>
        <v>2414.9626783771373</v>
      </c>
      <c r="U153" s="261">
        <f t="shared" si="92"/>
        <v>1158.8780163302902</v>
      </c>
      <c r="V153" s="261">
        <f t="shared" si="92"/>
        <v>568.19135570945821</v>
      </c>
      <c r="W153" s="261">
        <f t="shared" si="92"/>
        <v>0</v>
      </c>
      <c r="X153" s="261">
        <f t="shared" si="92"/>
        <v>382.30885363765054</v>
      </c>
      <c r="Y153" s="261">
        <f t="shared" si="92"/>
        <v>409.79946058127348</v>
      </c>
      <c r="Z153" s="261">
        <f t="shared" si="92"/>
        <v>384.18082605916283</v>
      </c>
      <c r="AA153" s="261">
        <f t="shared" si="92"/>
        <v>537.09992775594071</v>
      </c>
      <c r="AB153" s="261">
        <f t="shared" si="92"/>
        <v>0</v>
      </c>
      <c r="AC153" s="261">
        <f t="shared" si="92"/>
        <v>399.43603715306864</v>
      </c>
      <c r="AD153" s="261">
        <f t="shared" si="92"/>
        <v>320.90602854317882</v>
      </c>
      <c r="AE153" s="261">
        <f t="shared" si="92"/>
        <v>132.75415955899788</v>
      </c>
      <c r="AF153" s="261">
        <f t="shared" si="92"/>
        <v>118.44807664991369</v>
      </c>
      <c r="AG153" s="261">
        <f t="shared" si="92"/>
        <v>1793.052617583103</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973</v>
      </c>
      <c r="G155" t="s">
        <v>213</v>
      </c>
      <c r="J155" s="261">
        <f t="shared" ref="J155:AO155" si="93">SUMIF($J$149:$AO$149,J149,$J$153:$AO$153)</f>
        <v>1561399.8065674652</v>
      </c>
      <c r="K155" s="261">
        <f t="shared" si="93"/>
        <v>0</v>
      </c>
      <c r="L155" s="261">
        <f t="shared" si="93"/>
        <v>0</v>
      </c>
      <c r="M155" s="261">
        <f t="shared" si="93"/>
        <v>60526.820419003758</v>
      </c>
      <c r="N155" s="261">
        <f t="shared" si="93"/>
        <v>43509.210892087875</v>
      </c>
      <c r="O155" s="261">
        <f t="shared" si="93"/>
        <v>17687.373926380194</v>
      </c>
      <c r="P155" s="261">
        <f t="shared" si="93"/>
        <v>18401.881559253805</v>
      </c>
      <c r="Q155" s="261">
        <f t="shared" si="93"/>
        <v>0</v>
      </c>
      <c r="R155" s="261">
        <f t="shared" si="93"/>
        <v>0</v>
      </c>
      <c r="S155" s="261">
        <f t="shared" si="93"/>
        <v>5222.4486401178383</v>
      </c>
      <c r="T155" s="261">
        <f t="shared" si="93"/>
        <v>2824.762138958411</v>
      </c>
      <c r="U155" s="261">
        <f t="shared" si="93"/>
        <v>1543.058842389453</v>
      </c>
      <c r="V155" s="261">
        <f t="shared" si="93"/>
        <v>1105.2912834653989</v>
      </c>
      <c r="W155" s="261">
        <f t="shared" si="93"/>
        <v>0</v>
      </c>
      <c r="X155" s="261">
        <f t="shared" si="93"/>
        <v>5222.4486401178383</v>
      </c>
      <c r="Y155" s="261">
        <f t="shared" si="93"/>
        <v>2824.762138958411</v>
      </c>
      <c r="Z155" s="261">
        <f t="shared" si="93"/>
        <v>1543.058842389453</v>
      </c>
      <c r="AA155" s="261">
        <f t="shared" si="93"/>
        <v>1105.2912834653989</v>
      </c>
      <c r="AB155" s="261">
        <f t="shared" si="93"/>
        <v>0</v>
      </c>
      <c r="AC155" s="261">
        <f t="shared" si="93"/>
        <v>399.43603715306864</v>
      </c>
      <c r="AD155" s="261">
        <f t="shared" si="93"/>
        <v>320.90602854317882</v>
      </c>
      <c r="AE155" s="261">
        <f t="shared" si="93"/>
        <v>132.75415955899788</v>
      </c>
      <c r="AF155" s="261">
        <f t="shared" si="93"/>
        <v>118.44807664991369</v>
      </c>
      <c r="AG155" s="261">
        <f t="shared" si="93"/>
        <v>1793.052617583103</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1082</v>
      </c>
      <c r="G157" t="s">
        <v>168</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0.9267950955609543</v>
      </c>
      <c r="T157" s="330">
        <f t="shared" si="94"/>
        <v>0.85492602901694892</v>
      </c>
      <c r="U157" s="330">
        <f t="shared" si="94"/>
        <v>0.75102645764029818</v>
      </c>
      <c r="V157" s="330">
        <f t="shared" si="94"/>
        <v>0.51406481188200326</v>
      </c>
      <c r="W157" s="330">
        <f t="shared" si="94"/>
        <v>0</v>
      </c>
      <c r="X157" s="330">
        <f t="shared" si="94"/>
        <v>7.3204904439045704E-2</v>
      </c>
      <c r="Y157" s="330">
        <f t="shared" si="94"/>
        <v>0.14507397098305097</v>
      </c>
      <c r="Z157" s="330">
        <f t="shared" si="94"/>
        <v>0.24897354235970173</v>
      </c>
      <c r="AA157" s="330">
        <f t="shared" si="94"/>
        <v>0.48593518811799674</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control'!$H$42:$H$65,MATCH($A$1,'Version control'!$F$42:$F$65,0),1)&amp;"-E: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1092</v>
      </c>
      <c r="I161" t="s">
        <v>155</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1087</v>
      </c>
    </row>
    <row r="162" spans="3:43" x14ac:dyDescent="0.25">
      <c r="C162" s="86"/>
      <c r="D162" s="86" t="s">
        <v>1068</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968</v>
      </c>
      <c r="G164" t="s">
        <v>208</v>
      </c>
      <c r="J164" s="261">
        <f t="shared" ref="J164:AO164" si="95">SUM(J53:J55)</f>
        <v>5530451.7385002505</v>
      </c>
      <c r="K164" s="261">
        <f t="shared" si="95"/>
        <v>25621.294108878443</v>
      </c>
      <c r="L164" s="261">
        <f t="shared" si="95"/>
        <v>1851.3518591897928</v>
      </c>
      <c r="M164" s="261">
        <f t="shared" si="95"/>
        <v>143341.79552454629</v>
      </c>
      <c r="N164" s="261">
        <f t="shared" si="95"/>
        <v>419749.13680105098</v>
      </c>
      <c r="O164" s="261">
        <f t="shared" si="95"/>
        <v>342994.3354645996</v>
      </c>
      <c r="P164" s="261">
        <f t="shared" si="95"/>
        <v>867293.88366948534</v>
      </c>
      <c r="Q164" s="261">
        <f t="shared" si="95"/>
        <v>12883.818406193388</v>
      </c>
      <c r="R164" s="261">
        <f t="shared" si="95"/>
        <v>2004.6721431771143</v>
      </c>
      <c r="S164" s="261">
        <f t="shared" si="95"/>
        <v>423903.12845980888</v>
      </c>
      <c r="T164" s="261">
        <f t="shared" si="95"/>
        <v>372898.58140659495</v>
      </c>
      <c r="U164" s="261">
        <f t="shared" si="95"/>
        <v>269876.21499887644</v>
      </c>
      <c r="V164" s="261">
        <f t="shared" si="95"/>
        <v>249886.98675932753</v>
      </c>
      <c r="W164" s="261">
        <f t="shared" si="95"/>
        <v>763.20597120131924</v>
      </c>
      <c r="X164" s="261">
        <f t="shared" si="95"/>
        <v>44709.396264599214</v>
      </c>
      <c r="Y164" s="261">
        <f t="shared" si="95"/>
        <v>81994.833588932961</v>
      </c>
      <c r="Z164" s="261">
        <f t="shared" si="95"/>
        <v>125100.22886723623</v>
      </c>
      <c r="AA164" s="261">
        <f t="shared" si="95"/>
        <v>377034.30135351216</v>
      </c>
      <c r="AB164" s="261">
        <f t="shared" si="95"/>
        <v>18338.72288449595</v>
      </c>
      <c r="AC164" s="261">
        <f t="shared" si="95"/>
        <v>261069.207888401</v>
      </c>
      <c r="AD164" s="261">
        <f t="shared" si="95"/>
        <v>483933.10673140606</v>
      </c>
      <c r="AE164" s="261">
        <f t="shared" si="95"/>
        <v>452836.47288623167</v>
      </c>
      <c r="AF164" s="261">
        <f t="shared" si="95"/>
        <v>778203.09868775716</v>
      </c>
      <c r="AG164" s="261">
        <f t="shared" si="95"/>
        <v>99106.414557944823</v>
      </c>
      <c r="AH164" s="261">
        <f t="shared" si="95"/>
        <v>184189.02434769861</v>
      </c>
      <c r="AI164" s="261">
        <f t="shared" si="95"/>
        <v>24257.585850642608</v>
      </c>
      <c r="AJ164" s="261">
        <f t="shared" si="95"/>
        <v>77326.91170261096</v>
      </c>
      <c r="AK164" s="261">
        <f t="shared" si="95"/>
        <v>0</v>
      </c>
      <c r="AL164" s="261">
        <f t="shared" si="95"/>
        <v>0</v>
      </c>
      <c r="AM164" s="261">
        <f t="shared" si="95"/>
        <v>0</v>
      </c>
      <c r="AN164" s="261">
        <f t="shared" si="95"/>
        <v>627309.69461242959</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969</v>
      </c>
      <c r="G166" t="s">
        <v>208</v>
      </c>
      <c r="J166" s="261">
        <f t="shared" ref="J166:AO166" si="96">IF(J32,J164, 0)</f>
        <v>5530451.7385002505</v>
      </c>
      <c r="K166" s="261">
        <f t="shared" si="96"/>
        <v>0</v>
      </c>
      <c r="L166" s="261">
        <f t="shared" si="96"/>
        <v>0</v>
      </c>
      <c r="M166" s="261">
        <f t="shared" si="96"/>
        <v>143341.79552454629</v>
      </c>
      <c r="N166" s="261">
        <f t="shared" si="96"/>
        <v>419749.13680105098</v>
      </c>
      <c r="O166" s="261">
        <f t="shared" si="96"/>
        <v>342994.3354645996</v>
      </c>
      <c r="P166" s="261">
        <f t="shared" si="96"/>
        <v>867293.88366948534</v>
      </c>
      <c r="Q166" s="261">
        <f t="shared" si="96"/>
        <v>0</v>
      </c>
      <c r="R166" s="261">
        <f t="shared" si="96"/>
        <v>0</v>
      </c>
      <c r="S166" s="261">
        <f t="shared" si="96"/>
        <v>423903.12845980888</v>
      </c>
      <c r="T166" s="261">
        <f t="shared" si="96"/>
        <v>372898.58140659495</v>
      </c>
      <c r="U166" s="261">
        <f t="shared" si="96"/>
        <v>269876.21499887644</v>
      </c>
      <c r="V166" s="261">
        <f t="shared" si="96"/>
        <v>249886.98675932753</v>
      </c>
      <c r="W166" s="261">
        <f t="shared" si="96"/>
        <v>0</v>
      </c>
      <c r="X166" s="261">
        <f t="shared" si="96"/>
        <v>44709.396264599214</v>
      </c>
      <c r="Y166" s="261">
        <f t="shared" si="96"/>
        <v>81994.833588932961</v>
      </c>
      <c r="Z166" s="261">
        <f t="shared" si="96"/>
        <v>125100.22886723623</v>
      </c>
      <c r="AA166" s="261">
        <f t="shared" si="96"/>
        <v>377034.30135351216</v>
      </c>
      <c r="AB166" s="261">
        <f t="shared" si="96"/>
        <v>0</v>
      </c>
      <c r="AC166" s="261">
        <f t="shared" si="96"/>
        <v>261069.207888401</v>
      </c>
      <c r="AD166" s="261">
        <f t="shared" si="96"/>
        <v>483933.10673140606</v>
      </c>
      <c r="AE166" s="261">
        <f t="shared" si="96"/>
        <v>452836.47288623167</v>
      </c>
      <c r="AF166" s="261">
        <f t="shared" si="96"/>
        <v>778203.09868775716</v>
      </c>
      <c r="AG166" s="261">
        <f t="shared" si="96"/>
        <v>99106.414557944823</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978</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963</v>
      </c>
      <c r="G170" t="s">
        <v>168</v>
      </c>
      <c r="J170" s="13">
        <v>1</v>
      </c>
      <c r="K170" s="100"/>
      <c r="L170" s="119"/>
      <c r="M170" s="331">
        <f>'Volume adjustments'!K689</f>
        <v>8.0312305715455071E-2</v>
      </c>
      <c r="N170" s="331">
        <f>'Volume adjustments'!L689</f>
        <v>0.23691208289669738</v>
      </c>
      <c r="O170" s="331">
        <f>'Volume adjustments'!M689</f>
        <v>0.19341287941282781</v>
      </c>
      <c r="P170" s="331">
        <f>'Volume adjustments'!N689</f>
        <v>0.48881074812133923</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939</v>
      </c>
      <c r="G172" t="s">
        <v>208</v>
      </c>
      <c r="J172" s="261">
        <f>J170*$K164</f>
        <v>25621.294108878443</v>
      </c>
      <c r="K172" s="119"/>
      <c r="L172" s="119"/>
      <c r="M172" s="261">
        <f>M170*$Q164</f>
        <v>1034.7291626206104</v>
      </c>
      <c r="N172" s="261">
        <f>N170*$Q164</f>
        <v>3052.3322542740834</v>
      </c>
      <c r="O172" s="261">
        <f>O170*$Q164</f>
        <v>2491.8964157738533</v>
      </c>
      <c r="P172" s="261">
        <f>P170*$Q164</f>
        <v>6297.7489137908706</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970</v>
      </c>
      <c r="G174" t="s">
        <v>208</v>
      </c>
      <c r="J174" s="261">
        <f t="shared" ref="J174:AO174" si="97">J166+J172</f>
        <v>5556073.0326091293</v>
      </c>
      <c r="K174" s="261">
        <f t="shared" si="97"/>
        <v>0</v>
      </c>
      <c r="L174" s="261">
        <f t="shared" si="97"/>
        <v>0</v>
      </c>
      <c r="M174" s="261">
        <f t="shared" si="97"/>
        <v>144376.52468716691</v>
      </c>
      <c r="N174" s="261">
        <f t="shared" si="97"/>
        <v>422801.46905532508</v>
      </c>
      <c r="O174" s="261">
        <f t="shared" si="97"/>
        <v>345486.23188037344</v>
      </c>
      <c r="P174" s="261">
        <f t="shared" si="97"/>
        <v>873591.63258327625</v>
      </c>
      <c r="Q174" s="261">
        <f t="shared" si="97"/>
        <v>0</v>
      </c>
      <c r="R174" s="261">
        <f t="shared" si="97"/>
        <v>0</v>
      </c>
      <c r="S174" s="261">
        <f t="shared" si="97"/>
        <v>423903.12845980888</v>
      </c>
      <c r="T174" s="261">
        <f t="shared" si="97"/>
        <v>372898.58140659495</v>
      </c>
      <c r="U174" s="261">
        <f t="shared" si="97"/>
        <v>269876.21499887644</v>
      </c>
      <c r="V174" s="261">
        <f t="shared" si="97"/>
        <v>249886.98675932753</v>
      </c>
      <c r="W174" s="261">
        <f t="shared" si="97"/>
        <v>0</v>
      </c>
      <c r="X174" s="261">
        <f t="shared" si="97"/>
        <v>44709.396264599214</v>
      </c>
      <c r="Y174" s="261">
        <f t="shared" si="97"/>
        <v>81994.833588932961</v>
      </c>
      <c r="Z174" s="261">
        <f t="shared" si="97"/>
        <v>125100.22886723623</v>
      </c>
      <c r="AA174" s="261">
        <f t="shared" si="97"/>
        <v>377034.30135351216</v>
      </c>
      <c r="AB174" s="261">
        <f t="shared" si="97"/>
        <v>0</v>
      </c>
      <c r="AC174" s="261">
        <f t="shared" si="97"/>
        <v>261069.207888401</v>
      </c>
      <c r="AD174" s="261">
        <f t="shared" si="97"/>
        <v>483933.10673140606</v>
      </c>
      <c r="AE174" s="261">
        <f t="shared" si="97"/>
        <v>452836.47288623167</v>
      </c>
      <c r="AF174" s="261">
        <f t="shared" si="97"/>
        <v>778203.09868775716</v>
      </c>
      <c r="AG174" s="261">
        <f t="shared" si="97"/>
        <v>99106.414557944823</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control'!$H$42:$H$65,MATCH($A$1,'Version control'!$F$42:$F$65,0),1)&amp;"-F: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1069</v>
      </c>
      <c r="I178" t="s">
        <v>155</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1087</v>
      </c>
    </row>
    <row r="179" spans="3:43" x14ac:dyDescent="0.25">
      <c r="C179" s="86"/>
      <c r="D179" s="86" t="s">
        <v>1070</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1071</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972</v>
      </c>
      <c r="G182" t="s">
        <v>208</v>
      </c>
      <c r="J182" s="261">
        <f t="shared" ref="J182:AO182" si="98">SUMIF($J$149:$AO$149,J149,$J$174:$AO$174)</f>
        <v>5556073.0326091293</v>
      </c>
      <c r="K182" s="261">
        <f t="shared" si="98"/>
        <v>0</v>
      </c>
      <c r="L182" s="261">
        <f t="shared" si="98"/>
        <v>0</v>
      </c>
      <c r="M182" s="261">
        <f t="shared" si="98"/>
        <v>144376.52468716691</v>
      </c>
      <c r="N182" s="261">
        <f t="shared" si="98"/>
        <v>422801.46905532508</v>
      </c>
      <c r="O182" s="261">
        <f t="shared" si="98"/>
        <v>345486.23188037344</v>
      </c>
      <c r="P182" s="261">
        <f t="shared" si="98"/>
        <v>873591.63258327625</v>
      </c>
      <c r="Q182" s="261">
        <f t="shared" si="98"/>
        <v>0</v>
      </c>
      <c r="R182" s="261">
        <f t="shared" si="98"/>
        <v>0</v>
      </c>
      <c r="S182" s="261">
        <f t="shared" si="98"/>
        <v>468612.52472440811</v>
      </c>
      <c r="T182" s="261">
        <f t="shared" si="98"/>
        <v>454893.41499552794</v>
      </c>
      <c r="U182" s="261">
        <f t="shared" si="98"/>
        <v>394976.44386611268</v>
      </c>
      <c r="V182" s="261">
        <f t="shared" si="98"/>
        <v>626921.28811283968</v>
      </c>
      <c r="W182" s="261">
        <f t="shared" si="98"/>
        <v>0</v>
      </c>
      <c r="X182" s="261">
        <f t="shared" si="98"/>
        <v>468612.52472440811</v>
      </c>
      <c r="Y182" s="261">
        <f t="shared" si="98"/>
        <v>454893.41499552794</v>
      </c>
      <c r="Z182" s="261">
        <f t="shared" si="98"/>
        <v>394976.44386611268</v>
      </c>
      <c r="AA182" s="261">
        <f t="shared" si="98"/>
        <v>626921.28811283968</v>
      </c>
      <c r="AB182" s="261">
        <f t="shared" si="98"/>
        <v>0</v>
      </c>
      <c r="AC182" s="261">
        <f t="shared" si="98"/>
        <v>261069.207888401</v>
      </c>
      <c r="AD182" s="261">
        <f t="shared" si="98"/>
        <v>483933.10673140606</v>
      </c>
      <c r="AE182" s="261">
        <f t="shared" si="98"/>
        <v>452836.47288623167</v>
      </c>
      <c r="AF182" s="261">
        <f t="shared" si="98"/>
        <v>778203.09868775716</v>
      </c>
      <c r="AG182" s="261">
        <f t="shared" si="98"/>
        <v>99106.414557944823</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974</v>
      </c>
      <c r="G184" t="s">
        <v>208</v>
      </c>
      <c r="J184" s="261">
        <f>J157*J182</f>
        <v>5556073.0326091293</v>
      </c>
      <c r="K184" s="261">
        <f t="shared" ref="K184:AO184" si="99">K157*K182</f>
        <v>0</v>
      </c>
      <c r="L184" s="261">
        <f t="shared" si="99"/>
        <v>0</v>
      </c>
      <c r="M184" s="261">
        <f t="shared" si="99"/>
        <v>144376.52468716691</v>
      </c>
      <c r="N184" s="261">
        <f t="shared" si="99"/>
        <v>422801.46905532508</v>
      </c>
      <c r="O184" s="261">
        <f t="shared" si="99"/>
        <v>345486.23188037344</v>
      </c>
      <c r="P184" s="261">
        <f t="shared" si="99"/>
        <v>873591.63258327625</v>
      </c>
      <c r="Q184" s="261">
        <f t="shared" si="99"/>
        <v>0</v>
      </c>
      <c r="R184" s="261">
        <f t="shared" si="99"/>
        <v>0</v>
      </c>
      <c r="S184" s="261">
        <f t="shared" si="99"/>
        <v>434307.78963301785</v>
      </c>
      <c r="T184" s="261">
        <f t="shared" si="99"/>
        <v>388900.2209080857</v>
      </c>
      <c r="U184" s="261">
        <f t="shared" si="99"/>
        <v>296637.75948812871</v>
      </c>
      <c r="V184" s="261">
        <f t="shared" si="99"/>
        <v>322278.17403855012</v>
      </c>
      <c r="W184" s="261">
        <f t="shared" si="99"/>
        <v>0</v>
      </c>
      <c r="X184" s="261">
        <f t="shared" si="99"/>
        <v>34304.735091390241</v>
      </c>
      <c r="Y184" s="261">
        <f t="shared" si="99"/>
        <v>65993.194087442185</v>
      </c>
      <c r="Z184" s="261">
        <f t="shared" si="99"/>
        <v>98338.684377983955</v>
      </c>
      <c r="AA184" s="261">
        <f t="shared" si="99"/>
        <v>304643.11407428957</v>
      </c>
      <c r="AB184" s="261">
        <f t="shared" si="99"/>
        <v>0</v>
      </c>
      <c r="AC184" s="261">
        <f t="shared" si="99"/>
        <v>261069.207888401</v>
      </c>
      <c r="AD184" s="261">
        <f t="shared" si="99"/>
        <v>483933.10673140606</v>
      </c>
      <c r="AE184" s="261">
        <f t="shared" si="99"/>
        <v>452836.47288623167</v>
      </c>
      <c r="AF184" s="261">
        <f t="shared" si="99"/>
        <v>778203.09868775716</v>
      </c>
      <c r="AG184" s="261">
        <f t="shared" si="99"/>
        <v>99106.414557944823</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413</v>
      </c>
      <c r="G186" t="s">
        <v>208</v>
      </c>
      <c r="H186" s="261">
        <f>SUM($J$184:$AO$184)</f>
        <v>11362880.863265896</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986</v>
      </c>
      <c r="G188" t="s">
        <v>168</v>
      </c>
      <c r="J188" s="332">
        <f>J184/$H186</f>
        <v>0.48896693536327496</v>
      </c>
      <c r="K188" s="332">
        <f t="shared" ref="K188:AO188" si="100">K184/$H186</f>
        <v>0</v>
      </c>
      <c r="L188" s="332">
        <f t="shared" si="100"/>
        <v>0</v>
      </c>
      <c r="M188" s="332">
        <f t="shared" si="100"/>
        <v>1.2705978917187248E-2</v>
      </c>
      <c r="N188" s="332">
        <f t="shared" si="100"/>
        <v>3.7209003081442531E-2</v>
      </c>
      <c r="O188" s="332">
        <f t="shared" si="100"/>
        <v>3.0404809839841486E-2</v>
      </c>
      <c r="P188" s="332">
        <f t="shared" si="100"/>
        <v>7.6881175037875948E-2</v>
      </c>
      <c r="Q188" s="332">
        <f t="shared" si="100"/>
        <v>0</v>
      </c>
      <c r="R188" s="332">
        <f t="shared" si="100"/>
        <v>0</v>
      </c>
      <c r="S188" s="332">
        <f t="shared" si="100"/>
        <v>3.822162661557555E-2</v>
      </c>
      <c r="T188" s="332">
        <f t="shared" si="100"/>
        <v>3.4225494888829519E-2</v>
      </c>
      <c r="U188" s="332">
        <f t="shared" si="100"/>
        <v>2.610585845770011E-2</v>
      </c>
      <c r="V188" s="332">
        <f t="shared" si="100"/>
        <v>2.8362364959789041E-2</v>
      </c>
      <c r="W188" s="332">
        <f t="shared" si="100"/>
        <v>0</v>
      </c>
      <c r="X188" s="332">
        <f t="shared" si="100"/>
        <v>3.0190174044938851E-3</v>
      </c>
      <c r="Y188" s="332">
        <f t="shared" si="100"/>
        <v>5.8077872048087776E-3</v>
      </c>
      <c r="Z188" s="332">
        <f t="shared" si="100"/>
        <v>8.6543796033182775E-3</v>
      </c>
      <c r="AA188" s="332">
        <f t="shared" si="100"/>
        <v>2.6810376500482788E-2</v>
      </c>
      <c r="AB188" s="332">
        <f t="shared" si="100"/>
        <v>0</v>
      </c>
      <c r="AC188" s="332">
        <f t="shared" si="100"/>
        <v>2.2975617805902526E-2</v>
      </c>
      <c r="AD188" s="332">
        <f t="shared" si="100"/>
        <v>4.2588944877163394E-2</v>
      </c>
      <c r="AE188" s="332">
        <f t="shared" si="100"/>
        <v>3.9852259152885136E-2</v>
      </c>
      <c r="AF188" s="332">
        <f t="shared" si="100"/>
        <v>6.8486425938297443E-2</v>
      </c>
      <c r="AG188" s="332">
        <f t="shared" si="100"/>
        <v>8.7219443511317302E-3</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881</v>
      </c>
      <c r="G190" t="s">
        <v>278</v>
      </c>
      <c r="J190" s="261">
        <f>$H$84 * J188</f>
        <v>27925196.578983609</v>
      </c>
      <c r="K190" s="261">
        <f t="shared" ref="K190:AO190" si="101">$H$84 * K188</f>
        <v>0</v>
      </c>
      <c r="L190" s="261">
        <f t="shared" si="101"/>
        <v>0</v>
      </c>
      <c r="M190" s="261">
        <f t="shared" si="101"/>
        <v>725646.1190515185</v>
      </c>
      <c r="N190" s="261">
        <f t="shared" si="101"/>
        <v>2125028.6070679193</v>
      </c>
      <c r="O190" s="261">
        <f t="shared" si="101"/>
        <v>1736437.0273695183</v>
      </c>
      <c r="P190" s="261">
        <f t="shared" si="101"/>
        <v>4390730.2741460241</v>
      </c>
      <c r="Q190" s="261">
        <f t="shared" si="101"/>
        <v>0</v>
      </c>
      <c r="R190" s="261">
        <f t="shared" si="101"/>
        <v>0</v>
      </c>
      <c r="S190" s="261">
        <f t="shared" si="101"/>
        <v>2182860.14782468</v>
      </c>
      <c r="T190" s="261">
        <f t="shared" si="101"/>
        <v>1954638.6548069795</v>
      </c>
      <c r="U190" s="261">
        <f t="shared" si="101"/>
        <v>1490921.321198913</v>
      </c>
      <c r="V190" s="261">
        <f t="shared" si="101"/>
        <v>1619791.7684527191</v>
      </c>
      <c r="W190" s="261">
        <f t="shared" si="101"/>
        <v>0</v>
      </c>
      <c r="X190" s="261">
        <f t="shared" si="101"/>
        <v>172417.90476738373</v>
      </c>
      <c r="Y190" s="261">
        <f t="shared" si="101"/>
        <v>331686.22999568988</v>
      </c>
      <c r="Z190" s="261">
        <f t="shared" si="101"/>
        <v>494256.83868022269</v>
      </c>
      <c r="AA190" s="261">
        <f t="shared" si="101"/>
        <v>1531156.7715234437</v>
      </c>
      <c r="AB190" s="261">
        <f t="shared" si="101"/>
        <v>0</v>
      </c>
      <c r="AC190" s="261">
        <f t="shared" si="101"/>
        <v>1312151.3896982672</v>
      </c>
      <c r="AD190" s="261">
        <f t="shared" si="101"/>
        <v>2432280.3277131575</v>
      </c>
      <c r="AE190" s="261">
        <f t="shared" si="101"/>
        <v>2275986.5554796816</v>
      </c>
      <c r="AF190" s="261">
        <f t="shared" si="101"/>
        <v>3911301.0901198876</v>
      </c>
      <c r="AG190" s="261">
        <f t="shared" si="101"/>
        <v>498115.50217676029</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control'!$H$42:$H$65,MATCH($A$1,'Version control'!$F$42:$F$65,0),1)&amp;"-G: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984</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882</v>
      </c>
      <c r="G196" t="s">
        <v>1083</v>
      </c>
      <c r="I196" t="s">
        <v>155</v>
      </c>
      <c r="J196" s="261">
        <f t="shared" ref="J196:AO196" si="102">IF(J33, J190/J153, 0)</f>
        <v>17.884718866703032</v>
      </c>
      <c r="K196" s="261">
        <f t="shared" si="102"/>
        <v>0</v>
      </c>
      <c r="L196" s="261">
        <f t="shared" si="102"/>
        <v>0</v>
      </c>
      <c r="M196" s="261">
        <f t="shared" si="102"/>
        <v>11.988835924771054</v>
      </c>
      <c r="N196" s="261">
        <f t="shared" si="102"/>
        <v>48.840890549323994</v>
      </c>
      <c r="O196" s="261">
        <f t="shared" si="102"/>
        <v>98.173817922154853</v>
      </c>
      <c r="P196" s="261">
        <f t="shared" si="102"/>
        <v>238.60224618922436</v>
      </c>
      <c r="Q196" s="261">
        <f t="shared" si="102"/>
        <v>0</v>
      </c>
      <c r="R196" s="261">
        <f t="shared" si="102"/>
        <v>0</v>
      </c>
      <c r="S196" s="261">
        <f t="shared" si="102"/>
        <v>450.99113747127626</v>
      </c>
      <c r="T196" s="261">
        <f t="shared" si="102"/>
        <v>809.38669251837177</v>
      </c>
      <c r="U196" s="261">
        <f t="shared" si="102"/>
        <v>1286.5213596164963</v>
      </c>
      <c r="V196" s="261">
        <f t="shared" si="102"/>
        <v>2850.7856590500323</v>
      </c>
      <c r="W196" s="261">
        <f t="shared" si="102"/>
        <v>0</v>
      </c>
      <c r="X196" s="261">
        <f t="shared" si="102"/>
        <v>450.99113747127637</v>
      </c>
      <c r="Y196" s="261">
        <f t="shared" si="102"/>
        <v>809.38669251837189</v>
      </c>
      <c r="Z196" s="261">
        <f t="shared" si="102"/>
        <v>1286.5213596164958</v>
      </c>
      <c r="AA196" s="261">
        <f t="shared" si="102"/>
        <v>2850.7856590500314</v>
      </c>
      <c r="AB196" s="261">
        <f t="shared" si="102"/>
        <v>0</v>
      </c>
      <c r="AC196" s="261">
        <f t="shared" si="102"/>
        <v>3285.0100332720735</v>
      </c>
      <c r="AD196" s="261">
        <f t="shared" si="102"/>
        <v>7579.4161261320378</v>
      </c>
      <c r="AE196" s="261">
        <f t="shared" si="102"/>
        <v>17144.3709412977</v>
      </c>
      <c r="AF196" s="261">
        <f t="shared" si="102"/>
        <v>33021.229223334441</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1096</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882</v>
      </c>
      <c r="G198" t="s">
        <v>271</v>
      </c>
      <c r="I198" t="s">
        <v>155</v>
      </c>
      <c r="J198" s="261">
        <f t="shared" ref="J198:AO198" si="103">J196 * hundred / days_in_year</f>
        <v>4.8865352094817034</v>
      </c>
      <c r="K198" s="261">
        <f t="shared" si="103"/>
        <v>0</v>
      </c>
      <c r="L198" s="261">
        <f t="shared" si="103"/>
        <v>0</v>
      </c>
      <c r="M198" s="261">
        <f t="shared" si="103"/>
        <v>3.2756382308117633</v>
      </c>
      <c r="N198" s="261">
        <f t="shared" si="103"/>
        <v>13.344505614569398</v>
      </c>
      <c r="O198" s="261">
        <f t="shared" si="103"/>
        <v>26.823447519714438</v>
      </c>
      <c r="P198" s="261">
        <f t="shared" si="103"/>
        <v>65.191870543503924</v>
      </c>
      <c r="Q198" s="261">
        <f t="shared" si="103"/>
        <v>0</v>
      </c>
      <c r="R198" s="261">
        <f t="shared" si="103"/>
        <v>0</v>
      </c>
      <c r="S198" s="261">
        <f t="shared" si="103"/>
        <v>123.22162225991154</v>
      </c>
      <c r="T198" s="261">
        <f t="shared" si="103"/>
        <v>221.14390505966441</v>
      </c>
      <c r="U198" s="261">
        <f t="shared" si="103"/>
        <v>351.50856820122851</v>
      </c>
      <c r="V198" s="261">
        <f t="shared" si="103"/>
        <v>778.90318553279565</v>
      </c>
      <c r="W198" s="261">
        <f t="shared" si="103"/>
        <v>0</v>
      </c>
      <c r="X198" s="261">
        <f t="shared" si="103"/>
        <v>123.22162225991158</v>
      </c>
      <c r="Y198" s="261">
        <f t="shared" si="103"/>
        <v>221.14390505966443</v>
      </c>
      <c r="Z198" s="261">
        <f t="shared" si="103"/>
        <v>351.5085682012284</v>
      </c>
      <c r="AA198" s="261">
        <f t="shared" si="103"/>
        <v>778.90318553279553</v>
      </c>
      <c r="AB198" s="261">
        <f t="shared" si="103"/>
        <v>0</v>
      </c>
      <c r="AC198" s="261">
        <f t="shared" si="103"/>
        <v>897.54372493772496</v>
      </c>
      <c r="AD198" s="261">
        <f t="shared" si="103"/>
        <v>2070.8787229868958</v>
      </c>
      <c r="AE198" s="261">
        <f t="shared" si="103"/>
        <v>4684.2543555458196</v>
      </c>
      <c r="AF198" s="261">
        <f t="shared" si="103"/>
        <v>9022.1937768673342</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1097</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control'!$H$42:$H$65,MATCH($A$1,'Version control'!$F$42:$F$65,0),1)&amp;"-H: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980</v>
      </c>
      <c r="E202"/>
      <c r="I202" t="s">
        <v>155</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1088</v>
      </c>
    </row>
    <row r="203" spans="3:43" x14ac:dyDescent="0.25">
      <c r="C203" s="86"/>
      <c r="D203" s="86" t="s">
        <v>981</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883</v>
      </c>
      <c r="G205" t="s">
        <v>884</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5.0260672268143223</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883</v>
      </c>
      <c r="G207" t="s">
        <v>270</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0.50260672268143225</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987</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988</v>
      </c>
      <c r="I211" t="s">
        <v>155</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1072</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control'!$H$42:$H$65,MATCH($A$1,'Version control'!$F$42:$F$65,0),1)&amp;"-I: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989</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990</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991</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1093</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992</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993</v>
      </c>
      <c r="G222" t="s">
        <v>271</v>
      </c>
      <c r="J222" s="261">
        <f t="array" ref="J222">MIN(IF($J149:$AO149=J149,$J43:$AO43+$J48:$AO48))</f>
        <v>12.946189424369491</v>
      </c>
      <c r="K222" s="261">
        <f t="array" ref="K222">MIN(IF($J149:$AO149=K149,$J43:$AO43+$J48:$AO48))</f>
        <v>0</v>
      </c>
      <c r="L222" s="261">
        <f t="array" ref="L222">MIN(IF($J149:$AO149=L149,$J43:$AO43+$J48:$AO48))</f>
        <v>0</v>
      </c>
      <c r="M222" s="261">
        <f t="array" ref="M222">MIN(IF($J149:$AO149=M149,$J43:$AO43+$J48:$AO48))</f>
        <v>19.249864891018355</v>
      </c>
      <c r="N222" s="261">
        <f t="array" ref="N222">MIN(IF($J149:$AO149=N149,$J43:$AO43+$J48:$AO48))</f>
        <v>19.249864891018355</v>
      </c>
      <c r="O222" s="261">
        <f t="array" ref="O222">MIN(IF($J149:$AO149=O149,$J43:$AO43+$J48:$AO48))</f>
        <v>19.249864891018355</v>
      </c>
      <c r="P222" s="261">
        <f t="array" ref="P222">MIN(IF($J149:$AO149=P149,$J43:$AO43+$J48:$AO48))</f>
        <v>19.249864891018355</v>
      </c>
      <c r="Q222" s="261">
        <f t="array" ref="Q222">MIN(IF($J149:$AO149=Q149,$J43:$AO43+$J48:$AO48))</f>
        <v>0</v>
      </c>
      <c r="R222" s="261">
        <f t="array" ref="R222">MIN(IF($J149:$AO149=R149,$J43:$AO43+$J48:$AO48))</f>
        <v>0</v>
      </c>
      <c r="S222" s="261">
        <f t="array" ref="S222">MIN(IF($J149:$AO149=S149,$J43:$AO43+$J48:$AO48))</f>
        <v>14.898612013947742</v>
      </c>
      <c r="T222" s="261">
        <f t="array" ref="T222">MIN(IF($J149:$AO149=T149,$J43:$AO43+$J48:$AO48))</f>
        <v>14.898612013947742</v>
      </c>
      <c r="U222" s="261">
        <f t="array" ref="U222">MIN(IF($J149:$AO149=U149,$J43:$AO43+$J48:$AO48))</f>
        <v>14.898612013947742</v>
      </c>
      <c r="V222" s="261">
        <f t="array" ref="V222">MIN(IF($J149:$AO149=V149,$J43:$AO43+$J48:$AO48))</f>
        <v>14.898612013947742</v>
      </c>
      <c r="W222" s="261">
        <f t="array" ref="W222">MIN(IF($J149:$AO149=W149,$J43:$AO43+$J48:$AO48))</f>
        <v>0</v>
      </c>
      <c r="X222" s="261">
        <f t="array" ref="X222">MIN(IF($J149:$AO149=X149,$J43:$AO43+$J48:$AO48))</f>
        <v>14.898612013947742</v>
      </c>
      <c r="Y222" s="261">
        <f t="array" ref="Y222">MIN(IF($J149:$AO149=Y149,$J43:$AO43+$J48:$AO48))</f>
        <v>14.898612013947742</v>
      </c>
      <c r="Z222" s="261">
        <f t="array" ref="Z222">MIN(IF($J149:$AO149=Z149,$J43:$AO43+$J48:$AO48))</f>
        <v>14.898612013947742</v>
      </c>
      <c r="AA222" s="261">
        <f t="array" ref="AA222">MIN(IF($J149:$AO149=AA149,$J43:$AO43+$J48:$AO48))</f>
        <v>14.898612013947742</v>
      </c>
      <c r="AB222" s="261">
        <f t="array" ref="AB222">MIN(IF($J149:$AO149=AB149,$J43:$AO43+$J48:$AO48))</f>
        <v>0</v>
      </c>
      <c r="AC222" s="261">
        <f t="array" ref="AC222">MIN(IF($J149:$AO149=AC149,$J43:$AO43+$J48:$AO48))</f>
        <v>137.54153750078822</v>
      </c>
      <c r="AD222" s="261">
        <f t="array" ref="AD222">MIN(IF($J149:$AO149=AD149,$J43:$AO43+$J48:$AO48))</f>
        <v>137.54153750078822</v>
      </c>
      <c r="AE222" s="261">
        <f t="array" ref="AE222">MIN(IF($J149:$AO149=AE149,$J43:$AO43+$J48:$AO48))</f>
        <v>137.54153750078822</v>
      </c>
      <c r="AF222" s="261">
        <f t="array" ref="AF222">MIN(IF($J149:$AO149=AF149,$J43:$AO43+$J48:$AO48))</f>
        <v>137.54153750078822</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994</v>
      </c>
      <c r="G224" t="s">
        <v>271</v>
      </c>
      <c r="J224" s="261">
        <f>MAX(-J222,J198)</f>
        <v>4.8865352094817034</v>
      </c>
      <c r="K224" s="261">
        <f t="shared" ref="K224:AO224" si="106">MAX(-K222,K198)</f>
        <v>0</v>
      </c>
      <c r="L224" s="261">
        <f t="shared" si="106"/>
        <v>0</v>
      </c>
      <c r="M224" s="261">
        <f t="shared" si="106"/>
        <v>3.2756382308117633</v>
      </c>
      <c r="N224" s="261">
        <f t="shared" si="106"/>
        <v>13.344505614569398</v>
      </c>
      <c r="O224" s="261">
        <f t="shared" si="106"/>
        <v>26.823447519714438</v>
      </c>
      <c r="P224" s="261">
        <f t="shared" si="106"/>
        <v>65.191870543503924</v>
      </c>
      <c r="Q224" s="261">
        <f t="shared" si="106"/>
        <v>0</v>
      </c>
      <c r="R224" s="261">
        <f t="shared" si="106"/>
        <v>0</v>
      </c>
      <c r="S224" s="261">
        <f t="shared" si="106"/>
        <v>123.22162225991154</v>
      </c>
      <c r="T224" s="261">
        <f t="shared" si="106"/>
        <v>221.14390505966441</v>
      </c>
      <c r="U224" s="261">
        <f t="shared" si="106"/>
        <v>351.50856820122851</v>
      </c>
      <c r="V224" s="261">
        <f t="shared" si="106"/>
        <v>778.90318553279565</v>
      </c>
      <c r="W224" s="261">
        <f t="shared" si="106"/>
        <v>0</v>
      </c>
      <c r="X224" s="261">
        <f t="shared" si="106"/>
        <v>123.22162225991158</v>
      </c>
      <c r="Y224" s="261">
        <f t="shared" si="106"/>
        <v>221.14390505966443</v>
      </c>
      <c r="Z224" s="261">
        <f t="shared" si="106"/>
        <v>351.5085682012284</v>
      </c>
      <c r="AA224" s="261">
        <f t="shared" si="106"/>
        <v>778.90318553279553</v>
      </c>
      <c r="AB224" s="261">
        <f t="shared" si="106"/>
        <v>0</v>
      </c>
      <c r="AC224" s="261">
        <f t="shared" si="106"/>
        <v>897.54372493772496</v>
      </c>
      <c r="AD224" s="261">
        <f t="shared" si="106"/>
        <v>2070.8787229868958</v>
      </c>
      <c r="AE224" s="261">
        <f t="shared" si="106"/>
        <v>4684.2543555458196</v>
      </c>
      <c r="AF224" s="261">
        <f t="shared" si="106"/>
        <v>9022.1937768673342</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995</v>
      </c>
      <c r="G226" t="s">
        <v>271</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996</v>
      </c>
      <c r="G228" t="s">
        <v>880</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997</v>
      </c>
      <c r="G230" t="s">
        <v>880</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control'!$H$42:$H$65,MATCH($A$1,'Version control'!$F$42:$F$65,0),1)&amp;"-J: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998</v>
      </c>
      <c r="I234" t="s">
        <v>155</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1072</v>
      </c>
    </row>
    <row r="235" spans="3:43" x14ac:dyDescent="0.25">
      <c r="C235" s="86"/>
      <c r="D235" s="86" t="s">
        <v>999</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1000</v>
      </c>
      <c r="G237" t="s">
        <v>862</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1001</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1002</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1003</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1004</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1005</v>
      </c>
      <c r="G244" s="95" t="s">
        <v>150</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1006</v>
      </c>
      <c r="G245" t="s">
        <v>150</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1007</v>
      </c>
      <c r="G246" s="96" t="s">
        <v>150</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1008</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1005</v>
      </c>
      <c r="G249" s="95" t="s">
        <v>270</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1006</v>
      </c>
      <c r="G250" t="s">
        <v>270</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1007</v>
      </c>
      <c r="G251" s="96" t="s">
        <v>270</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1009</v>
      </c>
      <c r="I253" t="s">
        <v>155</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1098</v>
      </c>
    </row>
    <row r="254" spans="3:43" x14ac:dyDescent="0.25">
      <c r="C254" s="86"/>
      <c r="E254" s="2" t="s">
        <v>1010</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1011</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1005</v>
      </c>
      <c r="G257" s="95" t="s">
        <v>270</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1006</v>
      </c>
      <c r="G258" t="s">
        <v>270</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1007</v>
      </c>
      <c r="G259" s="96" t="s">
        <v>270</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1012</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1005</v>
      </c>
      <c r="G262" s="95" t="s">
        <v>270</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1006</v>
      </c>
      <c r="G263" t="s">
        <v>270</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1007</v>
      </c>
      <c r="G264" s="96" t="s">
        <v>270</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1013</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1005</v>
      </c>
      <c r="G267" s="95" t="s">
        <v>150</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1006</v>
      </c>
      <c r="G268" t="s">
        <v>150</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1007</v>
      </c>
      <c r="G269" s="96" t="s">
        <v>150</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1014</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1005</v>
      </c>
      <c r="G272" s="95" t="s">
        <v>208</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1006</v>
      </c>
      <c r="G273" t="s">
        <v>208</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1007</v>
      </c>
      <c r="G274" s="96" t="s">
        <v>208</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1015</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1005</v>
      </c>
      <c r="G277" s="95" t="s">
        <v>208</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1006</v>
      </c>
      <c r="G278" t="s">
        <v>208</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1007</v>
      </c>
      <c r="G279" s="96" t="s">
        <v>208</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1016</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1005</v>
      </c>
      <c r="G282" s="95" t="s">
        <v>208</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1006</v>
      </c>
      <c r="G283" t="s">
        <v>208</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1007</v>
      </c>
      <c r="G284" s="96" t="s">
        <v>208</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control'!$H$42:$H$65,MATCH($A$1,'Version control'!$F$42:$F$65,0),1)&amp;"-K: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1017</v>
      </c>
      <c r="E288" s="75"/>
      <c r="I288" t="s">
        <v>155</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1072</v>
      </c>
    </row>
    <row r="289" spans="3:44" x14ac:dyDescent="0.25">
      <c r="C289" s="86"/>
      <c r="D289" s="86" t="s">
        <v>1018</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1019</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1020</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1021</v>
      </c>
      <c r="G293" t="s">
        <v>880</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1022</v>
      </c>
      <c r="G295" t="s">
        <v>880</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970</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1023</v>
      </c>
      <c r="G298" t="s">
        <v>208</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972</v>
      </c>
      <c r="G300" t="s">
        <v>208</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974</v>
      </c>
      <c r="G302" t="s">
        <v>208</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1024</v>
      </c>
      <c r="G304" t="s">
        <v>270</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1025</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1005</v>
      </c>
      <c r="G307" s="95" t="s">
        <v>862</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1006</v>
      </c>
      <c r="G308" t="s">
        <v>862</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1007</v>
      </c>
      <c r="G309" s="96" t="s">
        <v>862</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1026</v>
      </c>
      <c r="G311" t="s">
        <v>862</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control'!$H$42:$H$65,MATCH($A$1,'Version control'!$F$42:$F$65,0),1)&amp;"-L: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1094</v>
      </c>
      <c r="E315" s="75"/>
      <c r="I315" t="s">
        <v>155</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1072</v>
      </c>
    </row>
    <row r="316" spans="3:43" x14ac:dyDescent="0.25">
      <c r="C316" s="86"/>
      <c r="D316" s="86" t="s">
        <v>1027</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1028</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1029</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1030</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1031</v>
      </c>
      <c r="G321" t="s">
        <v>880</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1032</v>
      </c>
      <c r="G323" t="s">
        <v>880</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1021</v>
      </c>
      <c r="G325" t="s">
        <v>880</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1022</v>
      </c>
      <c r="G327" t="s">
        <v>880</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970</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1033</v>
      </c>
      <c r="G330" t="s">
        <v>208</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972</v>
      </c>
      <c r="G332" t="s">
        <v>208</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974</v>
      </c>
      <c r="G334" t="s">
        <v>208</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1034</v>
      </c>
      <c r="G336" t="s">
        <v>270</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1035</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1005</v>
      </c>
      <c r="G339" s="95" t="s">
        <v>862</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1006</v>
      </c>
      <c r="G340" t="s">
        <v>862</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1007</v>
      </c>
      <c r="G341" s="96" t="s">
        <v>862</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1036</v>
      </c>
      <c r="G343" t="s">
        <v>862</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control'!$H$42:$H$65,MATCH($A$1,'Version control'!$F$42:$F$65,0),1)&amp;"-M: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1094</v>
      </c>
      <c r="E347" s="75"/>
      <c r="I347" t="s">
        <v>155</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1072</v>
      </c>
    </row>
    <row r="348" spans="3:43" x14ac:dyDescent="0.25">
      <c r="C348" s="86"/>
      <c r="D348" s="86" t="s">
        <v>1037</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1028</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1029</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1038</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1039</v>
      </c>
      <c r="G353" t="s">
        <v>880</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1032</v>
      </c>
      <c r="G355" t="s">
        <v>880</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1021</v>
      </c>
      <c r="G357" t="s">
        <v>880</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1022</v>
      </c>
      <c r="G359" t="s">
        <v>880</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970</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1033</v>
      </c>
      <c r="G362" t="s">
        <v>208</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972</v>
      </c>
      <c r="G364" t="s">
        <v>208</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974</v>
      </c>
      <c r="G366" t="s">
        <v>208</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1040</v>
      </c>
      <c r="G368" t="s">
        <v>270</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1041</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1005</v>
      </c>
      <c r="G371" s="95" t="s">
        <v>862</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1006</v>
      </c>
      <c r="G372" t="s">
        <v>862</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1007</v>
      </c>
      <c r="G373" s="96" t="s">
        <v>862</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1042</v>
      </c>
      <c r="G375" t="s">
        <v>862</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control'!$H$42:$H$65,MATCH($A$1,'Version control'!$F$42:$F$65,0),1)&amp;"-N: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1090</v>
      </c>
      <c r="E379" s="75"/>
      <c r="I379" t="s">
        <v>155</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1072</v>
      </c>
    </row>
    <row r="380" spans="3:43" x14ac:dyDescent="0.25">
      <c r="C380" s="86"/>
      <c r="D380" s="86" t="s">
        <v>1043</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1044</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1045</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1046</v>
      </c>
      <c r="G384" s="95" t="s">
        <v>862</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1047</v>
      </c>
      <c r="G385" t="s">
        <v>862</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1048</v>
      </c>
      <c r="G386" s="96" t="s">
        <v>862</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1049</v>
      </c>
      <c r="G388" t="s">
        <v>150</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1050</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1046</v>
      </c>
      <c r="G391" s="95" t="s">
        <v>862</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1047</v>
      </c>
      <c r="G392" t="s">
        <v>862</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1048</v>
      </c>
      <c r="G393" s="96" t="s">
        <v>862</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1051</v>
      </c>
      <c r="G395" t="s">
        <v>270</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1052</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1005</v>
      </c>
      <c r="G398" s="95" t="s">
        <v>270</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1006</v>
      </c>
      <c r="G399" t="s">
        <v>270</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1007</v>
      </c>
      <c r="G400" s="96" t="s">
        <v>270</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1053</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157</v>
      </c>
      <c r="G403" s="95" t="s">
        <v>270</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158</v>
      </c>
      <c r="G404" t="s">
        <v>270</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159</v>
      </c>
      <c r="G405" s="96" t="s">
        <v>270</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971</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control'!$H$42:$H$65,MATCH($A$1,'Version control'!$F$42:$F$65,0),1)&amp;"-O: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887</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157</v>
      </c>
      <c r="G412" s="95" t="s">
        <v>270</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0.50260672268143225</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158</v>
      </c>
      <c r="G413" t="s">
        <v>270</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0.50260672268143225</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159</v>
      </c>
      <c r="G414" t="s">
        <v>270</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0.50260672268143225</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160</v>
      </c>
      <c r="G415" t="s">
        <v>271</v>
      </c>
      <c r="J415" s="307">
        <f t="shared" ref="J415:AO415" si="167">J224</f>
        <v>4.8865352094817034</v>
      </c>
      <c r="K415" s="307">
        <f t="shared" si="167"/>
        <v>0</v>
      </c>
      <c r="L415" s="307">
        <f t="shared" si="167"/>
        <v>0</v>
      </c>
      <c r="M415" s="307">
        <f t="shared" si="167"/>
        <v>3.2756382308117633</v>
      </c>
      <c r="N415" s="307">
        <f t="shared" si="167"/>
        <v>13.344505614569398</v>
      </c>
      <c r="O415" s="307">
        <f t="shared" si="167"/>
        <v>26.823447519714438</v>
      </c>
      <c r="P415" s="307">
        <f t="shared" si="167"/>
        <v>65.191870543503924</v>
      </c>
      <c r="Q415" s="307">
        <f t="shared" si="167"/>
        <v>0</v>
      </c>
      <c r="R415" s="307">
        <f t="shared" si="167"/>
        <v>0</v>
      </c>
      <c r="S415" s="307">
        <f t="shared" si="167"/>
        <v>123.22162225991154</v>
      </c>
      <c r="T415" s="307">
        <f t="shared" si="167"/>
        <v>221.14390505966441</v>
      </c>
      <c r="U415" s="307">
        <f t="shared" si="167"/>
        <v>351.50856820122851</v>
      </c>
      <c r="V415" s="307">
        <f t="shared" si="167"/>
        <v>778.90318553279565</v>
      </c>
      <c r="W415" s="307">
        <f t="shared" si="167"/>
        <v>0</v>
      </c>
      <c r="X415" s="307">
        <f t="shared" si="167"/>
        <v>123.22162225991158</v>
      </c>
      <c r="Y415" s="307">
        <f t="shared" si="167"/>
        <v>221.14390505966443</v>
      </c>
      <c r="Z415" s="307">
        <f t="shared" si="167"/>
        <v>351.5085682012284</v>
      </c>
      <c r="AA415" s="307">
        <f t="shared" si="167"/>
        <v>778.90318553279553</v>
      </c>
      <c r="AB415" s="307">
        <f t="shared" si="167"/>
        <v>0</v>
      </c>
      <c r="AC415" s="307">
        <f t="shared" si="167"/>
        <v>897.54372493772496</v>
      </c>
      <c r="AD415" s="307">
        <f t="shared" si="167"/>
        <v>2070.8787229868958</v>
      </c>
      <c r="AE415" s="307">
        <f t="shared" si="167"/>
        <v>4684.2543555458196</v>
      </c>
      <c r="AF415" s="307">
        <f t="shared" si="167"/>
        <v>9022.1937768673342</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161</v>
      </c>
      <c r="G416" t="s">
        <v>272</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162</v>
      </c>
      <c r="G417" t="s">
        <v>272</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163</v>
      </c>
      <c r="G418" s="96" t="s">
        <v>273</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232</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1054</v>
      </c>
      <c r="F422" s="94"/>
      <c r="G422" t="s">
        <v>880</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1055</v>
      </c>
      <c r="F424" s="94"/>
      <c r="G424" t="s">
        <v>880</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1056</v>
      </c>
      <c r="F426" s="94"/>
      <c r="G426" t="s">
        <v>862</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1057</v>
      </c>
      <c r="G428" s="6" t="s">
        <v>57</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233</v>
      </c>
      <c r="G430" s="6" t="s">
        <v>57</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886</v>
      </c>
      <c r="G432" s="6" t="s">
        <v>57</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108</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700</v>
      </c>
      <c r="E9"/>
    </row>
    <row r="10" spans="1:43" x14ac:dyDescent="0.25">
      <c r="C10" s="86" t="s">
        <v>701</v>
      </c>
      <c r="E10"/>
    </row>
    <row r="12" spans="1:43" x14ac:dyDescent="0.25">
      <c r="B12" s="85" t="s">
        <v>702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703</v>
      </c>
    </row>
    <row r="16" spans="1:43" x14ac:dyDescent="0.25">
      <c r="C16" s="93" t="str">
        <f ca="1">INDEX('Version control'!$H$42:$H$65,MATCH($A$1,'Version control'!$F$42:$F$65,0),1)&amp;"-A: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704</v>
      </c>
      <c r="F18" s="75"/>
    </row>
    <row r="19" spans="3:43" x14ac:dyDescent="0.25">
      <c r="E19" s="86" t="s">
        <v>705</v>
      </c>
      <c r="F19" s="2"/>
    </row>
    <row r="20" spans="3:43" x14ac:dyDescent="0.25">
      <c r="C20" s="105"/>
      <c r="F20" s="95" t="s">
        <v>157</v>
      </c>
      <c r="G20" s="95" t="s">
        <v>270</v>
      </c>
      <c r="H20" s="278"/>
      <c r="I20" s="266"/>
      <c r="J20" s="278">
        <f>'Revenue matching'!J40</f>
        <v>25.395136853030557</v>
      </c>
      <c r="K20" s="278">
        <f>'Revenue matching'!K40</f>
        <v>25.395136853030557</v>
      </c>
      <c r="L20" s="278">
        <f>'Revenue matching'!L40</f>
        <v>24.844477123489018</v>
      </c>
      <c r="M20" s="278">
        <f>'Revenue matching'!M40</f>
        <v>24.844477123489018</v>
      </c>
      <c r="N20" s="278">
        <f>'Revenue matching'!N40</f>
        <v>24.844477123489018</v>
      </c>
      <c r="O20" s="278">
        <f>'Revenue matching'!O40</f>
        <v>24.844477123489018</v>
      </c>
      <c r="P20" s="278">
        <f>'Revenue matching'!P40</f>
        <v>24.844477123489018</v>
      </c>
      <c r="Q20" s="278">
        <f>'Revenue matching'!Q40</f>
        <v>24.844477123489018</v>
      </c>
      <c r="R20" s="278">
        <f>'Revenue matching'!R40</f>
        <v>15.429151116302295</v>
      </c>
      <c r="S20" s="278">
        <f>'Revenue matching'!S40</f>
        <v>15.429151116302295</v>
      </c>
      <c r="T20" s="278">
        <f>'Revenue matching'!T40</f>
        <v>15.429151116302295</v>
      </c>
      <c r="U20" s="278">
        <f>'Revenue matching'!U40</f>
        <v>15.429151116302295</v>
      </c>
      <c r="V20" s="278">
        <f>'Revenue matching'!V40</f>
        <v>15.429151116302295</v>
      </c>
      <c r="W20" s="278">
        <f>'Revenue matching'!W40</f>
        <v>9.8212748354902395</v>
      </c>
      <c r="X20" s="278">
        <f>'Revenue matching'!X40</f>
        <v>9.8212748354902395</v>
      </c>
      <c r="Y20" s="278">
        <f>'Revenue matching'!Y40</f>
        <v>9.8212748354902395</v>
      </c>
      <c r="Z20" s="278">
        <f>'Revenue matching'!Z40</f>
        <v>9.8212748354902395</v>
      </c>
      <c r="AA20" s="278">
        <f>'Revenue matching'!AA40</f>
        <v>9.8212748354902395</v>
      </c>
      <c r="AB20" s="278">
        <f>'Revenue matching'!AB40</f>
        <v>7.5003520676968254</v>
      </c>
      <c r="AC20" s="278">
        <f>'Revenue matching'!AC40</f>
        <v>7.5003520676968254</v>
      </c>
      <c r="AD20" s="278">
        <f>'Revenue matching'!AD40</f>
        <v>7.5003520676968254</v>
      </c>
      <c r="AE20" s="278">
        <f>'Revenue matching'!AE40</f>
        <v>7.5003520676968254</v>
      </c>
      <c r="AF20" s="278">
        <f>'Revenue matching'!AF40</f>
        <v>7.5003520676968254</v>
      </c>
      <c r="AG20" s="278">
        <f>'Revenue matching'!AG40</f>
        <v>75.305541892989694</v>
      </c>
      <c r="AH20" s="278">
        <f>'Revenue matching'!AH40</f>
        <v>-15.280425382806436</v>
      </c>
      <c r="AI20" s="278">
        <f>'Revenue matching'!AI40</f>
        <v>-13.108991883469402</v>
      </c>
      <c r="AJ20" s="278">
        <f>'Revenue matching'!AJ40</f>
        <v>-15.280425382806436</v>
      </c>
      <c r="AK20" s="278">
        <f>'Revenue matching'!AK40</f>
        <v>-15.280425382806436</v>
      </c>
      <c r="AL20" s="278">
        <f>'Revenue matching'!AL40</f>
        <v>-13.108991883469402</v>
      </c>
      <c r="AM20" s="278">
        <f>'Revenue matching'!AM40</f>
        <v>-13.108991883469402</v>
      </c>
      <c r="AN20" s="278">
        <f>'Revenue matching'!AN40</f>
        <v>-8.1964824270810812</v>
      </c>
      <c r="AO20" s="278">
        <f>'Revenue matching'!AO40</f>
        <v>-8.1964824270810812</v>
      </c>
      <c r="AP20" s="268"/>
      <c r="AQ20" s="268"/>
    </row>
    <row r="21" spans="3:43" x14ac:dyDescent="0.25">
      <c r="C21" s="105"/>
      <c r="F21" t="s">
        <v>158</v>
      </c>
      <c r="G21" t="s">
        <v>270</v>
      </c>
      <c r="H21" s="279"/>
      <c r="I21" s="268"/>
      <c r="J21" s="279">
        <f>'Revenue matching'!J41</f>
        <v>2.0255668188196898</v>
      </c>
      <c r="K21" s="279">
        <f>'Revenue matching'!K41</f>
        <v>2.0255668188196898</v>
      </c>
      <c r="L21" s="279">
        <f>'Revenue matching'!L41</f>
        <v>1.9816450993552617</v>
      </c>
      <c r="M21" s="279">
        <f>'Revenue matching'!M41</f>
        <v>1.9816450993552617</v>
      </c>
      <c r="N21" s="279">
        <f>'Revenue matching'!N41</f>
        <v>1.9816450993552617</v>
      </c>
      <c r="O21" s="279">
        <f>'Revenue matching'!O41</f>
        <v>1.9816450993552617</v>
      </c>
      <c r="P21" s="279">
        <f>'Revenue matching'!P41</f>
        <v>1.9816450993552617</v>
      </c>
      <c r="Q21" s="279">
        <f>'Revenue matching'!Q41</f>
        <v>1.9816450993552617</v>
      </c>
      <c r="R21" s="279">
        <f>'Revenue matching'!R41</f>
        <v>1.0970359548046356</v>
      </c>
      <c r="S21" s="279">
        <f>'Revenue matching'!S41</f>
        <v>1.0970359548046356</v>
      </c>
      <c r="T21" s="279">
        <f>'Revenue matching'!T41</f>
        <v>1.0970359548046356</v>
      </c>
      <c r="U21" s="279">
        <f>'Revenue matching'!U41</f>
        <v>1.0970359548046356</v>
      </c>
      <c r="V21" s="279">
        <f>'Revenue matching'!V41</f>
        <v>1.0970359548046356</v>
      </c>
      <c r="W21" s="279">
        <f>'Revenue matching'!W41</f>
        <v>0.49592572828189158</v>
      </c>
      <c r="X21" s="279">
        <f>'Revenue matching'!X41</f>
        <v>0.49592572828189158</v>
      </c>
      <c r="Y21" s="279">
        <f>'Revenue matching'!Y41</f>
        <v>0.49592572828189158</v>
      </c>
      <c r="Z21" s="279">
        <f>'Revenue matching'!Z41</f>
        <v>0.49592572828189158</v>
      </c>
      <c r="AA21" s="279">
        <f>'Revenue matching'!AA41</f>
        <v>0.49592572828189158</v>
      </c>
      <c r="AB21" s="279">
        <f>'Revenue matching'!AB41</f>
        <v>0.28752383061602405</v>
      </c>
      <c r="AC21" s="279">
        <f>'Revenue matching'!AC41</f>
        <v>0.28752383061602405</v>
      </c>
      <c r="AD21" s="279">
        <f>'Revenue matching'!AD41</f>
        <v>0.28752383061602405</v>
      </c>
      <c r="AE21" s="279">
        <f>'Revenue matching'!AE41</f>
        <v>0.28752383061602405</v>
      </c>
      <c r="AF21" s="279">
        <f>'Revenue matching'!AF41</f>
        <v>0.28752383061602405</v>
      </c>
      <c r="AG21" s="279">
        <f>'Revenue matching'!AG41</f>
        <v>3.6473004752013618</v>
      </c>
      <c r="AH21" s="279">
        <f>'Revenue matching'!AH41</f>
        <v>-1.2187972371241318</v>
      </c>
      <c r="AI21" s="279">
        <f>'Revenue matching'!AI41</f>
        <v>-0.97486597250895268</v>
      </c>
      <c r="AJ21" s="279">
        <f>'Revenue matching'!AJ41</f>
        <v>-1.2187972371241318</v>
      </c>
      <c r="AK21" s="279">
        <f>'Revenue matching'!AK41</f>
        <v>-1.2187972371241318</v>
      </c>
      <c r="AL21" s="279">
        <f>'Revenue matching'!AL41</f>
        <v>-0.97486597250895268</v>
      </c>
      <c r="AM21" s="279">
        <f>'Revenue matching'!AM41</f>
        <v>-0.97486597250895268</v>
      </c>
      <c r="AN21" s="279">
        <f>'Revenue matching'!AN41</f>
        <v>-0.41388176026916063</v>
      </c>
      <c r="AO21" s="279">
        <f>'Revenue matching'!AO41</f>
        <v>-0.41388176026916063</v>
      </c>
      <c r="AP21" s="268"/>
      <c r="AQ21" s="268"/>
    </row>
    <row r="22" spans="3:43" x14ac:dyDescent="0.25">
      <c r="C22" s="105"/>
      <c r="F22" t="s">
        <v>159</v>
      </c>
      <c r="G22" t="s">
        <v>270</v>
      </c>
      <c r="H22" s="279"/>
      <c r="I22" s="268"/>
      <c r="J22" s="279">
        <f>'Revenue matching'!J42</f>
        <v>0.20028453291725412</v>
      </c>
      <c r="K22" s="279">
        <f>'Revenue matching'!K42</f>
        <v>0.20028453291725412</v>
      </c>
      <c r="L22" s="279">
        <f>'Revenue matching'!L42</f>
        <v>0.19594162949579028</v>
      </c>
      <c r="M22" s="279">
        <f>'Revenue matching'!M42</f>
        <v>0.19594162949579028</v>
      </c>
      <c r="N22" s="279">
        <f>'Revenue matching'!N42</f>
        <v>0.19594162949579028</v>
      </c>
      <c r="O22" s="279">
        <f>'Revenue matching'!O42</f>
        <v>0.19594162949579028</v>
      </c>
      <c r="P22" s="279">
        <f>'Revenue matching'!P42</f>
        <v>0.19594162949579028</v>
      </c>
      <c r="Q22" s="279">
        <f>'Revenue matching'!Q42</f>
        <v>0.19594162949579028</v>
      </c>
      <c r="R22" s="279">
        <f>'Revenue matching'!R42</f>
        <v>0.11055342216280105</v>
      </c>
      <c r="S22" s="279">
        <f>'Revenue matching'!S42</f>
        <v>0.11055342216280105</v>
      </c>
      <c r="T22" s="279">
        <f>'Revenue matching'!T42</f>
        <v>0.11055342216280105</v>
      </c>
      <c r="U22" s="279">
        <f>'Revenue matching'!U42</f>
        <v>0.11055342216280105</v>
      </c>
      <c r="V22" s="279">
        <f>'Revenue matching'!V42</f>
        <v>0.11055342216280105</v>
      </c>
      <c r="W22" s="279">
        <f>'Revenue matching'!W42</f>
        <v>5.3511450595281604E-2</v>
      </c>
      <c r="X22" s="279">
        <f>'Revenue matching'!X42</f>
        <v>5.3511450595281604E-2</v>
      </c>
      <c r="Y22" s="279">
        <f>'Revenue matching'!Y42</f>
        <v>5.3511450595281604E-2</v>
      </c>
      <c r="Z22" s="279">
        <f>'Revenue matching'!Z42</f>
        <v>5.3511450595281604E-2</v>
      </c>
      <c r="AA22" s="279">
        <f>'Revenue matching'!AA42</f>
        <v>5.3511450595281604E-2</v>
      </c>
      <c r="AB22" s="279">
        <f>'Revenue matching'!AB42</f>
        <v>3.3267489359390272E-2</v>
      </c>
      <c r="AC22" s="279">
        <f>'Revenue matching'!AC42</f>
        <v>3.3267489359390272E-2</v>
      </c>
      <c r="AD22" s="279">
        <f>'Revenue matching'!AD42</f>
        <v>3.3267489359390272E-2</v>
      </c>
      <c r="AE22" s="279">
        <f>'Revenue matching'!AE42</f>
        <v>3.3267489359390272E-2</v>
      </c>
      <c r="AF22" s="279">
        <f>'Revenue matching'!AF42</f>
        <v>3.3267489359390272E-2</v>
      </c>
      <c r="AG22" s="279">
        <f>'Revenue matching'!AG42</f>
        <v>1.5593410910780692</v>
      </c>
      <c r="AH22" s="279">
        <f>'Revenue matching'!AH42</f>
        <v>-0.12051255633249795</v>
      </c>
      <c r="AI22" s="279">
        <f>'Revenue matching'!AI42</f>
        <v>-9.7494314339578544E-2</v>
      </c>
      <c r="AJ22" s="279">
        <f>'Revenue matching'!AJ42</f>
        <v>-0.12051255633249795</v>
      </c>
      <c r="AK22" s="279">
        <f>'Revenue matching'!AK42</f>
        <v>-0.12051255633249795</v>
      </c>
      <c r="AL22" s="279">
        <f>'Revenue matching'!AL42</f>
        <v>-9.7494314339578544E-2</v>
      </c>
      <c r="AM22" s="279">
        <f>'Revenue matching'!AM42</f>
        <v>-9.7494314339578544E-2</v>
      </c>
      <c r="AN22" s="279">
        <f>'Revenue matching'!AN42</f>
        <v>-4.4658730337826823E-2</v>
      </c>
      <c r="AO22" s="279">
        <f>'Revenue matching'!AO42</f>
        <v>-4.4658730337826823E-2</v>
      </c>
      <c r="AP22" s="268"/>
      <c r="AQ22" s="268"/>
    </row>
    <row r="23" spans="3:43" x14ac:dyDescent="0.25">
      <c r="C23" s="105"/>
      <c r="F23" t="s">
        <v>160</v>
      </c>
      <c r="G23" t="s">
        <v>271</v>
      </c>
      <c r="H23" s="78"/>
      <c r="J23" s="167">
        <f>'Revenue matching'!J43</f>
        <v>12.946189424369491</v>
      </c>
      <c r="K23" s="167">
        <f>'Revenue matching'!K43</f>
        <v>0</v>
      </c>
      <c r="L23" s="167">
        <f>'Revenue matching'!L43</f>
        <v>19.249864891018355</v>
      </c>
      <c r="M23" s="167">
        <f>'Revenue matching'!M43</f>
        <v>19.249864891018355</v>
      </c>
      <c r="N23" s="167">
        <f>'Revenue matching'!N43</f>
        <v>19.249864891018355</v>
      </c>
      <c r="O23" s="167">
        <f>'Revenue matching'!O43</f>
        <v>19.249864891018355</v>
      </c>
      <c r="P23" s="167">
        <f>'Revenue matching'!P43</f>
        <v>19.249864891018355</v>
      </c>
      <c r="Q23" s="167">
        <f>'Revenue matching'!Q43</f>
        <v>0</v>
      </c>
      <c r="R23" s="167">
        <f>'Revenue matching'!R43</f>
        <v>19.085920524154083</v>
      </c>
      <c r="S23" s="167">
        <f>'Revenue matching'!S43</f>
        <v>19.085920524154083</v>
      </c>
      <c r="T23" s="167">
        <f>'Revenue matching'!T43</f>
        <v>19.085920524154083</v>
      </c>
      <c r="U23" s="167">
        <f>'Revenue matching'!U43</f>
        <v>19.085920524154083</v>
      </c>
      <c r="V23" s="167">
        <f>'Revenue matching'!V43</f>
        <v>19.085920524154083</v>
      </c>
      <c r="W23" s="167">
        <f>'Revenue matching'!W43</f>
        <v>14.898612013947742</v>
      </c>
      <c r="X23" s="167">
        <f>'Revenue matching'!X43</f>
        <v>14.898612013947742</v>
      </c>
      <c r="Y23" s="167">
        <f>'Revenue matching'!Y43</f>
        <v>14.898612013947742</v>
      </c>
      <c r="Z23" s="167">
        <f>'Revenue matching'!Z43</f>
        <v>14.898612013947742</v>
      </c>
      <c r="AA23" s="167">
        <f>'Revenue matching'!AA43</f>
        <v>14.898612013947742</v>
      </c>
      <c r="AB23" s="167">
        <f>'Revenue matching'!AB43</f>
        <v>137.54153750078822</v>
      </c>
      <c r="AC23" s="167">
        <f>'Revenue matching'!AC43</f>
        <v>137.54153750078822</v>
      </c>
      <c r="AD23" s="167">
        <f>'Revenue matching'!AD43</f>
        <v>137.54153750078822</v>
      </c>
      <c r="AE23" s="167">
        <f>'Revenue matching'!AE43</f>
        <v>137.54153750078822</v>
      </c>
      <c r="AF23" s="167">
        <f>'Revenue matching'!AF43</f>
        <v>137.54153750078822</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86.079364905669735</v>
      </c>
      <c r="AO23" s="167">
        <f>'Revenue matching'!AO43</f>
        <v>86.079364905669735</v>
      </c>
    </row>
    <row r="24" spans="3:43" x14ac:dyDescent="0.25">
      <c r="C24" s="105"/>
      <c r="F24" t="s">
        <v>161</v>
      </c>
      <c r="G24" t="s">
        <v>272</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12.912493254799603</v>
      </c>
      <c r="S24" s="167">
        <f>'Revenue matching'!S44</f>
        <v>12.912493254799603</v>
      </c>
      <c r="T24" s="167">
        <f>'Revenue matching'!T44</f>
        <v>12.912493254799603</v>
      </c>
      <c r="U24" s="167">
        <f>'Revenue matching'!U44</f>
        <v>12.912493254799603</v>
      </c>
      <c r="V24" s="167">
        <f>'Revenue matching'!V44</f>
        <v>12.912493254799603</v>
      </c>
      <c r="W24" s="167">
        <f>'Revenue matching'!W44</f>
        <v>11.05458065371368</v>
      </c>
      <c r="X24" s="167">
        <f>'Revenue matching'!X44</f>
        <v>11.05458065371368</v>
      </c>
      <c r="Y24" s="167">
        <f>'Revenue matching'!Y44</f>
        <v>11.05458065371368</v>
      </c>
      <c r="Z24" s="167">
        <f>'Revenue matching'!Z44</f>
        <v>11.05458065371368</v>
      </c>
      <c r="AA24" s="167">
        <f>'Revenue matching'!AA44</f>
        <v>11.05458065371368</v>
      </c>
      <c r="AB24" s="167">
        <f>'Revenue matching'!AB44</f>
        <v>10.616443931280937</v>
      </c>
      <c r="AC24" s="167">
        <f>'Revenue matching'!AC44</f>
        <v>10.616443931280937</v>
      </c>
      <c r="AD24" s="167">
        <f>'Revenue matching'!AD44</f>
        <v>10.616443931280937</v>
      </c>
      <c r="AE24" s="167">
        <f>'Revenue matching'!AE44</f>
        <v>10.616443931280937</v>
      </c>
      <c r="AF24" s="167">
        <f>'Revenue matching'!AF44</f>
        <v>10.616443931280937</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162</v>
      </c>
      <c r="G25" t="s">
        <v>272</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12.912493254799603</v>
      </c>
      <c r="S25" s="167">
        <f>'Revenue matching'!S45</f>
        <v>12.912493254799603</v>
      </c>
      <c r="T25" s="167">
        <f>'Revenue matching'!T45</f>
        <v>12.912493254799603</v>
      </c>
      <c r="U25" s="167">
        <f>'Revenue matching'!U45</f>
        <v>12.912493254799603</v>
      </c>
      <c r="V25" s="167">
        <f>'Revenue matching'!V45</f>
        <v>12.912493254799603</v>
      </c>
      <c r="W25" s="167">
        <f>'Revenue matching'!W45</f>
        <v>11.05458065371368</v>
      </c>
      <c r="X25" s="167">
        <f>'Revenue matching'!X45</f>
        <v>11.05458065371368</v>
      </c>
      <c r="Y25" s="167">
        <f>'Revenue matching'!Y45</f>
        <v>11.05458065371368</v>
      </c>
      <c r="Z25" s="167">
        <f>'Revenue matching'!Z45</f>
        <v>11.05458065371368</v>
      </c>
      <c r="AA25" s="167">
        <f>'Revenue matching'!AA45</f>
        <v>11.05458065371368</v>
      </c>
      <c r="AB25" s="167">
        <f>'Revenue matching'!AB45</f>
        <v>10.616443931280937</v>
      </c>
      <c r="AC25" s="167">
        <f>'Revenue matching'!AC45</f>
        <v>10.616443931280937</v>
      </c>
      <c r="AD25" s="167">
        <f>'Revenue matching'!AD45</f>
        <v>10.616443931280937</v>
      </c>
      <c r="AE25" s="167">
        <f>'Revenue matching'!AE45</f>
        <v>10.616443931280937</v>
      </c>
      <c r="AF25" s="167">
        <f>'Revenue matching'!AF45</f>
        <v>10.616443931280937</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163</v>
      </c>
      <c r="G26" s="96" t="s">
        <v>273</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0.25264310707810089</v>
      </c>
      <c r="S26" s="311">
        <f>'Revenue matching'!S46</f>
        <v>0.25264310707810089</v>
      </c>
      <c r="T26" s="311">
        <f>'Revenue matching'!T46</f>
        <v>0.25264310707810089</v>
      </c>
      <c r="U26" s="311">
        <f>'Revenue matching'!U46</f>
        <v>0.25264310707810089</v>
      </c>
      <c r="V26" s="311">
        <f>'Revenue matching'!V46</f>
        <v>0.25264310707810089</v>
      </c>
      <c r="W26" s="311">
        <f>'Revenue matching'!W46</f>
        <v>0.13863470006128026</v>
      </c>
      <c r="X26" s="311">
        <f>'Revenue matching'!X46</f>
        <v>0.13863470006128026</v>
      </c>
      <c r="Y26" s="311">
        <f>'Revenue matching'!Y46</f>
        <v>0.13863470006128026</v>
      </c>
      <c r="Z26" s="311">
        <f>'Revenue matching'!Z46</f>
        <v>0.13863470006128026</v>
      </c>
      <c r="AA26" s="311">
        <f>'Revenue matching'!AA46</f>
        <v>0.13863470006128026</v>
      </c>
      <c r="AB26" s="311">
        <f>'Revenue matching'!AB46</f>
        <v>9.6603194796647043E-2</v>
      </c>
      <c r="AC26" s="311">
        <f>'Revenue matching'!AC46</f>
        <v>9.6603194796647043E-2</v>
      </c>
      <c r="AD26" s="311">
        <f>'Revenue matching'!AD46</f>
        <v>9.6603194796647043E-2</v>
      </c>
      <c r="AE26" s="311">
        <f>'Revenue matching'!AE46</f>
        <v>9.6603194796647043E-2</v>
      </c>
      <c r="AF26" s="311">
        <f>'Revenue matching'!AF46</f>
        <v>9.6603194796647043E-2</v>
      </c>
      <c r="AG26" s="311">
        <f>'Revenue matching'!AG46</f>
        <v>0</v>
      </c>
      <c r="AH26" s="311">
        <f>'Revenue matching'!AH46</f>
        <v>0</v>
      </c>
      <c r="AI26" s="311">
        <f>'Revenue matching'!AI46</f>
        <v>0</v>
      </c>
      <c r="AJ26" s="311">
        <f>'Revenue matching'!AJ46</f>
        <v>0.31225598745472138</v>
      </c>
      <c r="AK26" s="311">
        <f>'Revenue matching'!AK46</f>
        <v>0</v>
      </c>
      <c r="AL26" s="311">
        <f>'Revenue matching'!AL46</f>
        <v>0.22398663020284471</v>
      </c>
      <c r="AM26" s="311">
        <f>'Revenue matching'!AM46</f>
        <v>0</v>
      </c>
      <c r="AN26" s="311">
        <f>'Revenue matching'!AN46</f>
        <v>0.18734964255838274</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control'!$H$42:$H$65,MATCH($A$1,'Version control'!$F$42:$F$65,0),1)&amp;"-B: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1077</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1078</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157</v>
      </c>
      <c r="G32" s="95" t="s">
        <v>270</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0.50260672268143225</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158</v>
      </c>
      <c r="G33" t="s">
        <v>270</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0.50260672268143225</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159</v>
      </c>
      <c r="G34" t="s">
        <v>270</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0.50260672268143225</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160</v>
      </c>
      <c r="G35" t="s">
        <v>271</v>
      </c>
      <c r="H35" s="78"/>
      <c r="J35" s="297">
        <f>'Revenue matching'!J415</f>
        <v>4.8865352094817034</v>
      </c>
      <c r="K35" s="297">
        <f>'Revenue matching'!K415</f>
        <v>0</v>
      </c>
      <c r="L35" s="297">
        <f>'Revenue matching'!L415</f>
        <v>0</v>
      </c>
      <c r="M35" s="297">
        <f>'Revenue matching'!M415</f>
        <v>3.2756382308117633</v>
      </c>
      <c r="N35" s="297">
        <f>'Revenue matching'!N415</f>
        <v>13.344505614569398</v>
      </c>
      <c r="O35" s="297">
        <f>'Revenue matching'!O415</f>
        <v>26.823447519714438</v>
      </c>
      <c r="P35" s="297">
        <f>'Revenue matching'!P415</f>
        <v>65.191870543503924</v>
      </c>
      <c r="Q35" s="297">
        <f>'Revenue matching'!Q415</f>
        <v>0</v>
      </c>
      <c r="R35" s="297">
        <f>'Revenue matching'!R415</f>
        <v>0</v>
      </c>
      <c r="S35" s="297">
        <f>'Revenue matching'!S415</f>
        <v>123.22162225991154</v>
      </c>
      <c r="T35" s="297">
        <f>'Revenue matching'!T415</f>
        <v>221.14390505966441</v>
      </c>
      <c r="U35" s="297">
        <f>'Revenue matching'!U415</f>
        <v>351.50856820122851</v>
      </c>
      <c r="V35" s="297">
        <f>'Revenue matching'!V415</f>
        <v>778.90318553279565</v>
      </c>
      <c r="W35" s="297">
        <f>'Revenue matching'!W415</f>
        <v>0</v>
      </c>
      <c r="X35" s="297">
        <f>'Revenue matching'!X415</f>
        <v>123.22162225991158</v>
      </c>
      <c r="Y35" s="297">
        <f>'Revenue matching'!Y415</f>
        <v>221.14390505966443</v>
      </c>
      <c r="Z35" s="297">
        <f>'Revenue matching'!Z415</f>
        <v>351.5085682012284</v>
      </c>
      <c r="AA35" s="297">
        <f>'Revenue matching'!AA415</f>
        <v>778.90318553279553</v>
      </c>
      <c r="AB35" s="297">
        <f>'Revenue matching'!AB415</f>
        <v>0</v>
      </c>
      <c r="AC35" s="297">
        <f>'Revenue matching'!AC415</f>
        <v>897.54372493772496</v>
      </c>
      <c r="AD35" s="297">
        <f>'Revenue matching'!AD415</f>
        <v>2070.8787229868958</v>
      </c>
      <c r="AE35" s="297">
        <f>'Revenue matching'!AE415</f>
        <v>4684.2543555458196</v>
      </c>
      <c r="AF35" s="297">
        <f>'Revenue matching'!AF415</f>
        <v>9022.1937768673342</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161</v>
      </c>
      <c r="G36" t="s">
        <v>272</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162</v>
      </c>
      <c r="G37" t="s">
        <v>272</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163</v>
      </c>
      <c r="G38" s="96" t="s">
        <v>273</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control'!$H$42:$H$65,MATCH($A$1,'Version control'!$F$42:$F$65,0),1)&amp;"-C: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830</v>
      </c>
    </row>
    <row r="43" spans="3:43" x14ac:dyDescent="0.25">
      <c r="E43" s="86" t="s">
        <v>842</v>
      </c>
    </row>
    <row r="44" spans="3:43" x14ac:dyDescent="0.25">
      <c r="E44" s="105"/>
      <c r="F44" s="95" t="s">
        <v>157</v>
      </c>
      <c r="G44" s="95" t="s">
        <v>270</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158</v>
      </c>
      <c r="G45" t="s">
        <v>270</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159</v>
      </c>
      <c r="G46" t="s">
        <v>270</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160</v>
      </c>
      <c r="G47" t="s">
        <v>271</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161</v>
      </c>
      <c r="G48" t="s">
        <v>272</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162</v>
      </c>
      <c r="G49" t="s">
        <v>272</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163</v>
      </c>
      <c r="G50" s="96" t="s">
        <v>273</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control'!$H$42:$H$65,MATCH($A$1,'Version control'!$F$42:$F$65,0),1)&amp;"-D: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954</v>
      </c>
      <c r="G54" s="347" t="s">
        <v>150</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706</v>
      </c>
      <c r="I56" t="s">
        <v>155</v>
      </c>
      <c r="J56" s="309" t="s">
        <v>1114</v>
      </c>
      <c r="K56" s="309" t="s">
        <v>786</v>
      </c>
      <c r="L56" s="309" t="s">
        <v>1115</v>
      </c>
      <c r="M56" s="309" t="s">
        <v>787</v>
      </c>
      <c r="N56" s="309" t="s">
        <v>793</v>
      </c>
      <c r="O56" s="309" t="s">
        <v>794</v>
      </c>
      <c r="P56" s="309" t="s">
        <v>795</v>
      </c>
      <c r="Q56" s="309" t="s">
        <v>796</v>
      </c>
      <c r="R56" s="309" t="s">
        <v>788</v>
      </c>
      <c r="S56" s="309" t="s">
        <v>789</v>
      </c>
      <c r="T56" s="309" t="s">
        <v>790</v>
      </c>
      <c r="U56" s="309" t="s">
        <v>799</v>
      </c>
      <c r="V56" s="309" t="s">
        <v>791</v>
      </c>
      <c r="W56" s="309" t="s">
        <v>798</v>
      </c>
      <c r="X56" s="309" t="s">
        <v>792</v>
      </c>
      <c r="Y56" s="309" t="s">
        <v>797</v>
      </c>
    </row>
    <row r="57" spans="3:43" x14ac:dyDescent="0.25">
      <c r="E57" s="105"/>
      <c r="F57" s="95" t="s">
        <v>157</v>
      </c>
      <c r="G57" s="95" t="s">
        <v>168</v>
      </c>
      <c r="H57" s="237"/>
      <c r="I57" s="95"/>
      <c r="J57" s="204">
        <f>'Volume adjustments'!J315</f>
        <v>0.40616372981393162</v>
      </c>
      <c r="K57" s="204">
        <f>'Volume adjustments'!K315</f>
        <v>0.40616372981393162</v>
      </c>
      <c r="L57" s="204">
        <f>'Volume adjustments'!L315</f>
        <v>0.40616372981393162</v>
      </c>
      <c r="M57" s="204">
        <f>'Volume adjustments'!M315</f>
        <v>0.40616372981393162</v>
      </c>
      <c r="N57" s="204">
        <f>'Volume adjustments'!N315</f>
        <v>0.40616372981393162</v>
      </c>
      <c r="O57" s="204">
        <f>'Volume adjustments'!O315</f>
        <v>0</v>
      </c>
      <c r="P57" s="204">
        <f>'Volume adjustments'!P315</f>
        <v>0</v>
      </c>
      <c r="Q57" s="204">
        <f>'Volume adjustments'!Q315</f>
        <v>0.40616372981393162</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158</v>
      </c>
      <c r="G58" t="s">
        <v>168</v>
      </c>
      <c r="H58" s="78"/>
      <c r="J58" s="205">
        <f>'Volume adjustments'!J316</f>
        <v>0.40616372981393162</v>
      </c>
      <c r="K58" s="205">
        <f>'Volume adjustments'!K316</f>
        <v>0.40616372981393162</v>
      </c>
      <c r="L58" s="205">
        <f>'Volume adjustments'!L316</f>
        <v>0.40616372981393162</v>
      </c>
      <c r="M58" s="205">
        <f>'Volume adjustments'!M316</f>
        <v>0.40616372981393162</v>
      </c>
      <c r="N58" s="205">
        <f>'Volume adjustments'!N316</f>
        <v>0.40616372981393162</v>
      </c>
      <c r="O58" s="205">
        <f>'Volume adjustments'!O316</f>
        <v>0</v>
      </c>
      <c r="P58" s="205">
        <f>'Volume adjustments'!P316</f>
        <v>0</v>
      </c>
      <c r="Q58" s="205">
        <f>'Volume adjustments'!Q316</f>
        <v>0.40616372981393162</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159</v>
      </c>
      <c r="G59" t="s">
        <v>168</v>
      </c>
      <c r="H59" s="78"/>
      <c r="J59" s="205">
        <f>'Volume adjustments'!J317</f>
        <v>0.40616372981393162</v>
      </c>
      <c r="K59" s="205">
        <f>'Volume adjustments'!K317</f>
        <v>0.40616372981393162</v>
      </c>
      <c r="L59" s="205">
        <f>'Volume adjustments'!L317</f>
        <v>0.40616372981393162</v>
      </c>
      <c r="M59" s="205">
        <f>'Volume adjustments'!M317</f>
        <v>0.40616372981393162</v>
      </c>
      <c r="N59" s="205">
        <f>'Volume adjustments'!N317</f>
        <v>0.40616372981393162</v>
      </c>
      <c r="O59" s="205">
        <f>'Volume adjustments'!O317</f>
        <v>0</v>
      </c>
      <c r="P59" s="205">
        <f>'Volume adjustments'!P317</f>
        <v>0</v>
      </c>
      <c r="Q59" s="205">
        <f>'Volume adjustments'!Q317</f>
        <v>0.40616372981393162</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160</v>
      </c>
      <c r="G60" t="s">
        <v>168</v>
      </c>
      <c r="H60" s="78"/>
      <c r="J60" s="205">
        <f>'Volume adjustments'!J318</f>
        <v>0.40616372981393162</v>
      </c>
      <c r="K60" s="205">
        <f>'Volume adjustments'!K318</f>
        <v>0.40616372981393162</v>
      </c>
      <c r="L60" s="205">
        <f>'Volume adjustments'!L318</f>
        <v>0.40616372981393162</v>
      </c>
      <c r="M60" s="205">
        <f>'Volume adjustments'!M318</f>
        <v>0.40616372981393162</v>
      </c>
      <c r="N60" s="205">
        <f>'Volume adjustments'!N318</f>
        <v>0.40616372981393162</v>
      </c>
      <c r="O60" s="205">
        <f>'Volume adjustments'!O318</f>
        <v>0</v>
      </c>
      <c r="P60" s="205">
        <f>'Volume adjustments'!P318</f>
        <v>0</v>
      </c>
      <c r="Q60" s="205">
        <f>'Volume adjustments'!Q318</f>
        <v>0.40616372981393162</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161</v>
      </c>
      <c r="G61" t="s">
        <v>168</v>
      </c>
      <c r="H61" s="78"/>
      <c r="J61" s="205">
        <f>'Volume adjustments'!J319</f>
        <v>0.40616372981393162</v>
      </c>
      <c r="K61" s="205">
        <f>'Volume adjustments'!K319</f>
        <v>0.40616372981393162</v>
      </c>
      <c r="L61" s="205">
        <f>'Volume adjustments'!L319</f>
        <v>0.40616372981393162</v>
      </c>
      <c r="M61" s="205">
        <f>'Volume adjustments'!M319</f>
        <v>0.40616372981393162</v>
      </c>
      <c r="N61" s="205">
        <f>'Volume adjustments'!N319</f>
        <v>0.40616372981393162</v>
      </c>
      <c r="O61" s="205">
        <f>'Volume adjustments'!O319</f>
        <v>0</v>
      </c>
      <c r="P61" s="205">
        <f>'Volume adjustments'!P319</f>
        <v>0</v>
      </c>
      <c r="Q61" s="205">
        <f>'Volume adjustments'!Q319</f>
        <v>0.40616372981393162</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162</v>
      </c>
      <c r="G62" t="s">
        <v>168</v>
      </c>
      <c r="H62" s="78"/>
      <c r="J62" s="205">
        <f>'Volume adjustments'!J320</f>
        <v>0.40616372981393162</v>
      </c>
      <c r="K62" s="205">
        <f>'Volume adjustments'!K320</f>
        <v>0.40616372981393162</v>
      </c>
      <c r="L62" s="205">
        <f>'Volume adjustments'!L320</f>
        <v>0.40616372981393162</v>
      </c>
      <c r="M62" s="205">
        <f>'Volume adjustments'!M320</f>
        <v>0.40616372981393162</v>
      </c>
      <c r="N62" s="205">
        <f>'Volume adjustments'!N320</f>
        <v>0.40616372981393162</v>
      </c>
      <c r="O62" s="205">
        <f>'Volume adjustments'!O320</f>
        <v>0</v>
      </c>
      <c r="P62" s="205">
        <f>'Volume adjustments'!P320</f>
        <v>0</v>
      </c>
      <c r="Q62" s="205">
        <f>'Volume adjustments'!Q320</f>
        <v>0.40616372981393162</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163</v>
      </c>
      <c r="G63" s="96" t="s">
        <v>168</v>
      </c>
      <c r="H63" s="298"/>
      <c r="I63" s="96"/>
      <c r="J63" s="206">
        <f>'Volume adjustments'!J321</f>
        <v>0.40616372981393162</v>
      </c>
      <c r="K63" s="206">
        <f>'Volume adjustments'!K321</f>
        <v>0.40616372981393162</v>
      </c>
      <c r="L63" s="206">
        <f>'Volume adjustments'!L321</f>
        <v>0.40616372981393162</v>
      </c>
      <c r="M63" s="206">
        <f>'Volume adjustments'!M321</f>
        <v>0.40616372981393162</v>
      </c>
      <c r="N63" s="206">
        <f>'Volume adjustments'!N321</f>
        <v>0.40616372981393162</v>
      </c>
      <c r="O63" s="206">
        <f>'Volume adjustments'!O321</f>
        <v>0</v>
      </c>
      <c r="P63" s="206">
        <f>'Volume adjustments'!P321</f>
        <v>0</v>
      </c>
      <c r="Q63" s="206">
        <f>'Volume adjustments'!Q321</f>
        <v>0.40616372981393162</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707</v>
      </c>
      <c r="I65" t="s">
        <v>155</v>
      </c>
      <c r="J65" s="309" t="s">
        <v>1114</v>
      </c>
      <c r="K65" s="309" t="s">
        <v>786</v>
      </c>
      <c r="L65" s="309" t="s">
        <v>1115</v>
      </c>
      <c r="M65" s="309" t="s">
        <v>787</v>
      </c>
      <c r="N65" s="309" t="s">
        <v>793</v>
      </c>
      <c r="O65" s="309" t="s">
        <v>794</v>
      </c>
      <c r="P65" s="309" t="s">
        <v>795</v>
      </c>
      <c r="Q65" s="309" t="s">
        <v>796</v>
      </c>
      <c r="R65" s="309" t="s">
        <v>788</v>
      </c>
      <c r="S65" s="309" t="s">
        <v>789</v>
      </c>
      <c r="T65" s="309" t="s">
        <v>790</v>
      </c>
      <c r="U65" s="309" t="s">
        <v>799</v>
      </c>
      <c r="V65" s="309" t="s">
        <v>791</v>
      </c>
      <c r="W65" s="309" t="s">
        <v>798</v>
      </c>
      <c r="X65" s="309" t="s">
        <v>792</v>
      </c>
      <c r="Y65" s="309" t="s">
        <v>797</v>
      </c>
    </row>
    <row r="66" spans="4:43" x14ac:dyDescent="0.25">
      <c r="E66" s="105"/>
      <c r="F66" s="95" t="s">
        <v>157</v>
      </c>
      <c r="G66" s="95" t="s">
        <v>168</v>
      </c>
      <c r="H66" s="237"/>
      <c r="I66" s="95"/>
      <c r="J66" s="204">
        <f>'Volume adjustments'!J324</f>
        <v>0.60195264388674885</v>
      </c>
      <c r="K66" s="204">
        <f>'Volume adjustments'!K324</f>
        <v>0.60195264388674885</v>
      </c>
      <c r="L66" s="204">
        <f>'Volume adjustments'!L324</f>
        <v>0.60195264388674885</v>
      </c>
      <c r="M66" s="204">
        <f>'Volume adjustments'!M324</f>
        <v>0.60195264388674885</v>
      </c>
      <c r="N66" s="204">
        <f>'Volume adjustments'!N324</f>
        <v>0.60195264388674885</v>
      </c>
      <c r="O66" s="204">
        <f>'Volume adjustments'!O324</f>
        <v>0.31001856356310609</v>
      </c>
      <c r="P66" s="204">
        <f>'Volume adjustments'!P324</f>
        <v>0.18036070704437224</v>
      </c>
      <c r="Q66" s="204">
        <f>'Volume adjustments'!Q324</f>
        <v>0.60195264388674885</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158</v>
      </c>
      <c r="G67" t="s">
        <v>168</v>
      </c>
      <c r="H67" s="78"/>
      <c r="J67" s="205">
        <f>'Volume adjustments'!J325</f>
        <v>0.60195264388674885</v>
      </c>
      <c r="K67" s="205">
        <f>'Volume adjustments'!K325</f>
        <v>0.60195264388674885</v>
      </c>
      <c r="L67" s="205">
        <f>'Volume adjustments'!L325</f>
        <v>0.60195264388674885</v>
      </c>
      <c r="M67" s="205">
        <f>'Volume adjustments'!M325</f>
        <v>0.60195264388674885</v>
      </c>
      <c r="N67" s="205">
        <f>'Volume adjustments'!N325</f>
        <v>0.60195264388674885</v>
      </c>
      <c r="O67" s="205">
        <f>'Volume adjustments'!O325</f>
        <v>0.31001856356310609</v>
      </c>
      <c r="P67" s="205">
        <f>'Volume adjustments'!P325</f>
        <v>0.18036070704437224</v>
      </c>
      <c r="Q67" s="205">
        <f>'Volume adjustments'!Q325</f>
        <v>0.60195264388674885</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159</v>
      </c>
      <c r="G68" t="s">
        <v>168</v>
      </c>
      <c r="H68" s="78"/>
      <c r="J68" s="205">
        <f>'Volume adjustments'!J326</f>
        <v>0.60195264388674885</v>
      </c>
      <c r="K68" s="205">
        <f>'Volume adjustments'!K326</f>
        <v>0.60195264388674885</v>
      </c>
      <c r="L68" s="205">
        <f>'Volume adjustments'!L326</f>
        <v>0.60195264388674885</v>
      </c>
      <c r="M68" s="205">
        <f>'Volume adjustments'!M326</f>
        <v>0.60195264388674885</v>
      </c>
      <c r="N68" s="205">
        <f>'Volume adjustments'!N326</f>
        <v>0.60195264388674885</v>
      </c>
      <c r="O68" s="205">
        <f>'Volume adjustments'!O326</f>
        <v>0.31001856356310609</v>
      </c>
      <c r="P68" s="205">
        <f>'Volume adjustments'!P326</f>
        <v>0.18036070704437224</v>
      </c>
      <c r="Q68" s="205">
        <f>'Volume adjustments'!Q326</f>
        <v>0.60195264388674885</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160</v>
      </c>
      <c r="G69" t="s">
        <v>168</v>
      </c>
      <c r="H69" s="78"/>
      <c r="J69" s="205">
        <f>'Volume adjustments'!J327</f>
        <v>0.60195264388674885</v>
      </c>
      <c r="K69" s="205">
        <f>'Volume adjustments'!K327</f>
        <v>0.60195264388674885</v>
      </c>
      <c r="L69" s="205">
        <f>'Volume adjustments'!L327</f>
        <v>0.60195264388674885</v>
      </c>
      <c r="M69" s="205">
        <f>'Volume adjustments'!M327</f>
        <v>0.60195264388674885</v>
      </c>
      <c r="N69" s="205">
        <f>'Volume adjustments'!N327</f>
        <v>0.60195264388674885</v>
      </c>
      <c r="O69" s="205">
        <f>'Volume adjustments'!O327</f>
        <v>0.31001856356310609</v>
      </c>
      <c r="P69" s="205">
        <f>'Volume adjustments'!P327</f>
        <v>0.18036070704437224</v>
      </c>
      <c r="Q69" s="205">
        <f>'Volume adjustments'!Q327</f>
        <v>0.60195264388674885</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161</v>
      </c>
      <c r="G70" t="s">
        <v>168</v>
      </c>
      <c r="H70" s="78"/>
      <c r="J70" s="205">
        <f>'Volume adjustments'!J328</f>
        <v>0.60195264388674885</v>
      </c>
      <c r="K70" s="205">
        <f>'Volume adjustments'!K328</f>
        <v>0.60195264388674885</v>
      </c>
      <c r="L70" s="205">
        <f>'Volume adjustments'!L328</f>
        <v>0.60195264388674885</v>
      </c>
      <c r="M70" s="205">
        <f>'Volume adjustments'!M328</f>
        <v>0.60195264388674885</v>
      </c>
      <c r="N70" s="205">
        <f>'Volume adjustments'!N328</f>
        <v>0.60195264388674885</v>
      </c>
      <c r="O70" s="205">
        <f>'Volume adjustments'!O328</f>
        <v>0.31001856356310609</v>
      </c>
      <c r="P70" s="205">
        <f>'Volume adjustments'!P328</f>
        <v>0.18036070704437224</v>
      </c>
      <c r="Q70" s="205">
        <f>'Volume adjustments'!Q328</f>
        <v>0.60195264388674885</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162</v>
      </c>
      <c r="G71" t="s">
        <v>168</v>
      </c>
      <c r="H71" s="78"/>
      <c r="J71" s="205">
        <f>'Volume adjustments'!J329</f>
        <v>0.60195264388674885</v>
      </c>
      <c r="K71" s="205">
        <f>'Volume adjustments'!K329</f>
        <v>0.60195264388674885</v>
      </c>
      <c r="L71" s="205">
        <f>'Volume adjustments'!L329</f>
        <v>0.60195264388674885</v>
      </c>
      <c r="M71" s="205">
        <f>'Volume adjustments'!M329</f>
        <v>0.60195264388674885</v>
      </c>
      <c r="N71" s="205">
        <f>'Volume adjustments'!N329</f>
        <v>0.60195264388674885</v>
      </c>
      <c r="O71" s="205">
        <f>'Volume adjustments'!O329</f>
        <v>0.31001856356310609</v>
      </c>
      <c r="P71" s="205">
        <f>'Volume adjustments'!P329</f>
        <v>0.18036070704437224</v>
      </c>
      <c r="Q71" s="205">
        <f>'Volume adjustments'!Q329</f>
        <v>0.60195264388674885</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163</v>
      </c>
      <c r="G72" s="96" t="s">
        <v>168</v>
      </c>
      <c r="H72" s="298"/>
      <c r="I72" s="96"/>
      <c r="J72" s="206">
        <f>'Volume adjustments'!J330</f>
        <v>0.60195264388674885</v>
      </c>
      <c r="K72" s="206">
        <f>'Volume adjustments'!K330</f>
        <v>0.60195264388674885</v>
      </c>
      <c r="L72" s="206">
        <f>'Volume adjustments'!L330</f>
        <v>0.60195264388674885</v>
      </c>
      <c r="M72" s="206">
        <f>'Volume adjustments'!M330</f>
        <v>0.60195264388674885</v>
      </c>
      <c r="N72" s="206">
        <f>'Volume adjustments'!N330</f>
        <v>0.60195264388674885</v>
      </c>
      <c r="O72" s="206">
        <f>'Volume adjustments'!O330</f>
        <v>0.31001856356310609</v>
      </c>
      <c r="P72" s="206">
        <f>'Volume adjustments'!P330</f>
        <v>0.18036070704437224</v>
      </c>
      <c r="Q72" s="206">
        <f>'Volume adjustments'!Q330</f>
        <v>0.60195264388674885</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706</v>
      </c>
      <c r="I74" t="s">
        <v>155</v>
      </c>
      <c r="AQ74" t="s">
        <v>386</v>
      </c>
    </row>
    <row r="75" spans="4:43" x14ac:dyDescent="0.25">
      <c r="D75"/>
      <c r="E75" s="105"/>
      <c r="F75" s="95" t="s">
        <v>157</v>
      </c>
      <c r="G75" s="95" t="s">
        <v>168</v>
      </c>
      <c r="H75" s="237"/>
      <c r="I75" s="95"/>
      <c r="J75" s="199">
        <f>INDEX($J57:$Y57,J$54)</f>
        <v>0.40616372981393162</v>
      </c>
      <c r="K75" s="199">
        <f t="shared" ref="K75:AO75" si="0">INDEX($J57:$Y57,K$54)</f>
        <v>0.40616372981393162</v>
      </c>
      <c r="L75" s="199">
        <f t="shared" si="0"/>
        <v>0.40616372981393162</v>
      </c>
      <c r="M75" s="199">
        <f t="shared" si="0"/>
        <v>0.40616372981393162</v>
      </c>
      <c r="N75" s="199">
        <f t="shared" si="0"/>
        <v>0.40616372981393162</v>
      </c>
      <c r="O75" s="199">
        <f t="shared" si="0"/>
        <v>0.40616372981393162</v>
      </c>
      <c r="P75" s="199">
        <f t="shared" si="0"/>
        <v>0.40616372981393162</v>
      </c>
      <c r="Q75" s="199">
        <f t="shared" si="0"/>
        <v>0.40616372981393162</v>
      </c>
      <c r="R75" s="199">
        <f t="shared" si="0"/>
        <v>0.40616372981393162</v>
      </c>
      <c r="S75" s="199">
        <f t="shared" si="0"/>
        <v>0.40616372981393162</v>
      </c>
      <c r="T75" s="199">
        <f t="shared" si="0"/>
        <v>0.40616372981393162</v>
      </c>
      <c r="U75" s="199">
        <f t="shared" si="0"/>
        <v>0.40616372981393162</v>
      </c>
      <c r="V75" s="199">
        <f t="shared" si="0"/>
        <v>0.40616372981393162</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0.40616372981393162</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158</v>
      </c>
      <c r="G76" t="s">
        <v>168</v>
      </c>
      <c r="H76" s="78"/>
      <c r="J76" s="191">
        <f t="shared" ref="J76:AO76" si="1">INDEX($J58:$Y58,J$54)</f>
        <v>0.40616372981393162</v>
      </c>
      <c r="K76" s="191">
        <f t="shared" si="1"/>
        <v>0.40616372981393162</v>
      </c>
      <c r="L76" s="191">
        <f t="shared" si="1"/>
        <v>0.40616372981393162</v>
      </c>
      <c r="M76" s="191">
        <f t="shared" si="1"/>
        <v>0.40616372981393162</v>
      </c>
      <c r="N76" s="191">
        <f t="shared" si="1"/>
        <v>0.40616372981393162</v>
      </c>
      <c r="O76" s="191">
        <f t="shared" si="1"/>
        <v>0.40616372981393162</v>
      </c>
      <c r="P76" s="191">
        <f t="shared" si="1"/>
        <v>0.40616372981393162</v>
      </c>
      <c r="Q76" s="191">
        <f t="shared" si="1"/>
        <v>0.40616372981393162</v>
      </c>
      <c r="R76" s="191">
        <f t="shared" si="1"/>
        <v>0.40616372981393162</v>
      </c>
      <c r="S76" s="191">
        <f t="shared" si="1"/>
        <v>0.40616372981393162</v>
      </c>
      <c r="T76" s="191">
        <f t="shared" si="1"/>
        <v>0.40616372981393162</v>
      </c>
      <c r="U76" s="191">
        <f t="shared" si="1"/>
        <v>0.40616372981393162</v>
      </c>
      <c r="V76" s="191">
        <f t="shared" si="1"/>
        <v>0.40616372981393162</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0.40616372981393162</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159</v>
      </c>
      <c r="G77" t="s">
        <v>168</v>
      </c>
      <c r="H77" s="78"/>
      <c r="J77" s="191">
        <f t="shared" ref="J77:AO77" si="2">INDEX($J59:$Y59,J$54)</f>
        <v>0.40616372981393162</v>
      </c>
      <c r="K77" s="191">
        <f t="shared" si="2"/>
        <v>0.40616372981393162</v>
      </c>
      <c r="L77" s="191">
        <f t="shared" si="2"/>
        <v>0.40616372981393162</v>
      </c>
      <c r="M77" s="191">
        <f t="shared" si="2"/>
        <v>0.40616372981393162</v>
      </c>
      <c r="N77" s="191">
        <f t="shared" si="2"/>
        <v>0.40616372981393162</v>
      </c>
      <c r="O77" s="191">
        <f t="shared" si="2"/>
        <v>0.40616372981393162</v>
      </c>
      <c r="P77" s="191">
        <f t="shared" si="2"/>
        <v>0.40616372981393162</v>
      </c>
      <c r="Q77" s="191">
        <f t="shared" si="2"/>
        <v>0.40616372981393162</v>
      </c>
      <c r="R77" s="191">
        <f t="shared" si="2"/>
        <v>0.40616372981393162</v>
      </c>
      <c r="S77" s="191">
        <f t="shared" si="2"/>
        <v>0.40616372981393162</v>
      </c>
      <c r="T77" s="191">
        <f t="shared" si="2"/>
        <v>0.40616372981393162</v>
      </c>
      <c r="U77" s="191">
        <f t="shared" si="2"/>
        <v>0.40616372981393162</v>
      </c>
      <c r="V77" s="191">
        <f t="shared" si="2"/>
        <v>0.40616372981393162</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0.40616372981393162</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160</v>
      </c>
      <c r="G78" t="s">
        <v>168</v>
      </c>
      <c r="H78" s="78"/>
      <c r="J78" s="191">
        <f t="shared" ref="J78:AO78" si="3">INDEX($J60:$Y60,J$54)</f>
        <v>0.40616372981393162</v>
      </c>
      <c r="K78" s="191">
        <f t="shared" si="3"/>
        <v>0.40616372981393162</v>
      </c>
      <c r="L78" s="191">
        <f t="shared" si="3"/>
        <v>0.40616372981393162</v>
      </c>
      <c r="M78" s="191">
        <f t="shared" si="3"/>
        <v>0.40616372981393162</v>
      </c>
      <c r="N78" s="191">
        <f t="shared" si="3"/>
        <v>0.40616372981393162</v>
      </c>
      <c r="O78" s="191">
        <f t="shared" si="3"/>
        <v>0.40616372981393162</v>
      </c>
      <c r="P78" s="191">
        <f t="shared" si="3"/>
        <v>0.40616372981393162</v>
      </c>
      <c r="Q78" s="191">
        <f t="shared" si="3"/>
        <v>0.40616372981393162</v>
      </c>
      <c r="R78" s="191">
        <f t="shared" si="3"/>
        <v>0.40616372981393162</v>
      </c>
      <c r="S78" s="191">
        <f t="shared" si="3"/>
        <v>0.40616372981393162</v>
      </c>
      <c r="T78" s="191">
        <f t="shared" si="3"/>
        <v>0.40616372981393162</v>
      </c>
      <c r="U78" s="191">
        <f t="shared" si="3"/>
        <v>0.40616372981393162</v>
      </c>
      <c r="V78" s="191">
        <f t="shared" si="3"/>
        <v>0.40616372981393162</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0.40616372981393162</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161</v>
      </c>
      <c r="G79" t="s">
        <v>168</v>
      </c>
      <c r="H79" s="78"/>
      <c r="J79" s="191">
        <f t="shared" ref="J79:AO79" si="4">INDEX($J61:$Y61,J$54)</f>
        <v>0.40616372981393162</v>
      </c>
      <c r="K79" s="191">
        <f t="shared" si="4"/>
        <v>0.40616372981393162</v>
      </c>
      <c r="L79" s="191">
        <f t="shared" si="4"/>
        <v>0.40616372981393162</v>
      </c>
      <c r="M79" s="191">
        <f t="shared" si="4"/>
        <v>0.40616372981393162</v>
      </c>
      <c r="N79" s="191">
        <f t="shared" si="4"/>
        <v>0.40616372981393162</v>
      </c>
      <c r="O79" s="191">
        <f t="shared" si="4"/>
        <v>0.40616372981393162</v>
      </c>
      <c r="P79" s="191">
        <f t="shared" si="4"/>
        <v>0.40616372981393162</v>
      </c>
      <c r="Q79" s="191">
        <f t="shared" si="4"/>
        <v>0.40616372981393162</v>
      </c>
      <c r="R79" s="191">
        <f t="shared" si="4"/>
        <v>0.40616372981393162</v>
      </c>
      <c r="S79" s="191">
        <f t="shared" si="4"/>
        <v>0.40616372981393162</v>
      </c>
      <c r="T79" s="191">
        <f t="shared" si="4"/>
        <v>0.40616372981393162</v>
      </c>
      <c r="U79" s="191">
        <f t="shared" si="4"/>
        <v>0.40616372981393162</v>
      </c>
      <c r="V79" s="191">
        <f t="shared" si="4"/>
        <v>0.40616372981393162</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0.40616372981393162</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162</v>
      </c>
      <c r="G80" t="s">
        <v>168</v>
      </c>
      <c r="H80" s="78"/>
      <c r="J80" s="191">
        <f t="shared" ref="J80:AO80" si="5">INDEX($J62:$Y62,J$54)</f>
        <v>0.40616372981393162</v>
      </c>
      <c r="K80" s="191">
        <f t="shared" si="5"/>
        <v>0.40616372981393162</v>
      </c>
      <c r="L80" s="191">
        <f t="shared" si="5"/>
        <v>0.40616372981393162</v>
      </c>
      <c r="M80" s="191">
        <f t="shared" si="5"/>
        <v>0.40616372981393162</v>
      </c>
      <c r="N80" s="191">
        <f t="shared" si="5"/>
        <v>0.40616372981393162</v>
      </c>
      <c r="O80" s="191">
        <f t="shared" si="5"/>
        <v>0.40616372981393162</v>
      </c>
      <c r="P80" s="191">
        <f t="shared" si="5"/>
        <v>0.40616372981393162</v>
      </c>
      <c r="Q80" s="191">
        <f t="shared" si="5"/>
        <v>0.40616372981393162</v>
      </c>
      <c r="R80" s="191">
        <f t="shared" si="5"/>
        <v>0.40616372981393162</v>
      </c>
      <c r="S80" s="191">
        <f t="shared" si="5"/>
        <v>0.40616372981393162</v>
      </c>
      <c r="T80" s="191">
        <f t="shared" si="5"/>
        <v>0.40616372981393162</v>
      </c>
      <c r="U80" s="191">
        <f t="shared" si="5"/>
        <v>0.40616372981393162</v>
      </c>
      <c r="V80" s="191">
        <f t="shared" si="5"/>
        <v>0.40616372981393162</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0.40616372981393162</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163</v>
      </c>
      <c r="G81" s="96" t="s">
        <v>168</v>
      </c>
      <c r="H81" s="298"/>
      <c r="I81" s="96"/>
      <c r="J81" s="200">
        <f t="shared" ref="J81:AO81" si="6">INDEX($J63:$Y63,J$54)</f>
        <v>0.40616372981393162</v>
      </c>
      <c r="K81" s="200">
        <f t="shared" si="6"/>
        <v>0.40616372981393162</v>
      </c>
      <c r="L81" s="200">
        <f t="shared" si="6"/>
        <v>0.40616372981393162</v>
      </c>
      <c r="M81" s="200">
        <f t="shared" si="6"/>
        <v>0.40616372981393162</v>
      </c>
      <c r="N81" s="200">
        <f t="shared" si="6"/>
        <v>0.40616372981393162</v>
      </c>
      <c r="O81" s="200">
        <f t="shared" si="6"/>
        <v>0.40616372981393162</v>
      </c>
      <c r="P81" s="200">
        <f t="shared" si="6"/>
        <v>0.40616372981393162</v>
      </c>
      <c r="Q81" s="200">
        <f t="shared" si="6"/>
        <v>0.40616372981393162</v>
      </c>
      <c r="R81" s="200">
        <f t="shared" si="6"/>
        <v>0.40616372981393162</v>
      </c>
      <c r="S81" s="200">
        <f t="shared" si="6"/>
        <v>0.40616372981393162</v>
      </c>
      <c r="T81" s="200">
        <f t="shared" si="6"/>
        <v>0.40616372981393162</v>
      </c>
      <c r="U81" s="200">
        <f t="shared" si="6"/>
        <v>0.40616372981393162</v>
      </c>
      <c r="V81" s="200">
        <f t="shared" si="6"/>
        <v>0.40616372981393162</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0.40616372981393162</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707</v>
      </c>
      <c r="I83" t="s">
        <v>155</v>
      </c>
      <c r="AQ83" t="s">
        <v>386</v>
      </c>
    </row>
    <row r="84" spans="3:43" x14ac:dyDescent="0.25">
      <c r="D84"/>
      <c r="E84" s="105"/>
      <c r="F84" s="95" t="s">
        <v>157</v>
      </c>
      <c r="G84" s="95" t="s">
        <v>168</v>
      </c>
      <c r="H84" s="237"/>
      <c r="I84" s="95"/>
      <c r="J84" s="199">
        <f>INDEX($J66:$Y66,J$54)</f>
        <v>0.60195264388674885</v>
      </c>
      <c r="K84" s="199">
        <f t="shared" ref="K84:AO84" si="7">INDEX($J66:$Y66,K$54)</f>
        <v>0.60195264388674885</v>
      </c>
      <c r="L84" s="199">
        <f t="shared" si="7"/>
        <v>0.60195264388674885</v>
      </c>
      <c r="M84" s="199">
        <f t="shared" si="7"/>
        <v>0.60195264388674885</v>
      </c>
      <c r="N84" s="199">
        <f t="shared" si="7"/>
        <v>0.60195264388674885</v>
      </c>
      <c r="O84" s="199">
        <f t="shared" si="7"/>
        <v>0.60195264388674885</v>
      </c>
      <c r="P84" s="199">
        <f t="shared" si="7"/>
        <v>0.60195264388674885</v>
      </c>
      <c r="Q84" s="199">
        <f t="shared" si="7"/>
        <v>0.60195264388674885</v>
      </c>
      <c r="R84" s="199">
        <f t="shared" si="7"/>
        <v>0.60195264388674885</v>
      </c>
      <c r="S84" s="199">
        <f t="shared" si="7"/>
        <v>0.60195264388674885</v>
      </c>
      <c r="T84" s="199">
        <f t="shared" si="7"/>
        <v>0.60195264388674885</v>
      </c>
      <c r="U84" s="199">
        <f t="shared" si="7"/>
        <v>0.60195264388674885</v>
      </c>
      <c r="V84" s="199">
        <f t="shared" si="7"/>
        <v>0.60195264388674885</v>
      </c>
      <c r="W84" s="199">
        <f t="shared" si="7"/>
        <v>0.31001856356310609</v>
      </c>
      <c r="X84" s="199">
        <f t="shared" si="7"/>
        <v>0.31001856356310609</v>
      </c>
      <c r="Y84" s="199">
        <f t="shared" si="7"/>
        <v>0.31001856356310609</v>
      </c>
      <c r="Z84" s="199">
        <f t="shared" si="7"/>
        <v>0.31001856356310609</v>
      </c>
      <c r="AA84" s="199">
        <f t="shared" si="7"/>
        <v>0.31001856356310609</v>
      </c>
      <c r="AB84" s="199">
        <f t="shared" si="7"/>
        <v>0.18036070704437224</v>
      </c>
      <c r="AC84" s="199">
        <f t="shared" si="7"/>
        <v>0.18036070704437224</v>
      </c>
      <c r="AD84" s="199">
        <f t="shared" si="7"/>
        <v>0.18036070704437224</v>
      </c>
      <c r="AE84" s="199">
        <f t="shared" si="7"/>
        <v>0.18036070704437224</v>
      </c>
      <c r="AF84" s="199">
        <f t="shared" si="7"/>
        <v>0.18036070704437224</v>
      </c>
      <c r="AG84" s="199">
        <f t="shared" si="7"/>
        <v>0.60195264388674885</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158</v>
      </c>
      <c r="G85" t="s">
        <v>168</v>
      </c>
      <c r="H85" s="78"/>
      <c r="J85" s="191">
        <f t="shared" ref="J85:AO85" si="8">INDEX($J67:$Y67,J$54)</f>
        <v>0.60195264388674885</v>
      </c>
      <c r="K85" s="191">
        <f t="shared" si="8"/>
        <v>0.60195264388674885</v>
      </c>
      <c r="L85" s="191">
        <f t="shared" si="8"/>
        <v>0.60195264388674885</v>
      </c>
      <c r="M85" s="191">
        <f t="shared" si="8"/>
        <v>0.60195264388674885</v>
      </c>
      <c r="N85" s="191">
        <f t="shared" si="8"/>
        <v>0.60195264388674885</v>
      </c>
      <c r="O85" s="191">
        <f t="shared" si="8"/>
        <v>0.60195264388674885</v>
      </c>
      <c r="P85" s="191">
        <f t="shared" si="8"/>
        <v>0.60195264388674885</v>
      </c>
      <c r="Q85" s="191">
        <f t="shared" si="8"/>
        <v>0.60195264388674885</v>
      </c>
      <c r="R85" s="191">
        <f t="shared" si="8"/>
        <v>0.60195264388674885</v>
      </c>
      <c r="S85" s="191">
        <f t="shared" si="8"/>
        <v>0.60195264388674885</v>
      </c>
      <c r="T85" s="191">
        <f t="shared" si="8"/>
        <v>0.60195264388674885</v>
      </c>
      <c r="U85" s="191">
        <f t="shared" si="8"/>
        <v>0.60195264388674885</v>
      </c>
      <c r="V85" s="191">
        <f t="shared" si="8"/>
        <v>0.60195264388674885</v>
      </c>
      <c r="W85" s="191">
        <f t="shared" si="8"/>
        <v>0.31001856356310609</v>
      </c>
      <c r="X85" s="191">
        <f t="shared" si="8"/>
        <v>0.31001856356310609</v>
      </c>
      <c r="Y85" s="191">
        <f t="shared" si="8"/>
        <v>0.31001856356310609</v>
      </c>
      <c r="Z85" s="191">
        <f t="shared" si="8"/>
        <v>0.31001856356310609</v>
      </c>
      <c r="AA85" s="191">
        <f t="shared" si="8"/>
        <v>0.31001856356310609</v>
      </c>
      <c r="AB85" s="191">
        <f t="shared" si="8"/>
        <v>0.18036070704437224</v>
      </c>
      <c r="AC85" s="191">
        <f t="shared" si="8"/>
        <v>0.18036070704437224</v>
      </c>
      <c r="AD85" s="191">
        <f t="shared" si="8"/>
        <v>0.18036070704437224</v>
      </c>
      <c r="AE85" s="191">
        <f t="shared" si="8"/>
        <v>0.18036070704437224</v>
      </c>
      <c r="AF85" s="191">
        <f t="shared" si="8"/>
        <v>0.18036070704437224</v>
      </c>
      <c r="AG85" s="191">
        <f t="shared" si="8"/>
        <v>0.60195264388674885</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159</v>
      </c>
      <c r="G86" t="s">
        <v>168</v>
      </c>
      <c r="H86" s="78"/>
      <c r="J86" s="191">
        <f t="shared" ref="J86:AO86" si="9">INDEX($J68:$Y68,J$54)</f>
        <v>0.60195264388674885</v>
      </c>
      <c r="K86" s="191">
        <f t="shared" si="9"/>
        <v>0.60195264388674885</v>
      </c>
      <c r="L86" s="191">
        <f t="shared" si="9"/>
        <v>0.60195264388674885</v>
      </c>
      <c r="M86" s="191">
        <f t="shared" si="9"/>
        <v>0.60195264388674885</v>
      </c>
      <c r="N86" s="191">
        <f t="shared" si="9"/>
        <v>0.60195264388674885</v>
      </c>
      <c r="O86" s="191">
        <f t="shared" si="9"/>
        <v>0.60195264388674885</v>
      </c>
      <c r="P86" s="191">
        <f t="shared" si="9"/>
        <v>0.60195264388674885</v>
      </c>
      <c r="Q86" s="191">
        <f t="shared" si="9"/>
        <v>0.60195264388674885</v>
      </c>
      <c r="R86" s="191">
        <f t="shared" si="9"/>
        <v>0.60195264388674885</v>
      </c>
      <c r="S86" s="191">
        <f t="shared" si="9"/>
        <v>0.60195264388674885</v>
      </c>
      <c r="T86" s="191">
        <f t="shared" si="9"/>
        <v>0.60195264388674885</v>
      </c>
      <c r="U86" s="191">
        <f t="shared" si="9"/>
        <v>0.60195264388674885</v>
      </c>
      <c r="V86" s="191">
        <f t="shared" si="9"/>
        <v>0.60195264388674885</v>
      </c>
      <c r="W86" s="191">
        <f t="shared" si="9"/>
        <v>0.31001856356310609</v>
      </c>
      <c r="X86" s="191">
        <f t="shared" si="9"/>
        <v>0.31001856356310609</v>
      </c>
      <c r="Y86" s="191">
        <f t="shared" si="9"/>
        <v>0.31001856356310609</v>
      </c>
      <c r="Z86" s="191">
        <f t="shared" si="9"/>
        <v>0.31001856356310609</v>
      </c>
      <c r="AA86" s="191">
        <f t="shared" si="9"/>
        <v>0.31001856356310609</v>
      </c>
      <c r="AB86" s="191">
        <f t="shared" si="9"/>
        <v>0.18036070704437224</v>
      </c>
      <c r="AC86" s="191">
        <f t="shared" si="9"/>
        <v>0.18036070704437224</v>
      </c>
      <c r="AD86" s="191">
        <f t="shared" si="9"/>
        <v>0.18036070704437224</v>
      </c>
      <c r="AE86" s="191">
        <f t="shared" si="9"/>
        <v>0.18036070704437224</v>
      </c>
      <c r="AF86" s="191">
        <f t="shared" si="9"/>
        <v>0.18036070704437224</v>
      </c>
      <c r="AG86" s="191">
        <f t="shared" si="9"/>
        <v>0.60195264388674885</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160</v>
      </c>
      <c r="G87" t="s">
        <v>168</v>
      </c>
      <c r="H87" s="78"/>
      <c r="J87" s="191">
        <f t="shared" ref="J87:AO87" si="10">INDEX($J69:$Y69,J$54)</f>
        <v>0.60195264388674885</v>
      </c>
      <c r="K87" s="191">
        <f t="shared" si="10"/>
        <v>0.60195264388674885</v>
      </c>
      <c r="L87" s="191">
        <f t="shared" si="10"/>
        <v>0.60195264388674885</v>
      </c>
      <c r="M87" s="191">
        <f t="shared" si="10"/>
        <v>0.60195264388674885</v>
      </c>
      <c r="N87" s="191">
        <f t="shared" si="10"/>
        <v>0.60195264388674885</v>
      </c>
      <c r="O87" s="191">
        <f t="shared" si="10"/>
        <v>0.60195264388674885</v>
      </c>
      <c r="P87" s="191">
        <f t="shared" si="10"/>
        <v>0.60195264388674885</v>
      </c>
      <c r="Q87" s="191">
        <f t="shared" si="10"/>
        <v>0.60195264388674885</v>
      </c>
      <c r="R87" s="191">
        <f t="shared" si="10"/>
        <v>0.60195264388674885</v>
      </c>
      <c r="S87" s="191">
        <f t="shared" si="10"/>
        <v>0.60195264388674885</v>
      </c>
      <c r="T87" s="191">
        <f t="shared" si="10"/>
        <v>0.60195264388674885</v>
      </c>
      <c r="U87" s="191">
        <f t="shared" si="10"/>
        <v>0.60195264388674885</v>
      </c>
      <c r="V87" s="191">
        <f t="shared" si="10"/>
        <v>0.60195264388674885</v>
      </c>
      <c r="W87" s="191">
        <f t="shared" si="10"/>
        <v>0.31001856356310609</v>
      </c>
      <c r="X87" s="191">
        <f t="shared" si="10"/>
        <v>0.31001856356310609</v>
      </c>
      <c r="Y87" s="191">
        <f t="shared" si="10"/>
        <v>0.31001856356310609</v>
      </c>
      <c r="Z87" s="191">
        <f t="shared" si="10"/>
        <v>0.31001856356310609</v>
      </c>
      <c r="AA87" s="191">
        <f t="shared" si="10"/>
        <v>0.31001856356310609</v>
      </c>
      <c r="AB87" s="191">
        <f t="shared" si="10"/>
        <v>0.18036070704437224</v>
      </c>
      <c r="AC87" s="191">
        <f t="shared" si="10"/>
        <v>0.18036070704437224</v>
      </c>
      <c r="AD87" s="191">
        <f t="shared" si="10"/>
        <v>0.18036070704437224</v>
      </c>
      <c r="AE87" s="191">
        <f t="shared" si="10"/>
        <v>0.18036070704437224</v>
      </c>
      <c r="AF87" s="191">
        <f t="shared" si="10"/>
        <v>0.18036070704437224</v>
      </c>
      <c r="AG87" s="191">
        <f t="shared" si="10"/>
        <v>0.60195264388674885</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161</v>
      </c>
      <c r="G88" t="s">
        <v>168</v>
      </c>
      <c r="H88" s="78"/>
      <c r="J88" s="191">
        <f t="shared" ref="J88:AO88" si="11">INDEX($J70:$Y70,J$54)</f>
        <v>0.60195264388674885</v>
      </c>
      <c r="K88" s="191">
        <f t="shared" si="11"/>
        <v>0.60195264388674885</v>
      </c>
      <c r="L88" s="191">
        <f t="shared" si="11"/>
        <v>0.60195264388674885</v>
      </c>
      <c r="M88" s="191">
        <f t="shared" si="11"/>
        <v>0.60195264388674885</v>
      </c>
      <c r="N88" s="191">
        <f t="shared" si="11"/>
        <v>0.60195264388674885</v>
      </c>
      <c r="O88" s="191">
        <f t="shared" si="11"/>
        <v>0.60195264388674885</v>
      </c>
      <c r="P88" s="191">
        <f t="shared" si="11"/>
        <v>0.60195264388674885</v>
      </c>
      <c r="Q88" s="191">
        <f t="shared" si="11"/>
        <v>0.60195264388674885</v>
      </c>
      <c r="R88" s="191">
        <f t="shared" si="11"/>
        <v>0.60195264388674885</v>
      </c>
      <c r="S88" s="191">
        <f t="shared" si="11"/>
        <v>0.60195264388674885</v>
      </c>
      <c r="T88" s="191">
        <f t="shared" si="11"/>
        <v>0.60195264388674885</v>
      </c>
      <c r="U88" s="191">
        <f t="shared" si="11"/>
        <v>0.60195264388674885</v>
      </c>
      <c r="V88" s="191">
        <f t="shared" si="11"/>
        <v>0.60195264388674885</v>
      </c>
      <c r="W88" s="191">
        <f t="shared" si="11"/>
        <v>0.31001856356310609</v>
      </c>
      <c r="X88" s="191">
        <f t="shared" si="11"/>
        <v>0.31001856356310609</v>
      </c>
      <c r="Y88" s="191">
        <f t="shared" si="11"/>
        <v>0.31001856356310609</v>
      </c>
      <c r="Z88" s="191">
        <f t="shared" si="11"/>
        <v>0.31001856356310609</v>
      </c>
      <c r="AA88" s="191">
        <f t="shared" si="11"/>
        <v>0.31001856356310609</v>
      </c>
      <c r="AB88" s="191">
        <f t="shared" si="11"/>
        <v>0.18036070704437224</v>
      </c>
      <c r="AC88" s="191">
        <f t="shared" si="11"/>
        <v>0.18036070704437224</v>
      </c>
      <c r="AD88" s="191">
        <f t="shared" si="11"/>
        <v>0.18036070704437224</v>
      </c>
      <c r="AE88" s="191">
        <f t="shared" si="11"/>
        <v>0.18036070704437224</v>
      </c>
      <c r="AF88" s="191">
        <f t="shared" si="11"/>
        <v>0.18036070704437224</v>
      </c>
      <c r="AG88" s="191">
        <f t="shared" si="11"/>
        <v>0.60195264388674885</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162</v>
      </c>
      <c r="G89" t="s">
        <v>168</v>
      </c>
      <c r="H89" s="78"/>
      <c r="J89" s="191">
        <f t="shared" ref="J89:AO89" si="12">INDEX($J71:$Y71,J$54)</f>
        <v>0.60195264388674885</v>
      </c>
      <c r="K89" s="191">
        <f t="shared" si="12"/>
        <v>0.60195264388674885</v>
      </c>
      <c r="L89" s="191">
        <f t="shared" si="12"/>
        <v>0.60195264388674885</v>
      </c>
      <c r="M89" s="191">
        <f t="shared" si="12"/>
        <v>0.60195264388674885</v>
      </c>
      <c r="N89" s="191">
        <f t="shared" si="12"/>
        <v>0.60195264388674885</v>
      </c>
      <c r="O89" s="191">
        <f t="shared" si="12"/>
        <v>0.60195264388674885</v>
      </c>
      <c r="P89" s="191">
        <f t="shared" si="12"/>
        <v>0.60195264388674885</v>
      </c>
      <c r="Q89" s="191">
        <f t="shared" si="12"/>
        <v>0.60195264388674885</v>
      </c>
      <c r="R89" s="191">
        <f t="shared" si="12"/>
        <v>0.60195264388674885</v>
      </c>
      <c r="S89" s="191">
        <f t="shared" si="12"/>
        <v>0.60195264388674885</v>
      </c>
      <c r="T89" s="191">
        <f t="shared" si="12"/>
        <v>0.60195264388674885</v>
      </c>
      <c r="U89" s="191">
        <f t="shared" si="12"/>
        <v>0.60195264388674885</v>
      </c>
      <c r="V89" s="191">
        <f t="shared" si="12"/>
        <v>0.60195264388674885</v>
      </c>
      <c r="W89" s="191">
        <f t="shared" si="12"/>
        <v>0.31001856356310609</v>
      </c>
      <c r="X89" s="191">
        <f t="shared" si="12"/>
        <v>0.31001856356310609</v>
      </c>
      <c r="Y89" s="191">
        <f t="shared" si="12"/>
        <v>0.31001856356310609</v>
      </c>
      <c r="Z89" s="191">
        <f t="shared" si="12"/>
        <v>0.31001856356310609</v>
      </c>
      <c r="AA89" s="191">
        <f t="shared" si="12"/>
        <v>0.31001856356310609</v>
      </c>
      <c r="AB89" s="191">
        <f t="shared" si="12"/>
        <v>0.18036070704437224</v>
      </c>
      <c r="AC89" s="191">
        <f t="shared" si="12"/>
        <v>0.18036070704437224</v>
      </c>
      <c r="AD89" s="191">
        <f t="shared" si="12"/>
        <v>0.18036070704437224</v>
      </c>
      <c r="AE89" s="191">
        <f t="shared" si="12"/>
        <v>0.18036070704437224</v>
      </c>
      <c r="AF89" s="191">
        <f t="shared" si="12"/>
        <v>0.18036070704437224</v>
      </c>
      <c r="AG89" s="191">
        <f t="shared" si="12"/>
        <v>0.60195264388674885</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163</v>
      </c>
      <c r="G90" s="96" t="s">
        <v>168</v>
      </c>
      <c r="H90" s="298"/>
      <c r="I90" s="96"/>
      <c r="J90" s="200">
        <f t="shared" ref="J90:AO90" si="13">INDEX($J72:$Y72,J$54)</f>
        <v>0.60195264388674885</v>
      </c>
      <c r="K90" s="200">
        <f t="shared" si="13"/>
        <v>0.60195264388674885</v>
      </c>
      <c r="L90" s="200">
        <f t="shared" si="13"/>
        <v>0.60195264388674885</v>
      </c>
      <c r="M90" s="200">
        <f t="shared" si="13"/>
        <v>0.60195264388674885</v>
      </c>
      <c r="N90" s="200">
        <f t="shared" si="13"/>
        <v>0.60195264388674885</v>
      </c>
      <c r="O90" s="200">
        <f t="shared" si="13"/>
        <v>0.60195264388674885</v>
      </c>
      <c r="P90" s="200">
        <f t="shared" si="13"/>
        <v>0.60195264388674885</v>
      </c>
      <c r="Q90" s="200">
        <f t="shared" si="13"/>
        <v>0.60195264388674885</v>
      </c>
      <c r="R90" s="200">
        <f t="shared" si="13"/>
        <v>0.60195264388674885</v>
      </c>
      <c r="S90" s="200">
        <f t="shared" si="13"/>
        <v>0.60195264388674885</v>
      </c>
      <c r="T90" s="200">
        <f t="shared" si="13"/>
        <v>0.60195264388674885</v>
      </c>
      <c r="U90" s="200">
        <f t="shared" si="13"/>
        <v>0.60195264388674885</v>
      </c>
      <c r="V90" s="200">
        <f t="shared" si="13"/>
        <v>0.60195264388674885</v>
      </c>
      <c r="W90" s="200">
        <f t="shared" si="13"/>
        <v>0.31001856356310609</v>
      </c>
      <c r="X90" s="200">
        <f t="shared" si="13"/>
        <v>0.31001856356310609</v>
      </c>
      <c r="Y90" s="200">
        <f t="shared" si="13"/>
        <v>0.31001856356310609</v>
      </c>
      <c r="Z90" s="200">
        <f t="shared" si="13"/>
        <v>0.31001856356310609</v>
      </c>
      <c r="AA90" s="200">
        <f t="shared" si="13"/>
        <v>0.31001856356310609</v>
      </c>
      <c r="AB90" s="200">
        <f t="shared" si="13"/>
        <v>0.18036070704437224</v>
      </c>
      <c r="AC90" s="200">
        <f t="shared" si="13"/>
        <v>0.18036070704437224</v>
      </c>
      <c r="AD90" s="200">
        <f t="shared" si="13"/>
        <v>0.18036070704437224</v>
      </c>
      <c r="AE90" s="200">
        <f t="shared" si="13"/>
        <v>0.18036070704437224</v>
      </c>
      <c r="AF90" s="200">
        <f t="shared" si="13"/>
        <v>0.18036070704437224</v>
      </c>
      <c r="AG90" s="200">
        <f t="shared" si="13"/>
        <v>0.60195264388674885</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control'!$H$42:$H$65,MATCH($A$1,'Version control'!$F$42:$F$65,0),1)&amp;"-E: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708</v>
      </c>
      <c r="I94" t="s">
        <v>155</v>
      </c>
      <c r="AQ94" t="s">
        <v>156</v>
      </c>
    </row>
    <row r="95" spans="3:43" x14ac:dyDescent="0.25">
      <c r="C95" s="105"/>
      <c r="F95" s="95" t="s">
        <v>157</v>
      </c>
      <c r="G95" s="95" t="s">
        <v>150</v>
      </c>
      <c r="H95" s="237">
        <f>'Fixed inputs'!H26</f>
        <v>3</v>
      </c>
    </row>
    <row r="96" spans="3:43" x14ac:dyDescent="0.25">
      <c r="C96" s="105"/>
      <c r="F96" t="s">
        <v>158</v>
      </c>
      <c r="G96" t="s">
        <v>150</v>
      </c>
      <c r="H96" s="78">
        <f>'Fixed inputs'!H27</f>
        <v>3</v>
      </c>
    </row>
    <row r="97" spans="2:43" x14ac:dyDescent="0.25">
      <c r="C97" s="105"/>
      <c r="F97" t="s">
        <v>159</v>
      </c>
      <c r="G97" t="s">
        <v>150</v>
      </c>
      <c r="H97" s="78">
        <f>'Fixed inputs'!H28</f>
        <v>3</v>
      </c>
    </row>
    <row r="98" spans="2:43" x14ac:dyDescent="0.25">
      <c r="C98" s="105"/>
      <c r="F98" t="s">
        <v>160</v>
      </c>
      <c r="G98" t="s">
        <v>150</v>
      </c>
      <c r="H98" s="78">
        <f>'Fixed inputs'!H29</f>
        <v>2</v>
      </c>
    </row>
    <row r="99" spans="2:43" x14ac:dyDescent="0.25">
      <c r="C99" s="105"/>
      <c r="F99" t="s">
        <v>161</v>
      </c>
      <c r="G99" t="s">
        <v>150</v>
      </c>
      <c r="H99" s="78">
        <f>'Fixed inputs'!H30</f>
        <v>2</v>
      </c>
    </row>
    <row r="100" spans="2:43" x14ac:dyDescent="0.25">
      <c r="C100" s="105"/>
      <c r="F100" t="s">
        <v>162</v>
      </c>
      <c r="G100" t="s">
        <v>150</v>
      </c>
      <c r="H100" s="78">
        <f>'Fixed inputs'!H31</f>
        <v>2</v>
      </c>
    </row>
    <row r="101" spans="2:43" x14ac:dyDescent="0.25">
      <c r="C101" s="105"/>
      <c r="F101" s="96" t="s">
        <v>163</v>
      </c>
      <c r="G101" s="96" t="s">
        <v>150</v>
      </c>
      <c r="H101" s="298">
        <f>'Fixed inputs'!H32</f>
        <v>3</v>
      </c>
    </row>
    <row r="102" spans="2:43" x14ac:dyDescent="0.25">
      <c r="C102" s="105"/>
    </row>
    <row r="103" spans="2:43" x14ac:dyDescent="0.25">
      <c r="B103" s="85" t="s">
        <v>709</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710</v>
      </c>
    </row>
    <row r="107" spans="2:43" x14ac:dyDescent="0.25">
      <c r="C107" s="93" t="str">
        <f ca="1">INDEX('Version control'!$H$42:$H$65,MATCH($A$1,'Version control'!$F$42:$F$65,0),1)&amp;"-F: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711</v>
      </c>
      <c r="F109" s="75"/>
    </row>
    <row r="110" spans="2:43" x14ac:dyDescent="0.25">
      <c r="D110"/>
      <c r="E110" s="105"/>
      <c r="F110" s="95" t="s">
        <v>157</v>
      </c>
      <c r="G110" s="95" t="s">
        <v>270</v>
      </c>
      <c r="H110" s="278"/>
      <c r="I110" s="266"/>
      <c r="J110" s="283">
        <f xml:space="preserve"> J20 + J32</f>
        <v>25.395136853030557</v>
      </c>
      <c r="K110" s="283">
        <f t="shared" ref="K110:AO110" si="14" xml:space="preserve"> K20 + K32</f>
        <v>25.395136853030557</v>
      </c>
      <c r="L110" s="283">
        <f t="shared" si="14"/>
        <v>24.844477123489018</v>
      </c>
      <c r="M110" s="283">
        <f t="shared" si="14"/>
        <v>24.844477123489018</v>
      </c>
      <c r="N110" s="283">
        <f t="shared" si="14"/>
        <v>24.844477123489018</v>
      </c>
      <c r="O110" s="283">
        <f t="shared" si="14"/>
        <v>24.844477123489018</v>
      </c>
      <c r="P110" s="283">
        <f t="shared" si="14"/>
        <v>24.844477123489018</v>
      </c>
      <c r="Q110" s="283">
        <f t="shared" si="14"/>
        <v>24.844477123489018</v>
      </c>
      <c r="R110" s="283">
        <f t="shared" si="14"/>
        <v>15.429151116302295</v>
      </c>
      <c r="S110" s="283">
        <f t="shared" si="14"/>
        <v>15.429151116302295</v>
      </c>
      <c r="T110" s="283">
        <f t="shared" si="14"/>
        <v>15.429151116302295</v>
      </c>
      <c r="U110" s="283">
        <f t="shared" si="14"/>
        <v>15.429151116302295</v>
      </c>
      <c r="V110" s="283">
        <f t="shared" si="14"/>
        <v>15.429151116302295</v>
      </c>
      <c r="W110" s="283">
        <f t="shared" si="14"/>
        <v>9.8212748354902395</v>
      </c>
      <c r="X110" s="283">
        <f t="shared" si="14"/>
        <v>9.8212748354902395</v>
      </c>
      <c r="Y110" s="283">
        <f t="shared" si="14"/>
        <v>9.8212748354902395</v>
      </c>
      <c r="Z110" s="283">
        <f t="shared" si="14"/>
        <v>9.8212748354902395</v>
      </c>
      <c r="AA110" s="283">
        <f t="shared" si="14"/>
        <v>9.8212748354902395</v>
      </c>
      <c r="AB110" s="283">
        <f t="shared" si="14"/>
        <v>7.5003520676968254</v>
      </c>
      <c r="AC110" s="283">
        <f t="shared" si="14"/>
        <v>7.5003520676968254</v>
      </c>
      <c r="AD110" s="283">
        <f t="shared" si="14"/>
        <v>7.5003520676968254</v>
      </c>
      <c r="AE110" s="283">
        <f t="shared" si="14"/>
        <v>7.5003520676968254</v>
      </c>
      <c r="AF110" s="283">
        <f t="shared" si="14"/>
        <v>7.5003520676968254</v>
      </c>
      <c r="AG110" s="283">
        <f t="shared" si="14"/>
        <v>75.808148615671129</v>
      </c>
      <c r="AH110" s="283">
        <f t="shared" si="14"/>
        <v>-15.280425382806436</v>
      </c>
      <c r="AI110" s="283">
        <f t="shared" si="14"/>
        <v>-13.108991883469402</v>
      </c>
      <c r="AJ110" s="283">
        <f t="shared" si="14"/>
        <v>-15.280425382806436</v>
      </c>
      <c r="AK110" s="283">
        <f t="shared" si="14"/>
        <v>-15.280425382806436</v>
      </c>
      <c r="AL110" s="283">
        <f t="shared" si="14"/>
        <v>-13.108991883469402</v>
      </c>
      <c r="AM110" s="283">
        <f t="shared" si="14"/>
        <v>-13.108991883469402</v>
      </c>
      <c r="AN110" s="283">
        <f t="shared" si="14"/>
        <v>-8.1964824270810812</v>
      </c>
      <c r="AO110" s="283">
        <f t="shared" si="14"/>
        <v>-8.1964824270810812</v>
      </c>
      <c r="AP110" s="268"/>
      <c r="AQ110" s="268"/>
    </row>
    <row r="111" spans="2:43" x14ac:dyDescent="0.25">
      <c r="D111"/>
      <c r="E111" s="105"/>
      <c r="F111" t="s">
        <v>158</v>
      </c>
      <c r="G111" t="s">
        <v>270</v>
      </c>
      <c r="H111" s="279"/>
      <c r="I111" s="268"/>
      <c r="J111" s="282">
        <f t="shared" ref="J111" si="15" xml:space="preserve"> J21 + J33</f>
        <v>2.0255668188196898</v>
      </c>
      <c r="K111" s="282">
        <f t="shared" ref="K111:AO111" si="16" xml:space="preserve"> K21 + K33</f>
        <v>2.0255668188196898</v>
      </c>
      <c r="L111" s="282">
        <f t="shared" si="16"/>
        <v>1.9816450993552617</v>
      </c>
      <c r="M111" s="282">
        <f t="shared" si="16"/>
        <v>1.9816450993552617</v>
      </c>
      <c r="N111" s="282">
        <f t="shared" si="16"/>
        <v>1.9816450993552617</v>
      </c>
      <c r="O111" s="282">
        <f t="shared" si="16"/>
        <v>1.9816450993552617</v>
      </c>
      <c r="P111" s="282">
        <f t="shared" si="16"/>
        <v>1.9816450993552617</v>
      </c>
      <c r="Q111" s="282">
        <f t="shared" si="16"/>
        <v>1.9816450993552617</v>
      </c>
      <c r="R111" s="282">
        <f t="shared" si="16"/>
        <v>1.0970359548046356</v>
      </c>
      <c r="S111" s="282">
        <f t="shared" si="16"/>
        <v>1.0970359548046356</v>
      </c>
      <c r="T111" s="282">
        <f t="shared" si="16"/>
        <v>1.0970359548046356</v>
      </c>
      <c r="U111" s="282">
        <f t="shared" si="16"/>
        <v>1.0970359548046356</v>
      </c>
      <c r="V111" s="282">
        <f t="shared" si="16"/>
        <v>1.0970359548046356</v>
      </c>
      <c r="W111" s="282">
        <f t="shared" si="16"/>
        <v>0.49592572828189158</v>
      </c>
      <c r="X111" s="282">
        <f t="shared" si="16"/>
        <v>0.49592572828189158</v>
      </c>
      <c r="Y111" s="282">
        <f t="shared" si="16"/>
        <v>0.49592572828189158</v>
      </c>
      <c r="Z111" s="282">
        <f t="shared" si="16"/>
        <v>0.49592572828189158</v>
      </c>
      <c r="AA111" s="282">
        <f t="shared" si="16"/>
        <v>0.49592572828189158</v>
      </c>
      <c r="AB111" s="282">
        <f t="shared" si="16"/>
        <v>0.28752383061602405</v>
      </c>
      <c r="AC111" s="282">
        <f t="shared" si="16"/>
        <v>0.28752383061602405</v>
      </c>
      <c r="AD111" s="282">
        <f t="shared" si="16"/>
        <v>0.28752383061602405</v>
      </c>
      <c r="AE111" s="282">
        <f t="shared" si="16"/>
        <v>0.28752383061602405</v>
      </c>
      <c r="AF111" s="282">
        <f t="shared" si="16"/>
        <v>0.28752383061602405</v>
      </c>
      <c r="AG111" s="282">
        <f t="shared" si="16"/>
        <v>4.1499071978827944</v>
      </c>
      <c r="AH111" s="282">
        <f t="shared" si="16"/>
        <v>-1.2187972371241318</v>
      </c>
      <c r="AI111" s="282">
        <f t="shared" si="16"/>
        <v>-0.97486597250895268</v>
      </c>
      <c r="AJ111" s="282">
        <f t="shared" si="16"/>
        <v>-1.2187972371241318</v>
      </c>
      <c r="AK111" s="282">
        <f t="shared" si="16"/>
        <v>-1.2187972371241318</v>
      </c>
      <c r="AL111" s="282">
        <f t="shared" si="16"/>
        <v>-0.97486597250895268</v>
      </c>
      <c r="AM111" s="282">
        <f t="shared" si="16"/>
        <v>-0.97486597250895268</v>
      </c>
      <c r="AN111" s="282">
        <f t="shared" si="16"/>
        <v>-0.41388176026916063</v>
      </c>
      <c r="AO111" s="282">
        <f t="shared" si="16"/>
        <v>-0.41388176026916063</v>
      </c>
      <c r="AP111" s="268"/>
      <c r="AQ111" s="268"/>
    </row>
    <row r="112" spans="2:43" x14ac:dyDescent="0.25">
      <c r="D112"/>
      <c r="E112" s="105"/>
      <c r="F112" t="s">
        <v>159</v>
      </c>
      <c r="G112" t="s">
        <v>270</v>
      </c>
      <c r="H112" s="279"/>
      <c r="I112" s="268"/>
      <c r="J112" s="282">
        <f t="shared" ref="J112" si="17" xml:space="preserve"> J22 + J34</f>
        <v>0.20028453291725412</v>
      </c>
      <c r="K112" s="282">
        <f t="shared" ref="K112:AO112" si="18" xml:space="preserve"> K22 + K34</f>
        <v>0.20028453291725412</v>
      </c>
      <c r="L112" s="282">
        <f t="shared" si="18"/>
        <v>0.19594162949579028</v>
      </c>
      <c r="M112" s="282">
        <f t="shared" si="18"/>
        <v>0.19594162949579028</v>
      </c>
      <c r="N112" s="282">
        <f t="shared" si="18"/>
        <v>0.19594162949579028</v>
      </c>
      <c r="O112" s="282">
        <f t="shared" si="18"/>
        <v>0.19594162949579028</v>
      </c>
      <c r="P112" s="282">
        <f t="shared" si="18"/>
        <v>0.19594162949579028</v>
      </c>
      <c r="Q112" s="282">
        <f t="shared" si="18"/>
        <v>0.19594162949579028</v>
      </c>
      <c r="R112" s="282">
        <f t="shared" si="18"/>
        <v>0.11055342216280105</v>
      </c>
      <c r="S112" s="282">
        <f t="shared" si="18"/>
        <v>0.11055342216280105</v>
      </c>
      <c r="T112" s="282">
        <f t="shared" si="18"/>
        <v>0.11055342216280105</v>
      </c>
      <c r="U112" s="282">
        <f t="shared" si="18"/>
        <v>0.11055342216280105</v>
      </c>
      <c r="V112" s="282">
        <f t="shared" si="18"/>
        <v>0.11055342216280105</v>
      </c>
      <c r="W112" s="282">
        <f t="shared" si="18"/>
        <v>5.3511450595281604E-2</v>
      </c>
      <c r="X112" s="282">
        <f t="shared" si="18"/>
        <v>5.3511450595281604E-2</v>
      </c>
      <c r="Y112" s="282">
        <f t="shared" si="18"/>
        <v>5.3511450595281604E-2</v>
      </c>
      <c r="Z112" s="282">
        <f t="shared" si="18"/>
        <v>5.3511450595281604E-2</v>
      </c>
      <c r="AA112" s="282">
        <f t="shared" si="18"/>
        <v>5.3511450595281604E-2</v>
      </c>
      <c r="AB112" s="282">
        <f t="shared" si="18"/>
        <v>3.3267489359390272E-2</v>
      </c>
      <c r="AC112" s="282">
        <f t="shared" si="18"/>
        <v>3.3267489359390272E-2</v>
      </c>
      <c r="AD112" s="282">
        <f t="shared" si="18"/>
        <v>3.3267489359390272E-2</v>
      </c>
      <c r="AE112" s="282">
        <f t="shared" si="18"/>
        <v>3.3267489359390272E-2</v>
      </c>
      <c r="AF112" s="282">
        <f t="shared" si="18"/>
        <v>3.3267489359390272E-2</v>
      </c>
      <c r="AG112" s="282">
        <f t="shared" si="18"/>
        <v>2.0619478137595015</v>
      </c>
      <c r="AH112" s="282">
        <f t="shared" si="18"/>
        <v>-0.12051255633249795</v>
      </c>
      <c r="AI112" s="282">
        <f t="shared" si="18"/>
        <v>-9.7494314339578544E-2</v>
      </c>
      <c r="AJ112" s="282">
        <f t="shared" si="18"/>
        <v>-0.12051255633249795</v>
      </c>
      <c r="AK112" s="282">
        <f t="shared" si="18"/>
        <v>-0.12051255633249795</v>
      </c>
      <c r="AL112" s="282">
        <f t="shared" si="18"/>
        <v>-9.7494314339578544E-2</v>
      </c>
      <c r="AM112" s="282">
        <f t="shared" si="18"/>
        <v>-9.7494314339578544E-2</v>
      </c>
      <c r="AN112" s="282">
        <f t="shared" si="18"/>
        <v>-4.4658730337826823E-2</v>
      </c>
      <c r="AO112" s="282">
        <f t="shared" si="18"/>
        <v>-4.4658730337826823E-2</v>
      </c>
      <c r="AP112" s="268"/>
      <c r="AQ112" s="268"/>
    </row>
    <row r="113" spans="3:43" x14ac:dyDescent="0.25">
      <c r="D113"/>
      <c r="E113" s="105"/>
      <c r="F113" t="s">
        <v>160</v>
      </c>
      <c r="G113" t="s">
        <v>271</v>
      </c>
      <c r="H113" s="78"/>
      <c r="J113" s="168">
        <f t="shared" ref="J113" si="19" xml:space="preserve"> J23 + J35</f>
        <v>17.832724633851193</v>
      </c>
      <c r="K113" s="168">
        <f t="shared" ref="K113:AO113" si="20" xml:space="preserve"> K23 + K35</f>
        <v>0</v>
      </c>
      <c r="L113" s="168">
        <f t="shared" si="20"/>
        <v>19.249864891018355</v>
      </c>
      <c r="M113" s="168">
        <f t="shared" si="20"/>
        <v>22.52550312183012</v>
      </c>
      <c r="N113" s="168">
        <f t="shared" si="20"/>
        <v>32.594370505587754</v>
      </c>
      <c r="O113" s="168">
        <f t="shared" si="20"/>
        <v>46.073312410732797</v>
      </c>
      <c r="P113" s="168">
        <f t="shared" si="20"/>
        <v>84.441735434522286</v>
      </c>
      <c r="Q113" s="168">
        <f t="shared" si="20"/>
        <v>0</v>
      </c>
      <c r="R113" s="168">
        <f t="shared" si="20"/>
        <v>19.085920524154083</v>
      </c>
      <c r="S113" s="168">
        <f t="shared" si="20"/>
        <v>142.30754278406562</v>
      </c>
      <c r="T113" s="168">
        <f t="shared" si="20"/>
        <v>240.2298255838185</v>
      </c>
      <c r="U113" s="168">
        <f t="shared" si="20"/>
        <v>370.59448872538258</v>
      </c>
      <c r="V113" s="168">
        <f t="shared" si="20"/>
        <v>797.98910605694971</v>
      </c>
      <c r="W113" s="168">
        <f t="shared" si="20"/>
        <v>14.898612013947742</v>
      </c>
      <c r="X113" s="168">
        <f t="shared" si="20"/>
        <v>138.12023427385932</v>
      </c>
      <c r="Y113" s="168">
        <f t="shared" si="20"/>
        <v>236.04251707361217</v>
      </c>
      <c r="Z113" s="168">
        <f t="shared" si="20"/>
        <v>366.40718021517614</v>
      </c>
      <c r="AA113" s="168">
        <f t="shared" si="20"/>
        <v>793.80179754674327</v>
      </c>
      <c r="AB113" s="168">
        <f t="shared" si="20"/>
        <v>137.54153750078822</v>
      </c>
      <c r="AC113" s="168">
        <f t="shared" si="20"/>
        <v>1035.0852624385132</v>
      </c>
      <c r="AD113" s="168">
        <f t="shared" si="20"/>
        <v>2208.4202604876841</v>
      </c>
      <c r="AE113" s="168">
        <f t="shared" si="20"/>
        <v>4821.7958930466075</v>
      </c>
      <c r="AF113" s="168">
        <f t="shared" si="20"/>
        <v>9159.735314368123</v>
      </c>
      <c r="AG113" s="168">
        <f t="shared" si="20"/>
        <v>0</v>
      </c>
      <c r="AH113" s="168">
        <f t="shared" si="20"/>
        <v>0</v>
      </c>
      <c r="AI113" s="168">
        <f t="shared" si="20"/>
        <v>0</v>
      </c>
      <c r="AJ113" s="168">
        <f t="shared" si="20"/>
        <v>0</v>
      </c>
      <c r="AK113" s="168">
        <f t="shared" si="20"/>
        <v>0</v>
      </c>
      <c r="AL113" s="168">
        <f t="shared" si="20"/>
        <v>0</v>
      </c>
      <c r="AM113" s="168">
        <f t="shared" si="20"/>
        <v>0</v>
      </c>
      <c r="AN113" s="168">
        <f t="shared" si="20"/>
        <v>86.079364905669735</v>
      </c>
      <c r="AO113" s="168">
        <f t="shared" si="20"/>
        <v>86.079364905669735</v>
      </c>
    </row>
    <row r="114" spans="3:43" x14ac:dyDescent="0.25">
      <c r="D114"/>
      <c r="E114" s="105"/>
      <c r="F114" t="s">
        <v>161</v>
      </c>
      <c r="G114" t="s">
        <v>272</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12.912493254799603</v>
      </c>
      <c r="S114" s="168">
        <f t="shared" si="22"/>
        <v>12.912493254799603</v>
      </c>
      <c r="T114" s="168">
        <f t="shared" si="22"/>
        <v>12.912493254799603</v>
      </c>
      <c r="U114" s="168">
        <f t="shared" si="22"/>
        <v>12.912493254799603</v>
      </c>
      <c r="V114" s="168">
        <f t="shared" si="22"/>
        <v>12.912493254799603</v>
      </c>
      <c r="W114" s="168">
        <f t="shared" si="22"/>
        <v>11.05458065371368</v>
      </c>
      <c r="X114" s="168">
        <f t="shared" si="22"/>
        <v>11.05458065371368</v>
      </c>
      <c r="Y114" s="168">
        <f t="shared" si="22"/>
        <v>11.05458065371368</v>
      </c>
      <c r="Z114" s="168">
        <f t="shared" si="22"/>
        <v>11.05458065371368</v>
      </c>
      <c r="AA114" s="168">
        <f t="shared" si="22"/>
        <v>11.05458065371368</v>
      </c>
      <c r="AB114" s="168">
        <f t="shared" si="22"/>
        <v>10.616443931280937</v>
      </c>
      <c r="AC114" s="168">
        <f t="shared" si="22"/>
        <v>10.616443931280937</v>
      </c>
      <c r="AD114" s="168">
        <f t="shared" si="22"/>
        <v>10.616443931280937</v>
      </c>
      <c r="AE114" s="168">
        <f t="shared" si="22"/>
        <v>10.616443931280937</v>
      </c>
      <c r="AF114" s="168">
        <f t="shared" si="22"/>
        <v>10.616443931280937</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162</v>
      </c>
      <c r="G115" t="s">
        <v>272</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12.912493254799603</v>
      </c>
      <c r="S115" s="168">
        <f t="shared" si="24"/>
        <v>12.912493254799603</v>
      </c>
      <c r="T115" s="168">
        <f t="shared" si="24"/>
        <v>12.912493254799603</v>
      </c>
      <c r="U115" s="168">
        <f t="shared" si="24"/>
        <v>12.912493254799603</v>
      </c>
      <c r="V115" s="168">
        <f t="shared" si="24"/>
        <v>12.912493254799603</v>
      </c>
      <c r="W115" s="168">
        <f t="shared" si="24"/>
        <v>11.05458065371368</v>
      </c>
      <c r="X115" s="168">
        <f t="shared" si="24"/>
        <v>11.05458065371368</v>
      </c>
      <c r="Y115" s="168">
        <f t="shared" si="24"/>
        <v>11.05458065371368</v>
      </c>
      <c r="Z115" s="168">
        <f t="shared" si="24"/>
        <v>11.05458065371368</v>
      </c>
      <c r="AA115" s="168">
        <f t="shared" si="24"/>
        <v>11.05458065371368</v>
      </c>
      <c r="AB115" s="168">
        <f t="shared" si="24"/>
        <v>10.616443931280937</v>
      </c>
      <c r="AC115" s="168">
        <f t="shared" si="24"/>
        <v>10.616443931280937</v>
      </c>
      <c r="AD115" s="168">
        <f t="shared" si="24"/>
        <v>10.616443931280937</v>
      </c>
      <c r="AE115" s="168">
        <f t="shared" si="24"/>
        <v>10.616443931280937</v>
      </c>
      <c r="AF115" s="168">
        <f t="shared" si="24"/>
        <v>10.616443931280937</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163</v>
      </c>
      <c r="G116" s="96" t="s">
        <v>273</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0.25264310707810089</v>
      </c>
      <c r="S116" s="348">
        <f t="shared" si="26"/>
        <v>0.25264310707810089</v>
      </c>
      <c r="T116" s="348">
        <f t="shared" si="26"/>
        <v>0.25264310707810089</v>
      </c>
      <c r="U116" s="348">
        <f t="shared" si="26"/>
        <v>0.25264310707810089</v>
      </c>
      <c r="V116" s="348">
        <f t="shared" si="26"/>
        <v>0.25264310707810089</v>
      </c>
      <c r="W116" s="348">
        <f t="shared" si="26"/>
        <v>0.13863470006128026</v>
      </c>
      <c r="X116" s="348">
        <f t="shared" si="26"/>
        <v>0.13863470006128026</v>
      </c>
      <c r="Y116" s="348">
        <f t="shared" si="26"/>
        <v>0.13863470006128026</v>
      </c>
      <c r="Z116" s="348">
        <f t="shared" si="26"/>
        <v>0.13863470006128026</v>
      </c>
      <c r="AA116" s="348">
        <f t="shared" si="26"/>
        <v>0.13863470006128026</v>
      </c>
      <c r="AB116" s="348">
        <f t="shared" si="26"/>
        <v>9.6603194796647043E-2</v>
      </c>
      <c r="AC116" s="348">
        <f t="shared" si="26"/>
        <v>9.6603194796647043E-2</v>
      </c>
      <c r="AD116" s="348">
        <f t="shared" si="26"/>
        <v>9.6603194796647043E-2</v>
      </c>
      <c r="AE116" s="348">
        <f t="shared" si="26"/>
        <v>9.6603194796647043E-2</v>
      </c>
      <c r="AF116" s="348">
        <f t="shared" si="26"/>
        <v>9.6603194796647043E-2</v>
      </c>
      <c r="AG116" s="348">
        <f t="shared" si="26"/>
        <v>0</v>
      </c>
      <c r="AH116" s="348">
        <f t="shared" si="26"/>
        <v>0</v>
      </c>
      <c r="AI116" s="348">
        <f t="shared" si="26"/>
        <v>0</v>
      </c>
      <c r="AJ116" s="348">
        <f t="shared" si="26"/>
        <v>0.31225598745472138</v>
      </c>
      <c r="AK116" s="348">
        <f t="shared" si="26"/>
        <v>0</v>
      </c>
      <c r="AL116" s="348">
        <f t="shared" si="26"/>
        <v>0.22398663020284471</v>
      </c>
      <c r="AM116" s="348">
        <f t="shared" si="26"/>
        <v>0</v>
      </c>
      <c r="AN116" s="348">
        <f t="shared" si="26"/>
        <v>0.18734964255838274</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control'!$H$42:$H$65,MATCH($A$1,'Version control'!$F$42:$F$65,0),1)&amp;"-G: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843</v>
      </c>
      <c r="F120" s="75"/>
      <c r="I120" t="s">
        <v>155</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850</v>
      </c>
    </row>
    <row r="121" spans="3:43" x14ac:dyDescent="0.25">
      <c r="E121" s="105"/>
      <c r="F121" s="95" t="s">
        <v>157</v>
      </c>
      <c r="G121" s="95" t="s">
        <v>270</v>
      </c>
      <c r="H121" s="278"/>
      <c r="I121" s="266"/>
      <c r="J121" s="349">
        <f xml:space="preserve"> J110 + J44</f>
        <v>25.395136853030557</v>
      </c>
      <c r="K121" s="349">
        <f t="shared" ref="K121:AO121" si="27" xml:space="preserve"> K110 + K44</f>
        <v>25.395136853030557</v>
      </c>
      <c r="L121" s="349">
        <f t="shared" si="27"/>
        <v>24.844477123489018</v>
      </c>
      <c r="M121" s="349">
        <f t="shared" si="27"/>
        <v>24.844477123489018</v>
      </c>
      <c r="N121" s="349">
        <f t="shared" si="27"/>
        <v>24.844477123489018</v>
      </c>
      <c r="O121" s="349">
        <f t="shared" si="27"/>
        <v>24.844477123489018</v>
      </c>
      <c r="P121" s="349">
        <f t="shared" si="27"/>
        <v>24.844477123489018</v>
      </c>
      <c r="Q121" s="349">
        <f t="shared" si="27"/>
        <v>24.844477123489018</v>
      </c>
      <c r="R121" s="349">
        <f t="shared" si="27"/>
        <v>15.429151116302295</v>
      </c>
      <c r="S121" s="349">
        <f t="shared" si="27"/>
        <v>15.429151116302295</v>
      </c>
      <c r="T121" s="349">
        <f t="shared" si="27"/>
        <v>15.429151116302295</v>
      </c>
      <c r="U121" s="349">
        <f t="shared" si="27"/>
        <v>15.429151116302295</v>
      </c>
      <c r="V121" s="349">
        <f t="shared" si="27"/>
        <v>15.429151116302295</v>
      </c>
      <c r="W121" s="349">
        <f t="shared" si="27"/>
        <v>9.8212748354902395</v>
      </c>
      <c r="X121" s="349">
        <f t="shared" si="27"/>
        <v>9.8212748354902395</v>
      </c>
      <c r="Y121" s="349">
        <f t="shared" si="27"/>
        <v>9.8212748354902395</v>
      </c>
      <c r="Z121" s="349">
        <f t="shared" si="27"/>
        <v>9.8212748354902395</v>
      </c>
      <c r="AA121" s="349">
        <f t="shared" si="27"/>
        <v>9.8212748354902395</v>
      </c>
      <c r="AB121" s="349">
        <f t="shared" si="27"/>
        <v>7.5003520676968254</v>
      </c>
      <c r="AC121" s="349">
        <f t="shared" si="27"/>
        <v>7.5003520676968254</v>
      </c>
      <c r="AD121" s="349">
        <f t="shared" si="27"/>
        <v>7.5003520676968254</v>
      </c>
      <c r="AE121" s="349">
        <f t="shared" si="27"/>
        <v>7.5003520676968254</v>
      </c>
      <c r="AF121" s="349">
        <f t="shared" si="27"/>
        <v>7.5003520676968254</v>
      </c>
      <c r="AG121" s="349">
        <f t="shared" si="27"/>
        <v>75.808148615671129</v>
      </c>
      <c r="AH121" s="349">
        <f t="shared" si="27"/>
        <v>-15.280425382806436</v>
      </c>
      <c r="AI121" s="349">
        <f t="shared" si="27"/>
        <v>-13.108991883469402</v>
      </c>
      <c r="AJ121" s="349">
        <f t="shared" si="27"/>
        <v>-15.280425382806436</v>
      </c>
      <c r="AK121" s="349">
        <f t="shared" si="27"/>
        <v>-15.280425382806436</v>
      </c>
      <c r="AL121" s="349">
        <f t="shared" si="27"/>
        <v>-13.108991883469402</v>
      </c>
      <c r="AM121" s="349">
        <f t="shared" si="27"/>
        <v>-13.108991883469402</v>
      </c>
      <c r="AN121" s="349">
        <f t="shared" si="27"/>
        <v>-8.1964824270810812</v>
      </c>
      <c r="AO121" s="349">
        <f t="shared" si="27"/>
        <v>-8.1964824270810812</v>
      </c>
      <c r="AP121" s="268"/>
      <c r="AQ121" s="268"/>
    </row>
    <row r="122" spans="3:43" x14ac:dyDescent="0.25">
      <c r="E122" s="105"/>
      <c r="F122" t="s">
        <v>158</v>
      </c>
      <c r="G122" t="s">
        <v>270</v>
      </c>
      <c r="H122" s="279"/>
      <c r="I122" s="268"/>
      <c r="J122" s="350">
        <f t="shared" ref="J122" si="28" xml:space="preserve"> J111 + J45</f>
        <v>2.0255668188196898</v>
      </c>
      <c r="K122" s="350">
        <f t="shared" ref="K122:AO122" si="29" xml:space="preserve"> K111 + K45</f>
        <v>2.0255668188196898</v>
      </c>
      <c r="L122" s="350">
        <f t="shared" si="29"/>
        <v>1.9816450993552617</v>
      </c>
      <c r="M122" s="350">
        <f t="shared" si="29"/>
        <v>1.9816450993552617</v>
      </c>
      <c r="N122" s="350">
        <f t="shared" si="29"/>
        <v>1.9816450993552617</v>
      </c>
      <c r="O122" s="350">
        <f t="shared" si="29"/>
        <v>1.9816450993552617</v>
      </c>
      <c r="P122" s="350">
        <f t="shared" si="29"/>
        <v>1.9816450993552617</v>
      </c>
      <c r="Q122" s="350">
        <f t="shared" si="29"/>
        <v>1.9816450993552617</v>
      </c>
      <c r="R122" s="350">
        <f t="shared" si="29"/>
        <v>1.0970359548046356</v>
      </c>
      <c r="S122" s="350">
        <f t="shared" si="29"/>
        <v>1.0970359548046356</v>
      </c>
      <c r="T122" s="350">
        <f t="shared" si="29"/>
        <v>1.0970359548046356</v>
      </c>
      <c r="U122" s="350">
        <f t="shared" si="29"/>
        <v>1.0970359548046356</v>
      </c>
      <c r="V122" s="350">
        <f t="shared" si="29"/>
        <v>1.0970359548046356</v>
      </c>
      <c r="W122" s="350">
        <f t="shared" si="29"/>
        <v>0.49592572828189158</v>
      </c>
      <c r="X122" s="350">
        <f t="shared" si="29"/>
        <v>0.49592572828189158</v>
      </c>
      <c r="Y122" s="350">
        <f t="shared" si="29"/>
        <v>0.49592572828189158</v>
      </c>
      <c r="Z122" s="350">
        <f t="shared" si="29"/>
        <v>0.49592572828189158</v>
      </c>
      <c r="AA122" s="350">
        <f t="shared" si="29"/>
        <v>0.49592572828189158</v>
      </c>
      <c r="AB122" s="350">
        <f t="shared" si="29"/>
        <v>0.28752383061602405</v>
      </c>
      <c r="AC122" s="350">
        <f t="shared" si="29"/>
        <v>0.28752383061602405</v>
      </c>
      <c r="AD122" s="350">
        <f t="shared" si="29"/>
        <v>0.28752383061602405</v>
      </c>
      <c r="AE122" s="350">
        <f t="shared" si="29"/>
        <v>0.28752383061602405</v>
      </c>
      <c r="AF122" s="350">
        <f t="shared" si="29"/>
        <v>0.28752383061602405</v>
      </c>
      <c r="AG122" s="350">
        <f t="shared" si="29"/>
        <v>4.1499071978827944</v>
      </c>
      <c r="AH122" s="350">
        <f t="shared" si="29"/>
        <v>-1.2187972371241318</v>
      </c>
      <c r="AI122" s="350">
        <f t="shared" si="29"/>
        <v>-0.97486597250895268</v>
      </c>
      <c r="AJ122" s="350">
        <f t="shared" si="29"/>
        <v>-1.2187972371241318</v>
      </c>
      <c r="AK122" s="350">
        <f t="shared" si="29"/>
        <v>-1.2187972371241318</v>
      </c>
      <c r="AL122" s="350">
        <f t="shared" si="29"/>
        <v>-0.97486597250895268</v>
      </c>
      <c r="AM122" s="350">
        <f t="shared" si="29"/>
        <v>-0.97486597250895268</v>
      </c>
      <c r="AN122" s="350">
        <f t="shared" si="29"/>
        <v>-0.41388176026916063</v>
      </c>
      <c r="AO122" s="350">
        <f t="shared" si="29"/>
        <v>-0.41388176026916063</v>
      </c>
      <c r="AP122" s="268"/>
      <c r="AQ122" s="268"/>
    </row>
    <row r="123" spans="3:43" x14ac:dyDescent="0.25">
      <c r="E123" s="105"/>
      <c r="F123" t="s">
        <v>159</v>
      </c>
      <c r="G123" t="s">
        <v>270</v>
      </c>
      <c r="H123" s="279"/>
      <c r="I123" s="268"/>
      <c r="J123" s="350">
        <f t="shared" ref="J123" si="30" xml:space="preserve"> J112 + J46</f>
        <v>0.20028453291725412</v>
      </c>
      <c r="K123" s="350">
        <f t="shared" ref="K123:AO123" si="31" xml:space="preserve"> K112 + K46</f>
        <v>0.20028453291725412</v>
      </c>
      <c r="L123" s="350">
        <f t="shared" si="31"/>
        <v>0.19594162949579028</v>
      </c>
      <c r="M123" s="350">
        <f t="shared" si="31"/>
        <v>0.19594162949579028</v>
      </c>
      <c r="N123" s="350">
        <f t="shared" si="31"/>
        <v>0.19594162949579028</v>
      </c>
      <c r="O123" s="350">
        <f t="shared" si="31"/>
        <v>0.19594162949579028</v>
      </c>
      <c r="P123" s="350">
        <f t="shared" si="31"/>
        <v>0.19594162949579028</v>
      </c>
      <c r="Q123" s="350">
        <f t="shared" si="31"/>
        <v>0.19594162949579028</v>
      </c>
      <c r="R123" s="350">
        <f t="shared" si="31"/>
        <v>0.11055342216280105</v>
      </c>
      <c r="S123" s="350">
        <f t="shared" si="31"/>
        <v>0.11055342216280105</v>
      </c>
      <c r="T123" s="350">
        <f t="shared" si="31"/>
        <v>0.11055342216280105</v>
      </c>
      <c r="U123" s="350">
        <f t="shared" si="31"/>
        <v>0.11055342216280105</v>
      </c>
      <c r="V123" s="350">
        <f t="shared" si="31"/>
        <v>0.11055342216280105</v>
      </c>
      <c r="W123" s="350">
        <f t="shared" si="31"/>
        <v>5.3511450595281604E-2</v>
      </c>
      <c r="X123" s="350">
        <f t="shared" si="31"/>
        <v>5.3511450595281604E-2</v>
      </c>
      <c r="Y123" s="350">
        <f t="shared" si="31"/>
        <v>5.3511450595281604E-2</v>
      </c>
      <c r="Z123" s="350">
        <f t="shared" si="31"/>
        <v>5.3511450595281604E-2</v>
      </c>
      <c r="AA123" s="350">
        <f t="shared" si="31"/>
        <v>5.3511450595281604E-2</v>
      </c>
      <c r="AB123" s="350">
        <f t="shared" si="31"/>
        <v>3.3267489359390272E-2</v>
      </c>
      <c r="AC123" s="350">
        <f t="shared" si="31"/>
        <v>3.3267489359390272E-2</v>
      </c>
      <c r="AD123" s="350">
        <f t="shared" si="31"/>
        <v>3.3267489359390272E-2</v>
      </c>
      <c r="AE123" s="350">
        <f t="shared" si="31"/>
        <v>3.3267489359390272E-2</v>
      </c>
      <c r="AF123" s="350">
        <f t="shared" si="31"/>
        <v>3.3267489359390272E-2</v>
      </c>
      <c r="AG123" s="350">
        <f t="shared" si="31"/>
        <v>2.0619478137595015</v>
      </c>
      <c r="AH123" s="350">
        <f t="shared" si="31"/>
        <v>-0.12051255633249795</v>
      </c>
      <c r="AI123" s="350">
        <f t="shared" si="31"/>
        <v>-9.7494314339578544E-2</v>
      </c>
      <c r="AJ123" s="350">
        <f t="shared" si="31"/>
        <v>-0.12051255633249795</v>
      </c>
      <c r="AK123" s="350">
        <f t="shared" si="31"/>
        <v>-0.12051255633249795</v>
      </c>
      <c r="AL123" s="350">
        <f t="shared" si="31"/>
        <v>-9.7494314339578544E-2</v>
      </c>
      <c r="AM123" s="350">
        <f t="shared" si="31"/>
        <v>-9.7494314339578544E-2</v>
      </c>
      <c r="AN123" s="350">
        <f t="shared" si="31"/>
        <v>-4.4658730337826823E-2</v>
      </c>
      <c r="AO123" s="350">
        <f t="shared" si="31"/>
        <v>-4.4658730337826823E-2</v>
      </c>
      <c r="AP123" s="268"/>
      <c r="AQ123" s="268"/>
    </row>
    <row r="124" spans="3:43" x14ac:dyDescent="0.25">
      <c r="E124" s="105"/>
      <c r="F124" t="s">
        <v>160</v>
      </c>
      <c r="G124" t="s">
        <v>271</v>
      </c>
      <c r="H124" s="78"/>
      <c r="J124" s="194">
        <f t="shared" ref="J124" si="32" xml:space="preserve"> J113 + J47</f>
        <v>17.832724633851193</v>
      </c>
      <c r="K124" s="194">
        <f t="shared" ref="K124:AO124" si="33" xml:space="preserve"> K113 + K47</f>
        <v>0</v>
      </c>
      <c r="L124" s="194">
        <f t="shared" si="33"/>
        <v>19.249864891018355</v>
      </c>
      <c r="M124" s="194">
        <f t="shared" si="33"/>
        <v>22.52550312183012</v>
      </c>
      <c r="N124" s="194">
        <f t="shared" si="33"/>
        <v>32.594370505587754</v>
      </c>
      <c r="O124" s="194">
        <f t="shared" si="33"/>
        <v>46.073312410732797</v>
      </c>
      <c r="P124" s="194">
        <f t="shared" si="33"/>
        <v>84.441735434522286</v>
      </c>
      <c r="Q124" s="194">
        <f t="shared" si="33"/>
        <v>0</v>
      </c>
      <c r="R124" s="194">
        <f t="shared" si="33"/>
        <v>19.085920524154083</v>
      </c>
      <c r="S124" s="194">
        <f t="shared" si="33"/>
        <v>142.30754278406562</v>
      </c>
      <c r="T124" s="194">
        <f t="shared" si="33"/>
        <v>240.2298255838185</v>
      </c>
      <c r="U124" s="194">
        <f t="shared" si="33"/>
        <v>370.59448872538258</v>
      </c>
      <c r="V124" s="194">
        <f t="shared" si="33"/>
        <v>797.98910605694971</v>
      </c>
      <c r="W124" s="194">
        <f t="shared" si="33"/>
        <v>14.898612013947742</v>
      </c>
      <c r="X124" s="194">
        <f t="shared" si="33"/>
        <v>138.12023427385932</v>
      </c>
      <c r="Y124" s="194">
        <f t="shared" si="33"/>
        <v>236.04251707361217</v>
      </c>
      <c r="Z124" s="194">
        <f t="shared" si="33"/>
        <v>366.40718021517614</v>
      </c>
      <c r="AA124" s="194">
        <f t="shared" si="33"/>
        <v>793.80179754674327</v>
      </c>
      <c r="AB124" s="194">
        <f t="shared" si="33"/>
        <v>137.54153750078822</v>
      </c>
      <c r="AC124" s="194">
        <f t="shared" si="33"/>
        <v>1035.0852624385132</v>
      </c>
      <c r="AD124" s="194">
        <f t="shared" si="33"/>
        <v>2208.4202604876841</v>
      </c>
      <c r="AE124" s="194">
        <f t="shared" si="33"/>
        <v>4821.7958930466075</v>
      </c>
      <c r="AF124" s="194">
        <f t="shared" si="33"/>
        <v>9159.735314368123</v>
      </c>
      <c r="AG124" s="194">
        <f t="shared" si="33"/>
        <v>0</v>
      </c>
      <c r="AH124" s="194">
        <f t="shared" si="33"/>
        <v>0</v>
      </c>
      <c r="AI124" s="194">
        <f t="shared" si="33"/>
        <v>0</v>
      </c>
      <c r="AJ124" s="194">
        <f t="shared" si="33"/>
        <v>0</v>
      </c>
      <c r="AK124" s="194">
        <f t="shared" si="33"/>
        <v>0</v>
      </c>
      <c r="AL124" s="194">
        <f t="shared" si="33"/>
        <v>0</v>
      </c>
      <c r="AM124" s="194">
        <f t="shared" si="33"/>
        <v>0</v>
      </c>
      <c r="AN124" s="194">
        <f t="shared" si="33"/>
        <v>86.079364905669735</v>
      </c>
      <c r="AO124" s="194">
        <f t="shared" si="33"/>
        <v>86.079364905669735</v>
      </c>
    </row>
    <row r="125" spans="3:43" x14ac:dyDescent="0.25">
      <c r="E125" s="105"/>
      <c r="F125" t="s">
        <v>161</v>
      </c>
      <c r="G125" t="s">
        <v>272</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12.912493254799603</v>
      </c>
      <c r="S125" s="194">
        <f t="shared" si="35"/>
        <v>12.912493254799603</v>
      </c>
      <c r="T125" s="194">
        <f t="shared" si="35"/>
        <v>12.912493254799603</v>
      </c>
      <c r="U125" s="194">
        <f t="shared" si="35"/>
        <v>12.912493254799603</v>
      </c>
      <c r="V125" s="194">
        <f t="shared" si="35"/>
        <v>12.912493254799603</v>
      </c>
      <c r="W125" s="194">
        <f t="shared" si="35"/>
        <v>11.05458065371368</v>
      </c>
      <c r="X125" s="194">
        <f t="shared" si="35"/>
        <v>11.05458065371368</v>
      </c>
      <c r="Y125" s="194">
        <f t="shared" si="35"/>
        <v>11.05458065371368</v>
      </c>
      <c r="Z125" s="194">
        <f t="shared" si="35"/>
        <v>11.05458065371368</v>
      </c>
      <c r="AA125" s="194">
        <f t="shared" si="35"/>
        <v>11.05458065371368</v>
      </c>
      <c r="AB125" s="194">
        <f t="shared" si="35"/>
        <v>10.616443931280937</v>
      </c>
      <c r="AC125" s="194">
        <f t="shared" si="35"/>
        <v>10.616443931280937</v>
      </c>
      <c r="AD125" s="194">
        <f t="shared" si="35"/>
        <v>10.616443931280937</v>
      </c>
      <c r="AE125" s="194">
        <f t="shared" si="35"/>
        <v>10.616443931280937</v>
      </c>
      <c r="AF125" s="194">
        <f t="shared" si="35"/>
        <v>10.616443931280937</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162</v>
      </c>
      <c r="G126" t="s">
        <v>272</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12.912493254799603</v>
      </c>
      <c r="S126" s="194">
        <f t="shared" si="37"/>
        <v>12.912493254799603</v>
      </c>
      <c r="T126" s="194">
        <f t="shared" si="37"/>
        <v>12.912493254799603</v>
      </c>
      <c r="U126" s="194">
        <f t="shared" si="37"/>
        <v>12.912493254799603</v>
      </c>
      <c r="V126" s="194">
        <f t="shared" si="37"/>
        <v>12.912493254799603</v>
      </c>
      <c r="W126" s="194">
        <f t="shared" si="37"/>
        <v>11.05458065371368</v>
      </c>
      <c r="X126" s="194">
        <f t="shared" si="37"/>
        <v>11.05458065371368</v>
      </c>
      <c r="Y126" s="194">
        <f t="shared" si="37"/>
        <v>11.05458065371368</v>
      </c>
      <c r="Z126" s="194">
        <f t="shared" si="37"/>
        <v>11.05458065371368</v>
      </c>
      <c r="AA126" s="194">
        <f t="shared" si="37"/>
        <v>11.05458065371368</v>
      </c>
      <c r="AB126" s="194">
        <f t="shared" si="37"/>
        <v>10.616443931280937</v>
      </c>
      <c r="AC126" s="194">
        <f t="shared" si="37"/>
        <v>10.616443931280937</v>
      </c>
      <c r="AD126" s="194">
        <f t="shared" si="37"/>
        <v>10.616443931280937</v>
      </c>
      <c r="AE126" s="194">
        <f t="shared" si="37"/>
        <v>10.616443931280937</v>
      </c>
      <c r="AF126" s="194">
        <f t="shared" si="37"/>
        <v>10.616443931280937</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163</v>
      </c>
      <c r="G127" s="96" t="s">
        <v>273</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0.25264310707810089</v>
      </c>
      <c r="S127" s="348">
        <f t="shared" si="39"/>
        <v>0.25264310707810089</v>
      </c>
      <c r="T127" s="348">
        <f t="shared" si="39"/>
        <v>0.25264310707810089</v>
      </c>
      <c r="U127" s="348">
        <f t="shared" si="39"/>
        <v>0.25264310707810089</v>
      </c>
      <c r="V127" s="348">
        <f t="shared" si="39"/>
        <v>0.25264310707810089</v>
      </c>
      <c r="W127" s="348">
        <f t="shared" si="39"/>
        <v>0.13863470006128026</v>
      </c>
      <c r="X127" s="348">
        <f t="shared" si="39"/>
        <v>0.13863470006128026</v>
      </c>
      <c r="Y127" s="348">
        <f t="shared" si="39"/>
        <v>0.13863470006128026</v>
      </c>
      <c r="Z127" s="348">
        <f t="shared" si="39"/>
        <v>0.13863470006128026</v>
      </c>
      <c r="AA127" s="348">
        <f t="shared" si="39"/>
        <v>0.13863470006128026</v>
      </c>
      <c r="AB127" s="348">
        <f t="shared" si="39"/>
        <v>9.6603194796647043E-2</v>
      </c>
      <c r="AC127" s="348">
        <f t="shared" si="39"/>
        <v>9.6603194796647043E-2</v>
      </c>
      <c r="AD127" s="348">
        <f t="shared" si="39"/>
        <v>9.6603194796647043E-2</v>
      </c>
      <c r="AE127" s="348">
        <f t="shared" si="39"/>
        <v>9.6603194796647043E-2</v>
      </c>
      <c r="AF127" s="348">
        <f t="shared" si="39"/>
        <v>9.6603194796647043E-2</v>
      </c>
      <c r="AG127" s="348">
        <f t="shared" si="39"/>
        <v>0</v>
      </c>
      <c r="AH127" s="348">
        <f t="shared" si="39"/>
        <v>0</v>
      </c>
      <c r="AI127" s="348">
        <f t="shared" si="39"/>
        <v>0</v>
      </c>
      <c r="AJ127" s="348">
        <f t="shared" si="39"/>
        <v>0.31225598745472138</v>
      </c>
      <c r="AK127" s="348">
        <f t="shared" si="39"/>
        <v>0</v>
      </c>
      <c r="AL127" s="348">
        <f t="shared" si="39"/>
        <v>0.22398663020284471</v>
      </c>
      <c r="AM127" s="348">
        <f t="shared" si="39"/>
        <v>0</v>
      </c>
      <c r="AN127" s="348">
        <f t="shared" si="39"/>
        <v>0.18734964255838274</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844</v>
      </c>
      <c r="I129" t="s">
        <v>155</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850</v>
      </c>
    </row>
    <row r="130" spans="3:43" x14ac:dyDescent="0.25">
      <c r="E130" s="105"/>
      <c r="F130" s="95" t="s">
        <v>157</v>
      </c>
      <c r="G130" s="95" t="s">
        <v>270</v>
      </c>
      <c r="H130" s="278"/>
      <c r="I130" s="266"/>
      <c r="J130" s="283">
        <f t="shared" ref="J130:J136" si="40" xml:space="preserve"> J110 * (1 - J75) + J44</f>
        <v>15.080553349668438</v>
      </c>
      <c r="K130" s="283">
        <f t="shared" ref="K130:AJ130" si="41" xml:space="preserve"> K110 * (1 - K75) + K44</f>
        <v>15.080553349668438</v>
      </c>
      <c r="L130" s="283">
        <f t="shared" si="41"/>
        <v>14.753551629735821</v>
      </c>
      <c r="M130" s="283">
        <f t="shared" si="41"/>
        <v>14.753551629735821</v>
      </c>
      <c r="N130" s="283">
        <f t="shared" si="41"/>
        <v>14.753551629735821</v>
      </c>
      <c r="O130" s="283">
        <f t="shared" si="41"/>
        <v>14.753551629735821</v>
      </c>
      <c r="P130" s="283">
        <f t="shared" si="41"/>
        <v>14.753551629735821</v>
      </c>
      <c r="Q130" s="283">
        <f t="shared" si="41"/>
        <v>14.753551629735821</v>
      </c>
      <c r="R130" s="283">
        <f t="shared" si="41"/>
        <v>9.1623895510421693</v>
      </c>
      <c r="S130" s="283">
        <f t="shared" si="41"/>
        <v>9.1623895510421693</v>
      </c>
      <c r="T130" s="283">
        <f t="shared" si="41"/>
        <v>9.1623895510421693</v>
      </c>
      <c r="U130" s="283">
        <f t="shared" si="41"/>
        <v>9.1623895510421693</v>
      </c>
      <c r="V130" s="283">
        <f t="shared" si="41"/>
        <v>9.1623895510421693</v>
      </c>
      <c r="W130" s="280"/>
      <c r="X130" s="280"/>
      <c r="Y130" s="280"/>
      <c r="Z130" s="280"/>
      <c r="AA130" s="280"/>
      <c r="AB130" s="280"/>
      <c r="AC130" s="280"/>
      <c r="AD130" s="280"/>
      <c r="AE130" s="280"/>
      <c r="AF130" s="280"/>
      <c r="AG130" s="283">
        <f t="shared" si="41"/>
        <v>45.01762822364131</v>
      </c>
      <c r="AH130" s="283">
        <f t="shared" si="41"/>
        <v>-15.280425382806436</v>
      </c>
      <c r="AI130" s="280"/>
      <c r="AJ130" s="283">
        <f t="shared" si="41"/>
        <v>-15.280425382806436</v>
      </c>
      <c r="AK130" s="280"/>
      <c r="AL130" s="280"/>
      <c r="AM130" s="280"/>
      <c r="AN130" s="280"/>
      <c r="AO130" s="280"/>
      <c r="AP130" s="268"/>
      <c r="AQ130" s="268"/>
    </row>
    <row r="131" spans="3:43" x14ac:dyDescent="0.25">
      <c r="E131" s="105"/>
      <c r="F131" t="s">
        <v>158</v>
      </c>
      <c r="G131" t="s">
        <v>270</v>
      </c>
      <c r="H131" s="279"/>
      <c r="I131" s="268"/>
      <c r="J131" s="350">
        <f t="shared" si="40"/>
        <v>1.2028550447005444</v>
      </c>
      <c r="K131" s="350">
        <f t="shared" ref="K131:AJ131" si="42" xml:space="preserve"> K111 * (1 - K76) + K45</f>
        <v>1.2028550447005444</v>
      </c>
      <c r="L131" s="350">
        <f t="shared" si="42"/>
        <v>1.1767727346336296</v>
      </c>
      <c r="M131" s="350">
        <f t="shared" si="42"/>
        <v>1.1767727346336296</v>
      </c>
      <c r="N131" s="350">
        <f t="shared" si="42"/>
        <v>1.1767727346336296</v>
      </c>
      <c r="O131" s="350">
        <f t="shared" si="42"/>
        <v>1.1767727346336296</v>
      </c>
      <c r="P131" s="350">
        <f t="shared" si="42"/>
        <v>1.1767727346336296</v>
      </c>
      <c r="Q131" s="350">
        <f t="shared" si="42"/>
        <v>1.1767727346336296</v>
      </c>
      <c r="R131" s="350">
        <f t="shared" si="42"/>
        <v>0.65145973966119708</v>
      </c>
      <c r="S131" s="350">
        <f t="shared" si="42"/>
        <v>0.65145973966119708</v>
      </c>
      <c r="T131" s="350">
        <f t="shared" si="42"/>
        <v>0.65145973966119708</v>
      </c>
      <c r="U131" s="350">
        <f t="shared" si="42"/>
        <v>0.65145973966119708</v>
      </c>
      <c r="V131" s="350">
        <f t="shared" si="42"/>
        <v>0.65145973966119708</v>
      </c>
      <c r="W131" s="294"/>
      <c r="X131" s="294"/>
      <c r="Y131" s="294"/>
      <c r="Z131" s="294"/>
      <c r="AA131" s="294"/>
      <c r="AB131" s="294"/>
      <c r="AC131" s="294"/>
      <c r="AD131" s="294"/>
      <c r="AE131" s="294"/>
      <c r="AF131" s="294"/>
      <c r="AG131" s="350">
        <f t="shared" si="42"/>
        <v>2.4643654120090375</v>
      </c>
      <c r="AH131" s="350">
        <f t="shared" si="42"/>
        <v>-1.2187972371241318</v>
      </c>
      <c r="AI131" s="294"/>
      <c r="AJ131" s="350">
        <f t="shared" si="42"/>
        <v>-1.2187972371241318</v>
      </c>
      <c r="AK131" s="294"/>
      <c r="AL131" s="294"/>
      <c r="AM131" s="294"/>
      <c r="AN131" s="294"/>
      <c r="AO131" s="294"/>
      <c r="AP131" s="268"/>
      <c r="AQ131" s="268"/>
    </row>
    <row r="132" spans="3:43" x14ac:dyDescent="0.25">
      <c r="E132" s="105"/>
      <c r="F132" t="s">
        <v>159</v>
      </c>
      <c r="G132" t="s">
        <v>270</v>
      </c>
      <c r="H132" s="279"/>
      <c r="I132" s="268"/>
      <c r="J132" s="350">
        <f t="shared" si="40"/>
        <v>0.11893622000354104</v>
      </c>
      <c r="K132" s="350">
        <f t="shared" ref="K132:AJ132" si="43" xml:space="preserve"> K112 * (1 - K77) + K46</f>
        <v>0.11893622000354104</v>
      </c>
      <c r="L132" s="350">
        <f t="shared" si="43"/>
        <v>0.11635724643396063</v>
      </c>
      <c r="M132" s="350">
        <f t="shared" si="43"/>
        <v>0.11635724643396063</v>
      </c>
      <c r="N132" s="350">
        <f t="shared" si="43"/>
        <v>0.11635724643396063</v>
      </c>
      <c r="O132" s="350">
        <f t="shared" si="43"/>
        <v>0.11635724643396063</v>
      </c>
      <c r="P132" s="350">
        <f t="shared" si="43"/>
        <v>0.11635724643396063</v>
      </c>
      <c r="Q132" s="350">
        <f t="shared" si="43"/>
        <v>0.11635724643396063</v>
      </c>
      <c r="R132" s="350">
        <f t="shared" si="43"/>
        <v>6.5650631873463608E-2</v>
      </c>
      <c r="S132" s="350">
        <f t="shared" si="43"/>
        <v>6.5650631873463608E-2</v>
      </c>
      <c r="T132" s="350">
        <f t="shared" si="43"/>
        <v>6.5650631873463608E-2</v>
      </c>
      <c r="U132" s="350">
        <f t="shared" si="43"/>
        <v>6.5650631873463608E-2</v>
      </c>
      <c r="V132" s="350">
        <f t="shared" si="43"/>
        <v>6.5650631873463608E-2</v>
      </c>
      <c r="W132" s="294"/>
      <c r="X132" s="294"/>
      <c r="Y132" s="294"/>
      <c r="Z132" s="294"/>
      <c r="AA132" s="294"/>
      <c r="AB132" s="294"/>
      <c r="AC132" s="294"/>
      <c r="AD132" s="294"/>
      <c r="AE132" s="294"/>
      <c r="AF132" s="294"/>
      <c r="AG132" s="350">
        <f t="shared" si="43"/>
        <v>1.2244593990412604</v>
      </c>
      <c r="AH132" s="350">
        <f t="shared" si="43"/>
        <v>-0.12051255633249795</v>
      </c>
      <c r="AI132" s="294"/>
      <c r="AJ132" s="350">
        <f t="shared" si="43"/>
        <v>-0.12051255633249795</v>
      </c>
      <c r="AK132" s="294"/>
      <c r="AL132" s="294"/>
      <c r="AM132" s="294"/>
      <c r="AN132" s="294"/>
      <c r="AO132" s="294"/>
      <c r="AP132" s="268"/>
      <c r="AQ132" s="268"/>
    </row>
    <row r="133" spans="3:43" x14ac:dyDescent="0.25">
      <c r="E133" s="105"/>
      <c r="F133" t="s">
        <v>160</v>
      </c>
      <c r="G133" t="s">
        <v>271</v>
      </c>
      <c r="H133" s="78"/>
      <c r="J133" s="194">
        <f t="shared" si="40"/>
        <v>10.589718683821415</v>
      </c>
      <c r="K133" s="194">
        <f t="shared" ref="K133:AJ133" si="44" xml:space="preserve"> K113 * (1 - K78) + K47</f>
        <v>0</v>
      </c>
      <c r="L133" s="194">
        <f t="shared" si="44"/>
        <v>11.431267968468088</v>
      </c>
      <c r="M133" s="194">
        <f t="shared" si="44"/>
        <v>13.376460757932239</v>
      </c>
      <c r="N133" s="194">
        <f t="shared" si="44"/>
        <v>19.355719410101031</v>
      </c>
      <c r="O133" s="194">
        <f t="shared" si="44"/>
        <v>27.360003997107061</v>
      </c>
      <c r="P133" s="194">
        <f t="shared" si="44"/>
        <v>50.144565218475485</v>
      </c>
      <c r="Q133" s="194">
        <f t="shared" si="44"/>
        <v>0</v>
      </c>
      <c r="R133" s="194">
        <f t="shared" si="44"/>
        <v>11.333911857131394</v>
      </c>
      <c r="S133" s="194">
        <f t="shared" si="44"/>
        <v>84.50738042623388</v>
      </c>
      <c r="T133" s="194">
        <f t="shared" si="44"/>
        <v>142.65718361214454</v>
      </c>
      <c r="U133" s="194">
        <f t="shared" si="44"/>
        <v>220.07244893619418</v>
      </c>
      <c r="V133" s="194">
        <f t="shared" si="44"/>
        <v>473.87487438997402</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161</v>
      </c>
      <c r="G134" t="s">
        <v>272</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7.6679068332329638</v>
      </c>
      <c r="S134" s="194">
        <f t="shared" si="45"/>
        <v>7.6679068332329638</v>
      </c>
      <c r="T134" s="194">
        <f t="shared" si="45"/>
        <v>7.6679068332329638</v>
      </c>
      <c r="U134" s="194">
        <f t="shared" si="45"/>
        <v>7.6679068332329638</v>
      </c>
      <c r="V134" s="194">
        <f t="shared" si="45"/>
        <v>7.6679068332329638</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162</v>
      </c>
      <c r="G135" t="s">
        <v>272</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7.6679068332329638</v>
      </c>
      <c r="S135" s="194">
        <f t="shared" si="46"/>
        <v>7.6679068332329638</v>
      </c>
      <c r="T135" s="194">
        <f t="shared" si="46"/>
        <v>7.6679068332329638</v>
      </c>
      <c r="U135" s="194">
        <f t="shared" si="46"/>
        <v>7.6679068332329638</v>
      </c>
      <c r="V135" s="194">
        <f t="shared" si="46"/>
        <v>7.6679068332329638</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163</v>
      </c>
      <c r="G136" s="96" t="s">
        <v>273</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0.15002864039547895</v>
      </c>
      <c r="S136" s="348">
        <f t="shared" si="47"/>
        <v>0.15002864039547895</v>
      </c>
      <c r="T136" s="348">
        <f t="shared" si="47"/>
        <v>0.15002864039547895</v>
      </c>
      <c r="U136" s="348">
        <f t="shared" si="47"/>
        <v>0.15002864039547895</v>
      </c>
      <c r="V136" s="348">
        <f t="shared" si="47"/>
        <v>0.15002864039547895</v>
      </c>
      <c r="W136" s="276"/>
      <c r="X136" s="276"/>
      <c r="Y136" s="276"/>
      <c r="Z136" s="276"/>
      <c r="AA136" s="276"/>
      <c r="AB136" s="276"/>
      <c r="AC136" s="276"/>
      <c r="AD136" s="276"/>
      <c r="AE136" s="276"/>
      <c r="AF136" s="276"/>
      <c r="AG136" s="348">
        <f t="shared" si="47"/>
        <v>0</v>
      </c>
      <c r="AH136" s="348">
        <f t="shared" si="47"/>
        <v>0</v>
      </c>
      <c r="AI136" s="276"/>
      <c r="AJ136" s="348">
        <f t="shared" si="47"/>
        <v>0.31225598745472138</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845</v>
      </c>
      <c r="I138" t="s">
        <v>155</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850</v>
      </c>
    </row>
    <row r="139" spans="3:43" x14ac:dyDescent="0.25">
      <c r="C139" s="105"/>
      <c r="F139" s="95" t="s">
        <v>157</v>
      </c>
      <c r="G139" s="95" t="s">
        <v>270</v>
      </c>
      <c r="H139" s="278"/>
      <c r="I139" s="266"/>
      <c r="J139" s="283">
        <f t="shared" ref="J139:J145" si="48">J110 * (1 - J84) + J44</f>
        <v>10.108467082483003</v>
      </c>
      <c r="K139" s="283">
        <f t="shared" ref="K139:AN139" si="49">K110 * (1 - K84) + K44</f>
        <v>10.108467082483003</v>
      </c>
      <c r="L139" s="283">
        <f t="shared" si="49"/>
        <v>9.8892784330209551</v>
      </c>
      <c r="M139" s="283">
        <f t="shared" si="49"/>
        <v>9.8892784330209551</v>
      </c>
      <c r="N139" s="283">
        <f t="shared" si="49"/>
        <v>9.8892784330209551</v>
      </c>
      <c r="O139" s="283">
        <f t="shared" si="49"/>
        <v>9.8892784330209551</v>
      </c>
      <c r="P139" s="283">
        <f t="shared" si="49"/>
        <v>9.8892784330209551</v>
      </c>
      <c r="Q139" s="283">
        <f t="shared" si="49"/>
        <v>9.8892784330209551</v>
      </c>
      <c r="R139" s="283">
        <f t="shared" si="49"/>
        <v>6.1415328089159464</v>
      </c>
      <c r="S139" s="283">
        <f t="shared" si="49"/>
        <v>6.1415328089159464</v>
      </c>
      <c r="T139" s="283">
        <f t="shared" si="49"/>
        <v>6.1415328089159464</v>
      </c>
      <c r="U139" s="283">
        <f t="shared" si="49"/>
        <v>6.1415328089159464</v>
      </c>
      <c r="V139" s="283">
        <f t="shared" si="49"/>
        <v>6.1415328089159464</v>
      </c>
      <c r="W139" s="283">
        <f t="shared" si="49"/>
        <v>6.7764973186330746</v>
      </c>
      <c r="X139" s="283">
        <f t="shared" si="49"/>
        <v>6.7764973186330746</v>
      </c>
      <c r="Y139" s="283">
        <f t="shared" si="49"/>
        <v>6.7764973186330746</v>
      </c>
      <c r="Z139" s="283">
        <f t="shared" si="49"/>
        <v>6.7764973186330746</v>
      </c>
      <c r="AA139" s="283">
        <f t="shared" si="49"/>
        <v>6.7764973186330746</v>
      </c>
      <c r="AB139" s="283">
        <f t="shared" si="49"/>
        <v>6.1475832656853067</v>
      </c>
      <c r="AC139" s="283">
        <f t="shared" si="49"/>
        <v>6.1475832656853067</v>
      </c>
      <c r="AD139" s="283">
        <f t="shared" si="49"/>
        <v>6.1475832656853067</v>
      </c>
      <c r="AE139" s="283">
        <f t="shared" si="49"/>
        <v>6.1475832656853067</v>
      </c>
      <c r="AF139" s="283">
        <f t="shared" si="49"/>
        <v>6.1475832656853067</v>
      </c>
      <c r="AG139" s="283">
        <f t="shared" si="49"/>
        <v>30.175233128308314</v>
      </c>
      <c r="AH139" s="283">
        <f t="shared" si="49"/>
        <v>-15.280425382806436</v>
      </c>
      <c r="AI139" s="283">
        <f t="shared" si="49"/>
        <v>-13.108991883469402</v>
      </c>
      <c r="AJ139" s="283">
        <f t="shared" si="49"/>
        <v>-15.280425382806436</v>
      </c>
      <c r="AK139" s="280"/>
      <c r="AL139" s="283">
        <f t="shared" si="49"/>
        <v>-13.108991883469402</v>
      </c>
      <c r="AM139" s="280"/>
      <c r="AN139" s="283">
        <f t="shared" si="49"/>
        <v>-8.1964824270810812</v>
      </c>
      <c r="AO139" s="280"/>
      <c r="AP139" s="268"/>
      <c r="AQ139" s="268"/>
    </row>
    <row r="140" spans="3:43" x14ac:dyDescent="0.25">
      <c r="C140" s="105"/>
      <c r="F140" t="s">
        <v>158</v>
      </c>
      <c r="G140" t="s">
        <v>270</v>
      </c>
      <c r="H140" s="279"/>
      <c r="I140" s="268"/>
      <c r="J140" s="350">
        <f t="shared" si="48"/>
        <v>0.80627151686190635</v>
      </c>
      <c r="K140" s="350">
        <f t="shared" ref="K140:AN140" si="50">K111 * (1 - K85) + K45</f>
        <v>0.80627151686190635</v>
      </c>
      <c r="L140" s="350">
        <f t="shared" si="50"/>
        <v>0.78878859255314282</v>
      </c>
      <c r="M140" s="350">
        <f t="shared" si="50"/>
        <v>0.78878859255314282</v>
      </c>
      <c r="N140" s="350">
        <f t="shared" si="50"/>
        <v>0.78878859255314282</v>
      </c>
      <c r="O140" s="350">
        <f t="shared" si="50"/>
        <v>0.78878859255314282</v>
      </c>
      <c r="P140" s="350">
        <f t="shared" si="50"/>
        <v>0.78878859255314282</v>
      </c>
      <c r="Q140" s="350">
        <f t="shared" si="50"/>
        <v>0.78878859255314282</v>
      </c>
      <c r="R140" s="350">
        <f t="shared" si="50"/>
        <v>0.43667226137116127</v>
      </c>
      <c r="S140" s="350">
        <f t="shared" si="50"/>
        <v>0.43667226137116127</v>
      </c>
      <c r="T140" s="350">
        <f t="shared" si="50"/>
        <v>0.43667226137116127</v>
      </c>
      <c r="U140" s="350">
        <f t="shared" si="50"/>
        <v>0.43667226137116127</v>
      </c>
      <c r="V140" s="350">
        <f t="shared" si="50"/>
        <v>0.43667226137116127</v>
      </c>
      <c r="W140" s="350">
        <f t="shared" si="50"/>
        <v>0.34217954636595227</v>
      </c>
      <c r="X140" s="350">
        <f t="shared" si="50"/>
        <v>0.34217954636595227</v>
      </c>
      <c r="Y140" s="350">
        <f t="shared" si="50"/>
        <v>0.34217954636595227</v>
      </c>
      <c r="Z140" s="350">
        <f t="shared" si="50"/>
        <v>0.34217954636595227</v>
      </c>
      <c r="AA140" s="350">
        <f t="shared" si="50"/>
        <v>0.34217954636595227</v>
      </c>
      <c r="AB140" s="350">
        <f t="shared" si="50"/>
        <v>0.23566582923401164</v>
      </c>
      <c r="AC140" s="350">
        <f t="shared" si="50"/>
        <v>0.23566582923401164</v>
      </c>
      <c r="AD140" s="350">
        <f t="shared" si="50"/>
        <v>0.23566582923401164</v>
      </c>
      <c r="AE140" s="350">
        <f t="shared" si="50"/>
        <v>0.23566582923401164</v>
      </c>
      <c r="AF140" s="350">
        <f t="shared" si="50"/>
        <v>0.23566582923401164</v>
      </c>
      <c r="AG140" s="350">
        <f t="shared" si="50"/>
        <v>1.6518595882325968</v>
      </c>
      <c r="AH140" s="350">
        <f t="shared" si="50"/>
        <v>-1.2187972371241318</v>
      </c>
      <c r="AI140" s="350">
        <f t="shared" si="50"/>
        <v>-0.97486597250895268</v>
      </c>
      <c r="AJ140" s="350">
        <f t="shared" si="50"/>
        <v>-1.2187972371241318</v>
      </c>
      <c r="AK140" s="294"/>
      <c r="AL140" s="350">
        <f t="shared" si="50"/>
        <v>-0.97486597250895268</v>
      </c>
      <c r="AM140" s="294"/>
      <c r="AN140" s="350">
        <f t="shared" si="50"/>
        <v>-0.41388176026916063</v>
      </c>
      <c r="AO140" s="294"/>
      <c r="AP140" s="268"/>
      <c r="AQ140" s="268"/>
    </row>
    <row r="141" spans="3:43" x14ac:dyDescent="0.25">
      <c r="C141" s="105"/>
      <c r="F141" t="s">
        <v>159</v>
      </c>
      <c r="G141" t="s">
        <v>270</v>
      </c>
      <c r="H141" s="279"/>
      <c r="I141" s="268"/>
      <c r="J141" s="350">
        <f t="shared" si="48"/>
        <v>7.972272879809042E-2</v>
      </c>
      <c r="K141" s="350">
        <f t="shared" ref="K141:AN141" si="51">K112 * (1 - K86) + K46</f>
        <v>7.972272879809042E-2</v>
      </c>
      <c r="L141" s="350">
        <f t="shared" si="51"/>
        <v>7.7994047573321554E-2</v>
      </c>
      <c r="M141" s="350">
        <f t="shared" si="51"/>
        <v>7.7994047573321554E-2</v>
      </c>
      <c r="N141" s="350">
        <f t="shared" si="51"/>
        <v>7.7994047573321554E-2</v>
      </c>
      <c r="O141" s="350">
        <f t="shared" si="51"/>
        <v>7.7994047573321554E-2</v>
      </c>
      <c r="P141" s="350">
        <f t="shared" si="51"/>
        <v>7.7994047573321554E-2</v>
      </c>
      <c r="Q141" s="350">
        <f t="shared" si="51"/>
        <v>7.7994047573321554E-2</v>
      </c>
      <c r="R141" s="350">
        <f t="shared" si="51"/>
        <v>4.4005497401175063E-2</v>
      </c>
      <c r="S141" s="350">
        <f t="shared" si="51"/>
        <v>4.4005497401175063E-2</v>
      </c>
      <c r="T141" s="350">
        <f t="shared" si="51"/>
        <v>4.4005497401175063E-2</v>
      </c>
      <c r="U141" s="350">
        <f t="shared" si="51"/>
        <v>4.4005497401175063E-2</v>
      </c>
      <c r="V141" s="350">
        <f t="shared" si="51"/>
        <v>4.4005497401175063E-2</v>
      </c>
      <c r="W141" s="350">
        <f t="shared" si="51"/>
        <v>3.6921907547554284E-2</v>
      </c>
      <c r="X141" s="350">
        <f t="shared" si="51"/>
        <v>3.6921907547554284E-2</v>
      </c>
      <c r="Y141" s="350">
        <f t="shared" si="51"/>
        <v>3.6921907547554284E-2</v>
      </c>
      <c r="Z141" s="350">
        <f t="shared" si="51"/>
        <v>3.6921907547554284E-2</v>
      </c>
      <c r="AA141" s="350">
        <f t="shared" si="51"/>
        <v>3.6921907547554284E-2</v>
      </c>
      <c r="AB141" s="350">
        <f t="shared" si="51"/>
        <v>2.7267341456939511E-2</v>
      </c>
      <c r="AC141" s="350">
        <f t="shared" si="51"/>
        <v>2.7267341456939511E-2</v>
      </c>
      <c r="AD141" s="350">
        <f t="shared" si="51"/>
        <v>2.7267341456939511E-2</v>
      </c>
      <c r="AE141" s="350">
        <f t="shared" si="51"/>
        <v>2.7267341456939511E-2</v>
      </c>
      <c r="AF141" s="350">
        <f t="shared" si="51"/>
        <v>2.7267341456939511E-2</v>
      </c>
      <c r="AG141" s="350">
        <f t="shared" si="51"/>
        <v>0.82075287571046796</v>
      </c>
      <c r="AH141" s="350">
        <f t="shared" si="51"/>
        <v>-0.12051255633249795</v>
      </c>
      <c r="AI141" s="350">
        <f t="shared" si="51"/>
        <v>-9.7494314339578544E-2</v>
      </c>
      <c r="AJ141" s="350">
        <f t="shared" si="51"/>
        <v>-0.12051255633249795</v>
      </c>
      <c r="AK141" s="294"/>
      <c r="AL141" s="350">
        <f t="shared" si="51"/>
        <v>-9.7494314339578544E-2</v>
      </c>
      <c r="AM141" s="294"/>
      <c r="AN141" s="350">
        <f t="shared" si="51"/>
        <v>-4.4658730337826823E-2</v>
      </c>
      <c r="AO141" s="294"/>
      <c r="AP141" s="268"/>
      <c r="AQ141" s="268"/>
    </row>
    <row r="142" spans="3:43" x14ac:dyDescent="0.25">
      <c r="C142" s="105"/>
      <c r="F142" t="s">
        <v>160</v>
      </c>
      <c r="G142" t="s">
        <v>271</v>
      </c>
      <c r="H142" s="78"/>
      <c r="J142" s="194">
        <f t="shared" si="48"/>
        <v>7.0982688928001121</v>
      </c>
      <c r="K142" s="194">
        <f t="shared" ref="K142:AN142" si="52">K113 * (1 - K87) + K47</f>
        <v>0</v>
      </c>
      <c r="L142" s="194">
        <f t="shared" si="52"/>
        <v>7.6623578254071534</v>
      </c>
      <c r="M142" s="194">
        <f t="shared" si="52"/>
        <v>8.9662169627652641</v>
      </c>
      <c r="N142" s="194">
        <f t="shared" si="52"/>
        <v>12.974103003924938</v>
      </c>
      <c r="O142" s="194">
        <f t="shared" si="52"/>
        <v>18.339360192472032</v>
      </c>
      <c r="P142" s="194">
        <f t="shared" si="52"/>
        <v>33.611809535326231</v>
      </c>
      <c r="Q142" s="194">
        <f t="shared" si="52"/>
        <v>0</v>
      </c>
      <c r="R142" s="194">
        <f t="shared" si="52"/>
        <v>7.5971002036271695</v>
      </c>
      <c r="S142" s="194">
        <f t="shared" si="52"/>
        <v>56.645141160170688</v>
      </c>
      <c r="T142" s="194">
        <f t="shared" si="52"/>
        <v>95.622846933186409</v>
      </c>
      <c r="U142" s="194">
        <f t="shared" si="52"/>
        <v>147.5141564272806</v>
      </c>
      <c r="V142" s="194">
        <f t="shared" si="52"/>
        <v>317.6374538731456</v>
      </c>
      <c r="W142" s="194">
        <f t="shared" si="52"/>
        <v>10.279765718299629</v>
      </c>
      <c r="X142" s="194">
        <f t="shared" si="52"/>
        <v>95.300397645277769</v>
      </c>
      <c r="Y142" s="194">
        <f t="shared" si="52"/>
        <v>162.86495499063099</v>
      </c>
      <c r="Z142" s="194">
        <f t="shared" si="52"/>
        <v>252.8141525256591</v>
      </c>
      <c r="AA142" s="194">
        <f t="shared" si="52"/>
        <v>547.70850451749038</v>
      </c>
      <c r="AB142" s="194">
        <f t="shared" si="52"/>
        <v>112.73444854917602</v>
      </c>
      <c r="AC142" s="194">
        <f t="shared" si="52"/>
        <v>848.39655265389331</v>
      </c>
      <c r="AD142" s="194">
        <f t="shared" si="52"/>
        <v>1810.1080208550086</v>
      </c>
      <c r="AE142" s="194">
        <f t="shared" si="52"/>
        <v>3952.1333765530712</v>
      </c>
      <c r="AF142" s="194">
        <f t="shared" si="52"/>
        <v>7507.6789767293831</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161</v>
      </c>
      <c r="G143" t="s">
        <v>272</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5.1397838009031709</v>
      </c>
      <c r="S143" s="194">
        <f t="shared" si="53"/>
        <v>5.1397838009031709</v>
      </c>
      <c r="T143" s="194">
        <f t="shared" si="53"/>
        <v>5.1397838009031709</v>
      </c>
      <c r="U143" s="194">
        <f t="shared" si="53"/>
        <v>5.1397838009031709</v>
      </c>
      <c r="V143" s="194">
        <f t="shared" si="53"/>
        <v>5.1397838009031709</v>
      </c>
      <c r="W143" s="194">
        <f t="shared" si="53"/>
        <v>7.6274554386568632</v>
      </c>
      <c r="X143" s="194">
        <f t="shared" si="53"/>
        <v>7.6274554386568632</v>
      </c>
      <c r="Y143" s="194">
        <f t="shared" si="53"/>
        <v>7.6274554386568632</v>
      </c>
      <c r="Z143" s="194">
        <f t="shared" si="53"/>
        <v>7.6274554386568632</v>
      </c>
      <c r="AA143" s="194">
        <f t="shared" si="53"/>
        <v>7.6274554386568632</v>
      </c>
      <c r="AB143" s="194">
        <f t="shared" si="53"/>
        <v>8.7016545975381732</v>
      </c>
      <c r="AC143" s="194">
        <f t="shared" si="53"/>
        <v>8.7016545975381732</v>
      </c>
      <c r="AD143" s="194">
        <f t="shared" si="53"/>
        <v>8.7016545975381732</v>
      </c>
      <c r="AE143" s="194">
        <f t="shared" si="53"/>
        <v>8.7016545975381732</v>
      </c>
      <c r="AF143" s="194">
        <f t="shared" si="53"/>
        <v>8.7016545975381732</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162</v>
      </c>
      <c r="G144" t="s">
        <v>272</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5.1397838009031709</v>
      </c>
      <c r="S144" s="194">
        <f t="shared" si="54"/>
        <v>5.1397838009031709</v>
      </c>
      <c r="T144" s="194">
        <f t="shared" si="54"/>
        <v>5.1397838009031709</v>
      </c>
      <c r="U144" s="194">
        <f t="shared" si="54"/>
        <v>5.1397838009031709</v>
      </c>
      <c r="V144" s="194">
        <f t="shared" si="54"/>
        <v>5.1397838009031709</v>
      </c>
      <c r="W144" s="194">
        <f t="shared" si="54"/>
        <v>7.6274554386568632</v>
      </c>
      <c r="X144" s="194">
        <f t="shared" si="54"/>
        <v>7.6274554386568632</v>
      </c>
      <c r="Y144" s="194">
        <f t="shared" si="54"/>
        <v>7.6274554386568632</v>
      </c>
      <c r="Z144" s="194">
        <f t="shared" si="54"/>
        <v>7.6274554386568632</v>
      </c>
      <c r="AA144" s="194">
        <f t="shared" si="54"/>
        <v>7.6274554386568632</v>
      </c>
      <c r="AB144" s="194">
        <f t="shared" si="54"/>
        <v>8.7016545975381732</v>
      </c>
      <c r="AC144" s="194">
        <f t="shared" si="54"/>
        <v>8.7016545975381732</v>
      </c>
      <c r="AD144" s="194">
        <f t="shared" si="54"/>
        <v>8.7016545975381732</v>
      </c>
      <c r="AE144" s="194">
        <f t="shared" si="54"/>
        <v>8.7016545975381732</v>
      </c>
      <c r="AF144" s="194">
        <f t="shared" si="54"/>
        <v>8.7016545975381732</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163</v>
      </c>
      <c r="G145" s="96" t="s">
        <v>273</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0.10056392081267507</v>
      </c>
      <c r="S145" s="348">
        <f t="shared" si="55"/>
        <v>0.10056392081267507</v>
      </c>
      <c r="T145" s="348">
        <f t="shared" si="55"/>
        <v>0.10056392081267507</v>
      </c>
      <c r="U145" s="348">
        <f t="shared" si="55"/>
        <v>0.10056392081267507</v>
      </c>
      <c r="V145" s="348">
        <f t="shared" si="55"/>
        <v>0.10056392081267507</v>
      </c>
      <c r="W145" s="348">
        <f t="shared" si="55"/>
        <v>9.5655369488280101E-2</v>
      </c>
      <c r="X145" s="348">
        <f t="shared" si="55"/>
        <v>9.5655369488280101E-2</v>
      </c>
      <c r="Y145" s="348">
        <f t="shared" si="55"/>
        <v>9.5655369488280101E-2</v>
      </c>
      <c r="Z145" s="348">
        <f t="shared" si="55"/>
        <v>9.5655369488280101E-2</v>
      </c>
      <c r="AA145" s="348">
        <f t="shared" si="55"/>
        <v>9.5655369488280101E-2</v>
      </c>
      <c r="AB145" s="348">
        <f t="shared" si="55"/>
        <v>7.9179774280378562E-2</v>
      </c>
      <c r="AC145" s="348">
        <f t="shared" si="55"/>
        <v>7.9179774280378562E-2</v>
      </c>
      <c r="AD145" s="348">
        <f t="shared" si="55"/>
        <v>7.9179774280378562E-2</v>
      </c>
      <c r="AE145" s="348">
        <f t="shared" si="55"/>
        <v>7.9179774280378562E-2</v>
      </c>
      <c r="AF145" s="348">
        <f t="shared" si="55"/>
        <v>7.9179774280378562E-2</v>
      </c>
      <c r="AG145" s="348">
        <f t="shared" si="55"/>
        <v>0</v>
      </c>
      <c r="AH145" s="348">
        <f t="shared" si="55"/>
        <v>0</v>
      </c>
      <c r="AI145" s="348">
        <f t="shared" si="55"/>
        <v>0</v>
      </c>
      <c r="AJ145" s="348">
        <f t="shared" si="55"/>
        <v>0.31225598745472138</v>
      </c>
      <c r="AK145" s="276"/>
      <c r="AL145" s="348">
        <f t="shared" si="55"/>
        <v>0.22398663020284471</v>
      </c>
      <c r="AM145" s="276"/>
      <c r="AN145" s="348">
        <f t="shared" si="55"/>
        <v>0.18734964255838274</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control'!$H$42:$H$65,MATCH($A$1,'Version control'!$F$42:$F$65,0),1)&amp;"-H: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712</v>
      </c>
      <c r="F149" s="75"/>
      <c r="I149" t="s">
        <v>155</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156</v>
      </c>
    </row>
    <row r="150" spans="1:43" x14ac:dyDescent="0.25">
      <c r="E150" s="105"/>
      <c r="F150" s="95" t="s">
        <v>157</v>
      </c>
      <c r="G150" s="95" t="s">
        <v>270</v>
      </c>
      <c r="H150" s="278"/>
      <c r="I150" s="266"/>
      <c r="J150" s="346">
        <f t="shared" ref="J150" si="56">ROUND(J121, $H95)</f>
        <v>25.395</v>
      </c>
      <c r="K150" s="346">
        <f t="shared" ref="K150:AO150" si="57">ROUND(K121, $H95)</f>
        <v>25.395</v>
      </c>
      <c r="L150" s="346">
        <f t="shared" si="57"/>
        <v>24.844000000000001</v>
      </c>
      <c r="M150" s="346">
        <f t="shared" si="57"/>
        <v>24.844000000000001</v>
      </c>
      <c r="N150" s="346">
        <f t="shared" si="57"/>
        <v>24.844000000000001</v>
      </c>
      <c r="O150" s="346">
        <f t="shared" si="57"/>
        <v>24.844000000000001</v>
      </c>
      <c r="P150" s="346">
        <f t="shared" si="57"/>
        <v>24.844000000000001</v>
      </c>
      <c r="Q150" s="346">
        <f t="shared" si="57"/>
        <v>24.844000000000001</v>
      </c>
      <c r="R150" s="346">
        <f t="shared" si="57"/>
        <v>15.429</v>
      </c>
      <c r="S150" s="346">
        <f t="shared" si="57"/>
        <v>15.429</v>
      </c>
      <c r="T150" s="346">
        <f t="shared" si="57"/>
        <v>15.429</v>
      </c>
      <c r="U150" s="346">
        <f t="shared" si="57"/>
        <v>15.429</v>
      </c>
      <c r="V150" s="346">
        <f t="shared" si="57"/>
        <v>15.429</v>
      </c>
      <c r="W150" s="346">
        <f t="shared" si="57"/>
        <v>9.8209999999999997</v>
      </c>
      <c r="X150" s="346">
        <f t="shared" si="57"/>
        <v>9.8209999999999997</v>
      </c>
      <c r="Y150" s="346">
        <f t="shared" si="57"/>
        <v>9.8209999999999997</v>
      </c>
      <c r="Z150" s="346">
        <f t="shared" si="57"/>
        <v>9.8209999999999997</v>
      </c>
      <c r="AA150" s="346">
        <f t="shared" si="57"/>
        <v>9.8209999999999997</v>
      </c>
      <c r="AB150" s="346">
        <f t="shared" si="57"/>
        <v>7.5</v>
      </c>
      <c r="AC150" s="346">
        <f t="shared" si="57"/>
        <v>7.5</v>
      </c>
      <c r="AD150" s="346">
        <f t="shared" si="57"/>
        <v>7.5</v>
      </c>
      <c r="AE150" s="346">
        <f t="shared" si="57"/>
        <v>7.5</v>
      </c>
      <c r="AF150" s="346">
        <f t="shared" si="57"/>
        <v>7.5</v>
      </c>
      <c r="AG150" s="346">
        <f t="shared" si="57"/>
        <v>75.808000000000007</v>
      </c>
      <c r="AH150" s="346">
        <f t="shared" si="57"/>
        <v>-15.28</v>
      </c>
      <c r="AI150" s="346">
        <f t="shared" si="57"/>
        <v>-13.109</v>
      </c>
      <c r="AJ150" s="346">
        <f t="shared" si="57"/>
        <v>-15.28</v>
      </c>
      <c r="AK150" s="346">
        <f t="shared" si="57"/>
        <v>-15.28</v>
      </c>
      <c r="AL150" s="346">
        <f t="shared" si="57"/>
        <v>-13.109</v>
      </c>
      <c r="AM150" s="346">
        <f t="shared" si="57"/>
        <v>-13.109</v>
      </c>
      <c r="AN150" s="346">
        <f t="shared" si="57"/>
        <v>-8.1959999999999997</v>
      </c>
      <c r="AO150" s="346">
        <f t="shared" si="57"/>
        <v>-8.1959999999999997</v>
      </c>
      <c r="AP150" s="268"/>
      <c r="AQ150" s="268"/>
    </row>
    <row r="151" spans="1:43" x14ac:dyDescent="0.25">
      <c r="E151" s="105"/>
      <c r="F151" t="s">
        <v>158</v>
      </c>
      <c r="G151" t="s">
        <v>270</v>
      </c>
      <c r="H151" s="279"/>
      <c r="I151" s="268"/>
      <c r="J151" s="297">
        <f t="shared" ref="J151:J156" si="58">ROUND(J122, $H96)</f>
        <v>2.0259999999999998</v>
      </c>
      <c r="K151" s="297">
        <f t="shared" ref="K151:AO151" si="59">ROUND(K122, $H96)</f>
        <v>2.0259999999999998</v>
      </c>
      <c r="L151" s="297">
        <f t="shared" si="59"/>
        <v>1.982</v>
      </c>
      <c r="M151" s="297">
        <f t="shared" si="59"/>
        <v>1.982</v>
      </c>
      <c r="N151" s="297">
        <f t="shared" si="59"/>
        <v>1.982</v>
      </c>
      <c r="O151" s="297">
        <f t="shared" si="59"/>
        <v>1.982</v>
      </c>
      <c r="P151" s="297">
        <f t="shared" si="59"/>
        <v>1.982</v>
      </c>
      <c r="Q151" s="297">
        <f t="shared" si="59"/>
        <v>1.982</v>
      </c>
      <c r="R151" s="297">
        <f t="shared" si="59"/>
        <v>1.097</v>
      </c>
      <c r="S151" s="297">
        <f t="shared" si="59"/>
        <v>1.097</v>
      </c>
      <c r="T151" s="297">
        <f t="shared" si="59"/>
        <v>1.097</v>
      </c>
      <c r="U151" s="297">
        <f t="shared" si="59"/>
        <v>1.097</v>
      </c>
      <c r="V151" s="297">
        <f t="shared" si="59"/>
        <v>1.097</v>
      </c>
      <c r="W151" s="297">
        <f t="shared" si="59"/>
        <v>0.496</v>
      </c>
      <c r="X151" s="297">
        <f t="shared" si="59"/>
        <v>0.496</v>
      </c>
      <c r="Y151" s="297">
        <f t="shared" si="59"/>
        <v>0.496</v>
      </c>
      <c r="Z151" s="297">
        <f t="shared" si="59"/>
        <v>0.496</v>
      </c>
      <c r="AA151" s="297">
        <f t="shared" si="59"/>
        <v>0.496</v>
      </c>
      <c r="AB151" s="297">
        <f t="shared" si="59"/>
        <v>0.28799999999999998</v>
      </c>
      <c r="AC151" s="297">
        <f t="shared" si="59"/>
        <v>0.28799999999999998</v>
      </c>
      <c r="AD151" s="297">
        <f t="shared" si="59"/>
        <v>0.28799999999999998</v>
      </c>
      <c r="AE151" s="297">
        <f t="shared" si="59"/>
        <v>0.28799999999999998</v>
      </c>
      <c r="AF151" s="297">
        <f t="shared" si="59"/>
        <v>0.28799999999999998</v>
      </c>
      <c r="AG151" s="297">
        <f t="shared" si="59"/>
        <v>4.1500000000000004</v>
      </c>
      <c r="AH151" s="297">
        <f t="shared" si="59"/>
        <v>-1.2190000000000001</v>
      </c>
      <c r="AI151" s="297">
        <f t="shared" si="59"/>
        <v>-0.97499999999999998</v>
      </c>
      <c r="AJ151" s="297">
        <f t="shared" si="59"/>
        <v>-1.2190000000000001</v>
      </c>
      <c r="AK151" s="297">
        <f t="shared" si="59"/>
        <v>-1.2190000000000001</v>
      </c>
      <c r="AL151" s="297">
        <f t="shared" si="59"/>
        <v>-0.97499999999999998</v>
      </c>
      <c r="AM151" s="297">
        <f t="shared" si="59"/>
        <v>-0.97499999999999998</v>
      </c>
      <c r="AN151" s="297">
        <f t="shared" si="59"/>
        <v>-0.41399999999999998</v>
      </c>
      <c r="AO151" s="297">
        <f t="shared" si="59"/>
        <v>-0.41399999999999998</v>
      </c>
      <c r="AP151" s="268"/>
      <c r="AQ151" s="268"/>
    </row>
    <row r="152" spans="1:43" x14ac:dyDescent="0.25">
      <c r="E152" s="105"/>
      <c r="F152" t="s">
        <v>159</v>
      </c>
      <c r="G152" t="s">
        <v>270</v>
      </c>
      <c r="H152" s="279"/>
      <c r="I152" s="268"/>
      <c r="J152" s="297">
        <f t="shared" si="58"/>
        <v>0.2</v>
      </c>
      <c r="K152" s="297">
        <f t="shared" ref="K152:AO152" si="60">ROUND(K123, $H97)</f>
        <v>0.2</v>
      </c>
      <c r="L152" s="297">
        <f t="shared" si="60"/>
        <v>0.19600000000000001</v>
      </c>
      <c r="M152" s="297">
        <f t="shared" si="60"/>
        <v>0.19600000000000001</v>
      </c>
      <c r="N152" s="297">
        <f t="shared" si="60"/>
        <v>0.19600000000000001</v>
      </c>
      <c r="O152" s="297">
        <f t="shared" si="60"/>
        <v>0.19600000000000001</v>
      </c>
      <c r="P152" s="297">
        <f t="shared" si="60"/>
        <v>0.19600000000000001</v>
      </c>
      <c r="Q152" s="297">
        <f t="shared" si="60"/>
        <v>0.19600000000000001</v>
      </c>
      <c r="R152" s="297">
        <f t="shared" si="60"/>
        <v>0.111</v>
      </c>
      <c r="S152" s="297">
        <f t="shared" si="60"/>
        <v>0.111</v>
      </c>
      <c r="T152" s="297">
        <f t="shared" si="60"/>
        <v>0.111</v>
      </c>
      <c r="U152" s="297">
        <f t="shared" si="60"/>
        <v>0.111</v>
      </c>
      <c r="V152" s="297">
        <f t="shared" si="60"/>
        <v>0.111</v>
      </c>
      <c r="W152" s="297">
        <f t="shared" si="60"/>
        <v>5.3999999999999999E-2</v>
      </c>
      <c r="X152" s="297">
        <f t="shared" si="60"/>
        <v>5.3999999999999999E-2</v>
      </c>
      <c r="Y152" s="297">
        <f t="shared" si="60"/>
        <v>5.3999999999999999E-2</v>
      </c>
      <c r="Z152" s="297">
        <f t="shared" si="60"/>
        <v>5.3999999999999999E-2</v>
      </c>
      <c r="AA152" s="297">
        <f t="shared" si="60"/>
        <v>5.3999999999999999E-2</v>
      </c>
      <c r="AB152" s="297">
        <f t="shared" si="60"/>
        <v>3.3000000000000002E-2</v>
      </c>
      <c r="AC152" s="297">
        <f t="shared" si="60"/>
        <v>3.3000000000000002E-2</v>
      </c>
      <c r="AD152" s="297">
        <f t="shared" si="60"/>
        <v>3.3000000000000002E-2</v>
      </c>
      <c r="AE152" s="297">
        <f t="shared" si="60"/>
        <v>3.3000000000000002E-2</v>
      </c>
      <c r="AF152" s="297">
        <f t="shared" si="60"/>
        <v>3.3000000000000002E-2</v>
      </c>
      <c r="AG152" s="297">
        <f t="shared" si="60"/>
        <v>2.0619999999999998</v>
      </c>
      <c r="AH152" s="297">
        <f t="shared" si="60"/>
        <v>-0.121</v>
      </c>
      <c r="AI152" s="297">
        <f t="shared" si="60"/>
        <v>-9.7000000000000003E-2</v>
      </c>
      <c r="AJ152" s="297">
        <f t="shared" si="60"/>
        <v>-0.121</v>
      </c>
      <c r="AK152" s="297">
        <f t="shared" si="60"/>
        <v>-0.121</v>
      </c>
      <c r="AL152" s="297">
        <f t="shared" si="60"/>
        <v>-9.7000000000000003E-2</v>
      </c>
      <c r="AM152" s="297">
        <f t="shared" si="60"/>
        <v>-9.7000000000000003E-2</v>
      </c>
      <c r="AN152" s="297">
        <f t="shared" si="60"/>
        <v>-4.4999999999999998E-2</v>
      </c>
      <c r="AO152" s="297">
        <f t="shared" si="60"/>
        <v>-4.4999999999999998E-2</v>
      </c>
      <c r="AP152" s="268"/>
      <c r="AQ152" s="268"/>
    </row>
    <row r="153" spans="1:43" x14ac:dyDescent="0.25">
      <c r="E153" s="105"/>
      <c r="F153" t="s">
        <v>160</v>
      </c>
      <c r="G153" t="s">
        <v>271</v>
      </c>
      <c r="H153" s="78"/>
      <c r="J153" s="151">
        <f t="shared" si="58"/>
        <v>17.829999999999998</v>
      </c>
      <c r="K153" s="151">
        <f t="shared" ref="K153:AO153" si="61">ROUND(K124, $H98)</f>
        <v>0</v>
      </c>
      <c r="L153" s="151">
        <f t="shared" si="61"/>
        <v>19.25</v>
      </c>
      <c r="M153" s="151">
        <f t="shared" si="61"/>
        <v>22.53</v>
      </c>
      <c r="N153" s="151">
        <f t="shared" si="61"/>
        <v>32.590000000000003</v>
      </c>
      <c r="O153" s="151">
        <f t="shared" si="61"/>
        <v>46.07</v>
      </c>
      <c r="P153" s="151">
        <f t="shared" si="61"/>
        <v>84.44</v>
      </c>
      <c r="Q153" s="151">
        <f t="shared" si="61"/>
        <v>0</v>
      </c>
      <c r="R153" s="151">
        <f t="shared" si="61"/>
        <v>19.09</v>
      </c>
      <c r="S153" s="151">
        <f t="shared" si="61"/>
        <v>142.31</v>
      </c>
      <c r="T153" s="151">
        <f t="shared" si="61"/>
        <v>240.23</v>
      </c>
      <c r="U153" s="151">
        <f t="shared" si="61"/>
        <v>370.59</v>
      </c>
      <c r="V153" s="151">
        <f t="shared" si="61"/>
        <v>797.99</v>
      </c>
      <c r="W153" s="151">
        <f t="shared" si="61"/>
        <v>14.9</v>
      </c>
      <c r="X153" s="151">
        <f t="shared" si="61"/>
        <v>138.12</v>
      </c>
      <c r="Y153" s="151">
        <f t="shared" si="61"/>
        <v>236.04</v>
      </c>
      <c r="Z153" s="151">
        <f t="shared" si="61"/>
        <v>366.41</v>
      </c>
      <c r="AA153" s="151">
        <f t="shared" si="61"/>
        <v>793.8</v>
      </c>
      <c r="AB153" s="151">
        <f t="shared" si="61"/>
        <v>137.54</v>
      </c>
      <c r="AC153" s="151">
        <f t="shared" si="61"/>
        <v>1035.0899999999999</v>
      </c>
      <c r="AD153" s="151">
        <f t="shared" si="61"/>
        <v>2208.42</v>
      </c>
      <c r="AE153" s="151">
        <f t="shared" si="61"/>
        <v>4821.8</v>
      </c>
      <c r="AF153" s="151">
        <f t="shared" si="61"/>
        <v>9159.74</v>
      </c>
      <c r="AG153" s="151">
        <f t="shared" si="61"/>
        <v>0</v>
      </c>
      <c r="AH153" s="151">
        <f t="shared" si="61"/>
        <v>0</v>
      </c>
      <c r="AI153" s="151">
        <f t="shared" si="61"/>
        <v>0</v>
      </c>
      <c r="AJ153" s="151">
        <f t="shared" si="61"/>
        <v>0</v>
      </c>
      <c r="AK153" s="151">
        <f t="shared" si="61"/>
        <v>0</v>
      </c>
      <c r="AL153" s="151">
        <f t="shared" si="61"/>
        <v>0</v>
      </c>
      <c r="AM153" s="151">
        <f t="shared" si="61"/>
        <v>0</v>
      </c>
      <c r="AN153" s="151">
        <f t="shared" si="61"/>
        <v>86.08</v>
      </c>
      <c r="AO153" s="151">
        <f t="shared" si="61"/>
        <v>86.08</v>
      </c>
    </row>
    <row r="154" spans="1:43" x14ac:dyDescent="0.25">
      <c r="E154" s="105"/>
      <c r="F154" t="s">
        <v>161</v>
      </c>
      <c r="G154" t="s">
        <v>272</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12.91</v>
      </c>
      <c r="S154" s="151">
        <f t="shared" si="62"/>
        <v>12.91</v>
      </c>
      <c r="T154" s="151">
        <f t="shared" si="62"/>
        <v>12.91</v>
      </c>
      <c r="U154" s="151">
        <f t="shared" si="62"/>
        <v>12.91</v>
      </c>
      <c r="V154" s="151">
        <f t="shared" si="62"/>
        <v>12.91</v>
      </c>
      <c r="W154" s="151">
        <f t="shared" si="62"/>
        <v>11.05</v>
      </c>
      <c r="X154" s="151">
        <f t="shared" si="62"/>
        <v>11.05</v>
      </c>
      <c r="Y154" s="151">
        <f t="shared" si="62"/>
        <v>11.05</v>
      </c>
      <c r="Z154" s="151">
        <f t="shared" si="62"/>
        <v>11.05</v>
      </c>
      <c r="AA154" s="151">
        <f t="shared" si="62"/>
        <v>11.05</v>
      </c>
      <c r="AB154" s="151">
        <f t="shared" si="62"/>
        <v>10.62</v>
      </c>
      <c r="AC154" s="151">
        <f t="shared" si="62"/>
        <v>10.62</v>
      </c>
      <c r="AD154" s="151">
        <f t="shared" si="62"/>
        <v>10.62</v>
      </c>
      <c r="AE154" s="151">
        <f t="shared" si="62"/>
        <v>10.62</v>
      </c>
      <c r="AF154" s="151">
        <f t="shared" si="62"/>
        <v>10.62</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162</v>
      </c>
      <c r="G155" t="s">
        <v>272</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12.91</v>
      </c>
      <c r="S155" s="151">
        <f t="shared" si="63"/>
        <v>12.91</v>
      </c>
      <c r="T155" s="151">
        <f t="shared" si="63"/>
        <v>12.91</v>
      </c>
      <c r="U155" s="151">
        <f t="shared" si="63"/>
        <v>12.91</v>
      </c>
      <c r="V155" s="151">
        <f t="shared" si="63"/>
        <v>12.91</v>
      </c>
      <c r="W155" s="151">
        <f t="shared" si="63"/>
        <v>11.05</v>
      </c>
      <c r="X155" s="151">
        <f t="shared" si="63"/>
        <v>11.05</v>
      </c>
      <c r="Y155" s="151">
        <f t="shared" si="63"/>
        <v>11.05</v>
      </c>
      <c r="Z155" s="151">
        <f t="shared" si="63"/>
        <v>11.05</v>
      </c>
      <c r="AA155" s="151">
        <f t="shared" si="63"/>
        <v>11.05</v>
      </c>
      <c r="AB155" s="151">
        <f t="shared" si="63"/>
        <v>10.62</v>
      </c>
      <c r="AC155" s="151">
        <f t="shared" si="63"/>
        <v>10.62</v>
      </c>
      <c r="AD155" s="151">
        <f t="shared" si="63"/>
        <v>10.62</v>
      </c>
      <c r="AE155" s="151">
        <f t="shared" si="63"/>
        <v>10.62</v>
      </c>
      <c r="AF155" s="151">
        <f t="shared" si="63"/>
        <v>10.62</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163</v>
      </c>
      <c r="G156" s="96" t="s">
        <v>273</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0.253</v>
      </c>
      <c r="S156" s="285">
        <f t="shared" si="64"/>
        <v>0.253</v>
      </c>
      <c r="T156" s="285">
        <f t="shared" si="64"/>
        <v>0.253</v>
      </c>
      <c r="U156" s="285">
        <f t="shared" si="64"/>
        <v>0.253</v>
      </c>
      <c r="V156" s="285">
        <f t="shared" si="64"/>
        <v>0.253</v>
      </c>
      <c r="W156" s="285">
        <f t="shared" si="64"/>
        <v>0.13900000000000001</v>
      </c>
      <c r="X156" s="285">
        <f t="shared" si="64"/>
        <v>0.13900000000000001</v>
      </c>
      <c r="Y156" s="285">
        <f t="shared" si="64"/>
        <v>0.13900000000000001</v>
      </c>
      <c r="Z156" s="285">
        <f t="shared" si="64"/>
        <v>0.13900000000000001</v>
      </c>
      <c r="AA156" s="285">
        <f t="shared" si="64"/>
        <v>0.13900000000000001</v>
      </c>
      <c r="AB156" s="285">
        <f t="shared" si="64"/>
        <v>9.7000000000000003E-2</v>
      </c>
      <c r="AC156" s="285">
        <f t="shared" si="64"/>
        <v>9.7000000000000003E-2</v>
      </c>
      <c r="AD156" s="285">
        <f t="shared" si="64"/>
        <v>9.7000000000000003E-2</v>
      </c>
      <c r="AE156" s="285">
        <f t="shared" si="64"/>
        <v>9.7000000000000003E-2</v>
      </c>
      <c r="AF156" s="285">
        <f t="shared" si="64"/>
        <v>9.7000000000000003E-2</v>
      </c>
      <c r="AG156" s="285">
        <f t="shared" si="64"/>
        <v>0</v>
      </c>
      <c r="AH156" s="285">
        <f t="shared" si="64"/>
        <v>0</v>
      </c>
      <c r="AI156" s="285">
        <f t="shared" si="64"/>
        <v>0</v>
      </c>
      <c r="AJ156" s="285">
        <f t="shared" si="64"/>
        <v>0.312</v>
      </c>
      <c r="AK156" s="285">
        <f t="shared" si="64"/>
        <v>0</v>
      </c>
      <c r="AL156" s="285">
        <f t="shared" si="64"/>
        <v>0.224</v>
      </c>
      <c r="AM156" s="285">
        <f t="shared" si="64"/>
        <v>0</v>
      </c>
      <c r="AN156" s="285">
        <f t="shared" si="64"/>
        <v>0.187</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713</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156</v>
      </c>
    </row>
    <row r="159" spans="1:43" x14ac:dyDescent="0.25">
      <c r="E159" s="105"/>
      <c r="F159" s="95" t="s">
        <v>157</v>
      </c>
      <c r="G159" s="95" t="s">
        <v>270</v>
      </c>
      <c r="H159" s="278"/>
      <c r="I159" s="266"/>
      <c r="J159" s="346">
        <f>ROUND(J130, $H95)</f>
        <v>15.081</v>
      </c>
      <c r="K159" s="346">
        <f t="shared" ref="K159:AO159" si="65">ROUND(K130, $H95)</f>
        <v>15.081</v>
      </c>
      <c r="L159" s="346">
        <f t="shared" si="65"/>
        <v>14.754</v>
      </c>
      <c r="M159" s="346">
        <f t="shared" si="65"/>
        <v>14.754</v>
      </c>
      <c r="N159" s="346">
        <f t="shared" si="65"/>
        <v>14.754</v>
      </c>
      <c r="O159" s="346">
        <f t="shared" si="65"/>
        <v>14.754</v>
      </c>
      <c r="P159" s="346">
        <f t="shared" si="65"/>
        <v>14.754</v>
      </c>
      <c r="Q159" s="346">
        <f t="shared" si="65"/>
        <v>14.754</v>
      </c>
      <c r="R159" s="346">
        <f t="shared" si="65"/>
        <v>9.1620000000000008</v>
      </c>
      <c r="S159" s="346">
        <f t="shared" si="65"/>
        <v>9.1620000000000008</v>
      </c>
      <c r="T159" s="346">
        <f t="shared" si="65"/>
        <v>9.1620000000000008</v>
      </c>
      <c r="U159" s="346">
        <f t="shared" si="65"/>
        <v>9.1620000000000008</v>
      </c>
      <c r="V159" s="346">
        <f t="shared" si="65"/>
        <v>9.1620000000000008</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45.018000000000001</v>
      </c>
      <c r="AH159" s="346">
        <f t="shared" si="65"/>
        <v>-15.28</v>
      </c>
      <c r="AI159" s="280">
        <f t="shared" si="65"/>
        <v>0</v>
      </c>
      <c r="AJ159" s="346">
        <f t="shared" si="65"/>
        <v>-15.28</v>
      </c>
      <c r="AK159" s="280">
        <f t="shared" si="65"/>
        <v>0</v>
      </c>
      <c r="AL159" s="280">
        <f t="shared" si="65"/>
        <v>0</v>
      </c>
      <c r="AM159" s="280">
        <f t="shared" si="65"/>
        <v>0</v>
      </c>
      <c r="AN159" s="280">
        <f t="shared" si="65"/>
        <v>0</v>
      </c>
      <c r="AO159" s="280">
        <f t="shared" si="65"/>
        <v>0</v>
      </c>
      <c r="AP159" s="268"/>
      <c r="AQ159" s="268"/>
    </row>
    <row r="160" spans="1:43" x14ac:dyDescent="0.25">
      <c r="E160" s="105"/>
      <c r="F160" t="s">
        <v>158</v>
      </c>
      <c r="G160" t="s">
        <v>270</v>
      </c>
      <c r="H160" s="279"/>
      <c r="I160" s="268"/>
      <c r="J160" s="297">
        <f t="shared" ref="J160:J165" si="66">ROUND(J131, $H96)</f>
        <v>1.2030000000000001</v>
      </c>
      <c r="K160" s="297">
        <f t="shared" ref="K160:AO160" si="67">ROUND(K131, $H96)</f>
        <v>1.2030000000000001</v>
      </c>
      <c r="L160" s="297">
        <f t="shared" si="67"/>
        <v>1.177</v>
      </c>
      <c r="M160" s="297">
        <f t="shared" si="67"/>
        <v>1.177</v>
      </c>
      <c r="N160" s="297">
        <f t="shared" si="67"/>
        <v>1.177</v>
      </c>
      <c r="O160" s="297">
        <f t="shared" si="67"/>
        <v>1.177</v>
      </c>
      <c r="P160" s="297">
        <f t="shared" si="67"/>
        <v>1.177</v>
      </c>
      <c r="Q160" s="297">
        <f t="shared" si="67"/>
        <v>1.177</v>
      </c>
      <c r="R160" s="297">
        <f t="shared" si="67"/>
        <v>0.65100000000000002</v>
      </c>
      <c r="S160" s="297">
        <f t="shared" si="67"/>
        <v>0.65100000000000002</v>
      </c>
      <c r="T160" s="297">
        <f t="shared" si="67"/>
        <v>0.65100000000000002</v>
      </c>
      <c r="U160" s="297">
        <f t="shared" si="67"/>
        <v>0.65100000000000002</v>
      </c>
      <c r="V160" s="297">
        <f t="shared" si="67"/>
        <v>0.65100000000000002</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2.464</v>
      </c>
      <c r="AH160" s="297">
        <f t="shared" si="67"/>
        <v>-1.2190000000000001</v>
      </c>
      <c r="AI160" s="294">
        <f t="shared" si="67"/>
        <v>0</v>
      </c>
      <c r="AJ160" s="297">
        <f t="shared" si="67"/>
        <v>-1.2190000000000001</v>
      </c>
      <c r="AK160" s="294">
        <f t="shared" si="67"/>
        <v>0</v>
      </c>
      <c r="AL160" s="294">
        <f t="shared" si="67"/>
        <v>0</v>
      </c>
      <c r="AM160" s="294">
        <f t="shared" si="67"/>
        <v>0</v>
      </c>
      <c r="AN160" s="294">
        <f t="shared" si="67"/>
        <v>0</v>
      </c>
      <c r="AO160" s="294">
        <f t="shared" si="67"/>
        <v>0</v>
      </c>
      <c r="AP160" s="268"/>
      <c r="AQ160" s="268"/>
    </row>
    <row r="161" spans="2:43" x14ac:dyDescent="0.25">
      <c r="E161" s="105"/>
      <c r="F161" t="s">
        <v>159</v>
      </c>
      <c r="G161" t="s">
        <v>270</v>
      </c>
      <c r="H161" s="279"/>
      <c r="I161" s="268"/>
      <c r="J161" s="297">
        <f t="shared" si="66"/>
        <v>0.11899999999999999</v>
      </c>
      <c r="K161" s="297">
        <f t="shared" ref="K161:AO161" si="68">ROUND(K132, $H97)</f>
        <v>0.11899999999999999</v>
      </c>
      <c r="L161" s="297">
        <f t="shared" si="68"/>
        <v>0.11600000000000001</v>
      </c>
      <c r="M161" s="297">
        <f t="shared" si="68"/>
        <v>0.11600000000000001</v>
      </c>
      <c r="N161" s="297">
        <f t="shared" si="68"/>
        <v>0.11600000000000001</v>
      </c>
      <c r="O161" s="297">
        <f t="shared" si="68"/>
        <v>0.11600000000000001</v>
      </c>
      <c r="P161" s="297">
        <f t="shared" si="68"/>
        <v>0.11600000000000001</v>
      </c>
      <c r="Q161" s="297">
        <f t="shared" si="68"/>
        <v>0.11600000000000001</v>
      </c>
      <c r="R161" s="297">
        <f t="shared" si="68"/>
        <v>6.6000000000000003E-2</v>
      </c>
      <c r="S161" s="297">
        <f t="shared" si="68"/>
        <v>6.6000000000000003E-2</v>
      </c>
      <c r="T161" s="297">
        <f t="shared" si="68"/>
        <v>6.6000000000000003E-2</v>
      </c>
      <c r="U161" s="297">
        <f t="shared" si="68"/>
        <v>6.6000000000000003E-2</v>
      </c>
      <c r="V161" s="297">
        <f t="shared" si="68"/>
        <v>6.6000000000000003E-2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1.224</v>
      </c>
      <c r="AH161" s="297">
        <f t="shared" si="68"/>
        <v>-0.121</v>
      </c>
      <c r="AI161" s="294">
        <f t="shared" si="68"/>
        <v>0</v>
      </c>
      <c r="AJ161" s="297">
        <f t="shared" si="68"/>
        <v>-0.121</v>
      </c>
      <c r="AK161" s="294">
        <f t="shared" si="68"/>
        <v>0</v>
      </c>
      <c r="AL161" s="294">
        <f t="shared" si="68"/>
        <v>0</v>
      </c>
      <c r="AM161" s="294">
        <f t="shared" si="68"/>
        <v>0</v>
      </c>
      <c r="AN161" s="294">
        <f t="shared" si="68"/>
        <v>0</v>
      </c>
      <c r="AO161" s="294">
        <f t="shared" si="68"/>
        <v>0</v>
      </c>
      <c r="AP161" s="268"/>
      <c r="AQ161" s="268"/>
    </row>
    <row r="162" spans="2:43" x14ac:dyDescent="0.25">
      <c r="E162" s="105"/>
      <c r="F162" t="s">
        <v>160</v>
      </c>
      <c r="G162" t="s">
        <v>271</v>
      </c>
      <c r="H162" s="78"/>
      <c r="J162" s="151">
        <f t="shared" si="66"/>
        <v>10.59</v>
      </c>
      <c r="K162" s="151">
        <f t="shared" ref="K162:AO162" si="69">ROUND(K133, $H98)</f>
        <v>0</v>
      </c>
      <c r="L162" s="151">
        <f t="shared" si="69"/>
        <v>11.43</v>
      </c>
      <c r="M162" s="151">
        <f t="shared" si="69"/>
        <v>13.38</v>
      </c>
      <c r="N162" s="151">
        <f t="shared" si="69"/>
        <v>19.36</v>
      </c>
      <c r="O162" s="151">
        <f t="shared" si="69"/>
        <v>27.36</v>
      </c>
      <c r="P162" s="151">
        <f t="shared" si="69"/>
        <v>50.14</v>
      </c>
      <c r="Q162" s="151">
        <f t="shared" si="69"/>
        <v>0</v>
      </c>
      <c r="R162" s="151">
        <f t="shared" si="69"/>
        <v>11.33</v>
      </c>
      <c r="S162" s="151">
        <f t="shared" si="69"/>
        <v>84.51</v>
      </c>
      <c r="T162" s="151">
        <f t="shared" si="69"/>
        <v>142.66</v>
      </c>
      <c r="U162" s="151">
        <f t="shared" si="69"/>
        <v>220.07</v>
      </c>
      <c r="V162" s="151">
        <f t="shared" si="69"/>
        <v>473.87</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161</v>
      </c>
      <c r="G163" t="s">
        <v>272</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7.67</v>
      </c>
      <c r="S163" s="151">
        <f t="shared" si="70"/>
        <v>7.67</v>
      </c>
      <c r="T163" s="151">
        <f t="shared" si="70"/>
        <v>7.67</v>
      </c>
      <c r="U163" s="151">
        <f t="shared" si="70"/>
        <v>7.67</v>
      </c>
      <c r="V163" s="151">
        <f t="shared" si="70"/>
        <v>7.67</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162</v>
      </c>
      <c r="G164" t="s">
        <v>272</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7.67</v>
      </c>
      <c r="S164" s="151">
        <f t="shared" si="71"/>
        <v>7.67</v>
      </c>
      <c r="T164" s="151">
        <f t="shared" si="71"/>
        <v>7.67</v>
      </c>
      <c r="U164" s="151">
        <f t="shared" si="71"/>
        <v>7.67</v>
      </c>
      <c r="V164" s="151">
        <f t="shared" si="71"/>
        <v>7.67</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163</v>
      </c>
      <c r="G165" s="96" t="s">
        <v>273</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0.15</v>
      </c>
      <c r="S165" s="285">
        <f t="shared" si="72"/>
        <v>0.15</v>
      </c>
      <c r="T165" s="285">
        <f t="shared" si="72"/>
        <v>0.15</v>
      </c>
      <c r="U165" s="285">
        <f t="shared" si="72"/>
        <v>0.15</v>
      </c>
      <c r="V165" s="285">
        <f t="shared" si="72"/>
        <v>0.15</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0.312</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714</v>
      </c>
      <c r="I167" t="s">
        <v>155</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156</v>
      </c>
    </row>
    <row r="168" spans="2:43" x14ac:dyDescent="0.25">
      <c r="C168" s="105"/>
      <c r="F168" s="95" t="s">
        <v>157</v>
      </c>
      <c r="G168" s="95" t="s">
        <v>270</v>
      </c>
      <c r="H168" s="278"/>
      <c r="I168" s="266"/>
      <c r="J168" s="346">
        <f t="shared" ref="J168" si="73">ROUND( J139, $H95)</f>
        <v>10.108000000000001</v>
      </c>
      <c r="K168" s="346">
        <f t="shared" ref="K168:AO168" si="74">ROUND( K139, $H95)</f>
        <v>10.108000000000001</v>
      </c>
      <c r="L168" s="346">
        <f t="shared" si="74"/>
        <v>9.8889999999999993</v>
      </c>
      <c r="M168" s="346">
        <f t="shared" si="74"/>
        <v>9.8889999999999993</v>
      </c>
      <c r="N168" s="346">
        <f t="shared" si="74"/>
        <v>9.8889999999999993</v>
      </c>
      <c r="O168" s="346">
        <f t="shared" si="74"/>
        <v>9.8889999999999993</v>
      </c>
      <c r="P168" s="346">
        <f t="shared" si="74"/>
        <v>9.8889999999999993</v>
      </c>
      <c r="Q168" s="346">
        <f t="shared" si="74"/>
        <v>9.8889999999999993</v>
      </c>
      <c r="R168" s="346">
        <f t="shared" si="74"/>
        <v>6.1420000000000003</v>
      </c>
      <c r="S168" s="346">
        <f t="shared" si="74"/>
        <v>6.1420000000000003</v>
      </c>
      <c r="T168" s="346">
        <f t="shared" si="74"/>
        <v>6.1420000000000003</v>
      </c>
      <c r="U168" s="346">
        <f t="shared" si="74"/>
        <v>6.1420000000000003</v>
      </c>
      <c r="V168" s="346">
        <f t="shared" si="74"/>
        <v>6.1420000000000003</v>
      </c>
      <c r="W168" s="346">
        <f t="shared" si="74"/>
        <v>6.7759999999999998</v>
      </c>
      <c r="X168" s="346">
        <f t="shared" si="74"/>
        <v>6.7759999999999998</v>
      </c>
      <c r="Y168" s="346">
        <f t="shared" si="74"/>
        <v>6.7759999999999998</v>
      </c>
      <c r="Z168" s="346">
        <f t="shared" si="74"/>
        <v>6.7759999999999998</v>
      </c>
      <c r="AA168" s="346">
        <f t="shared" si="74"/>
        <v>6.7759999999999998</v>
      </c>
      <c r="AB168" s="346">
        <f t="shared" si="74"/>
        <v>6.1479999999999997</v>
      </c>
      <c r="AC168" s="346">
        <f t="shared" si="74"/>
        <v>6.1479999999999997</v>
      </c>
      <c r="AD168" s="346">
        <f t="shared" si="74"/>
        <v>6.1479999999999997</v>
      </c>
      <c r="AE168" s="346">
        <f t="shared" si="74"/>
        <v>6.1479999999999997</v>
      </c>
      <c r="AF168" s="346">
        <f t="shared" si="74"/>
        <v>6.1479999999999997</v>
      </c>
      <c r="AG168" s="346">
        <f t="shared" si="74"/>
        <v>30.175000000000001</v>
      </c>
      <c r="AH168" s="346">
        <f t="shared" si="74"/>
        <v>-15.28</v>
      </c>
      <c r="AI168" s="346">
        <f t="shared" si="74"/>
        <v>-13.109</v>
      </c>
      <c r="AJ168" s="346">
        <f t="shared" si="74"/>
        <v>-15.28</v>
      </c>
      <c r="AK168" s="280">
        <f t="shared" si="74"/>
        <v>0</v>
      </c>
      <c r="AL168" s="346">
        <f t="shared" si="74"/>
        <v>-13.109</v>
      </c>
      <c r="AM168" s="280">
        <f t="shared" si="74"/>
        <v>0</v>
      </c>
      <c r="AN168" s="346">
        <f t="shared" si="74"/>
        <v>-8.1959999999999997</v>
      </c>
      <c r="AO168" s="280">
        <f t="shared" si="74"/>
        <v>0</v>
      </c>
      <c r="AP168" s="268"/>
      <c r="AQ168" s="268"/>
    </row>
    <row r="169" spans="2:43" x14ac:dyDescent="0.25">
      <c r="C169" s="105"/>
      <c r="F169" t="s">
        <v>158</v>
      </c>
      <c r="G169" t="s">
        <v>270</v>
      </c>
      <c r="H169" s="279"/>
      <c r="I169" s="268"/>
      <c r="J169" s="297">
        <f t="shared" ref="J169:J174" si="75">ROUND( J140, $H96)</f>
        <v>0.80600000000000005</v>
      </c>
      <c r="K169" s="297">
        <f t="shared" ref="K169:AO169" si="76">ROUND( K140, $H96)</f>
        <v>0.80600000000000005</v>
      </c>
      <c r="L169" s="297">
        <f t="shared" si="76"/>
        <v>0.78900000000000003</v>
      </c>
      <c r="M169" s="297">
        <f t="shared" si="76"/>
        <v>0.78900000000000003</v>
      </c>
      <c r="N169" s="297">
        <f t="shared" si="76"/>
        <v>0.78900000000000003</v>
      </c>
      <c r="O169" s="297">
        <f t="shared" si="76"/>
        <v>0.78900000000000003</v>
      </c>
      <c r="P169" s="297">
        <f t="shared" si="76"/>
        <v>0.78900000000000003</v>
      </c>
      <c r="Q169" s="297">
        <f t="shared" si="76"/>
        <v>0.78900000000000003</v>
      </c>
      <c r="R169" s="297">
        <f t="shared" si="76"/>
        <v>0.437</v>
      </c>
      <c r="S169" s="297">
        <f t="shared" si="76"/>
        <v>0.437</v>
      </c>
      <c r="T169" s="297">
        <f t="shared" si="76"/>
        <v>0.437</v>
      </c>
      <c r="U169" s="297">
        <f t="shared" si="76"/>
        <v>0.437</v>
      </c>
      <c r="V169" s="297">
        <f t="shared" si="76"/>
        <v>0.437</v>
      </c>
      <c r="W169" s="297">
        <f t="shared" si="76"/>
        <v>0.34200000000000003</v>
      </c>
      <c r="X169" s="297">
        <f t="shared" si="76"/>
        <v>0.34200000000000003</v>
      </c>
      <c r="Y169" s="297">
        <f t="shared" si="76"/>
        <v>0.34200000000000003</v>
      </c>
      <c r="Z169" s="297">
        <f t="shared" si="76"/>
        <v>0.34200000000000003</v>
      </c>
      <c r="AA169" s="297">
        <f t="shared" si="76"/>
        <v>0.34200000000000003</v>
      </c>
      <c r="AB169" s="297">
        <f t="shared" si="76"/>
        <v>0.23599999999999999</v>
      </c>
      <c r="AC169" s="297">
        <f t="shared" si="76"/>
        <v>0.23599999999999999</v>
      </c>
      <c r="AD169" s="297">
        <f t="shared" si="76"/>
        <v>0.23599999999999999</v>
      </c>
      <c r="AE169" s="297">
        <f t="shared" si="76"/>
        <v>0.23599999999999999</v>
      </c>
      <c r="AF169" s="297">
        <f t="shared" si="76"/>
        <v>0.23599999999999999</v>
      </c>
      <c r="AG169" s="297">
        <f t="shared" si="76"/>
        <v>1.6519999999999999</v>
      </c>
      <c r="AH169" s="297">
        <f t="shared" si="76"/>
        <v>-1.2190000000000001</v>
      </c>
      <c r="AI169" s="297">
        <f t="shared" si="76"/>
        <v>-0.97499999999999998</v>
      </c>
      <c r="AJ169" s="297">
        <f t="shared" si="76"/>
        <v>-1.2190000000000001</v>
      </c>
      <c r="AK169" s="294">
        <f t="shared" si="76"/>
        <v>0</v>
      </c>
      <c r="AL169" s="297">
        <f t="shared" si="76"/>
        <v>-0.97499999999999998</v>
      </c>
      <c r="AM169" s="294">
        <f t="shared" si="76"/>
        <v>0</v>
      </c>
      <c r="AN169" s="297">
        <f t="shared" si="76"/>
        <v>-0.41399999999999998</v>
      </c>
      <c r="AO169" s="294">
        <f t="shared" si="76"/>
        <v>0</v>
      </c>
      <c r="AP169" s="268"/>
      <c r="AQ169" s="268"/>
    </row>
    <row r="170" spans="2:43" x14ac:dyDescent="0.25">
      <c r="C170" s="105"/>
      <c r="F170" t="s">
        <v>159</v>
      </c>
      <c r="G170" t="s">
        <v>270</v>
      </c>
      <c r="H170" s="279"/>
      <c r="I170" s="268"/>
      <c r="J170" s="297">
        <f t="shared" si="75"/>
        <v>0.08</v>
      </c>
      <c r="K170" s="297">
        <f t="shared" ref="K170:AO170" si="77">ROUND( K141, $H97)</f>
        <v>0.08</v>
      </c>
      <c r="L170" s="297">
        <f t="shared" si="77"/>
        <v>7.8E-2</v>
      </c>
      <c r="M170" s="297">
        <f t="shared" si="77"/>
        <v>7.8E-2</v>
      </c>
      <c r="N170" s="297">
        <f t="shared" si="77"/>
        <v>7.8E-2</v>
      </c>
      <c r="O170" s="297">
        <f t="shared" si="77"/>
        <v>7.8E-2</v>
      </c>
      <c r="P170" s="297">
        <f t="shared" si="77"/>
        <v>7.8E-2</v>
      </c>
      <c r="Q170" s="297">
        <f t="shared" si="77"/>
        <v>7.8E-2</v>
      </c>
      <c r="R170" s="297">
        <f t="shared" si="77"/>
        <v>4.3999999999999997E-2</v>
      </c>
      <c r="S170" s="297">
        <f t="shared" si="77"/>
        <v>4.3999999999999997E-2</v>
      </c>
      <c r="T170" s="297">
        <f t="shared" si="77"/>
        <v>4.3999999999999997E-2</v>
      </c>
      <c r="U170" s="297">
        <f t="shared" si="77"/>
        <v>4.3999999999999997E-2</v>
      </c>
      <c r="V170" s="297">
        <f t="shared" si="77"/>
        <v>4.3999999999999997E-2</v>
      </c>
      <c r="W170" s="297">
        <f t="shared" si="77"/>
        <v>3.6999999999999998E-2</v>
      </c>
      <c r="X170" s="297">
        <f t="shared" si="77"/>
        <v>3.6999999999999998E-2</v>
      </c>
      <c r="Y170" s="297">
        <f t="shared" si="77"/>
        <v>3.6999999999999998E-2</v>
      </c>
      <c r="Z170" s="297">
        <f t="shared" si="77"/>
        <v>3.6999999999999998E-2</v>
      </c>
      <c r="AA170" s="297">
        <f t="shared" si="77"/>
        <v>3.6999999999999998E-2</v>
      </c>
      <c r="AB170" s="297">
        <f t="shared" si="77"/>
        <v>2.7E-2</v>
      </c>
      <c r="AC170" s="297">
        <f t="shared" si="77"/>
        <v>2.7E-2</v>
      </c>
      <c r="AD170" s="297">
        <f t="shared" si="77"/>
        <v>2.7E-2</v>
      </c>
      <c r="AE170" s="297">
        <f t="shared" si="77"/>
        <v>2.7E-2</v>
      </c>
      <c r="AF170" s="297">
        <f t="shared" si="77"/>
        <v>2.7E-2</v>
      </c>
      <c r="AG170" s="297">
        <f t="shared" si="77"/>
        <v>0.82099999999999995</v>
      </c>
      <c r="AH170" s="297">
        <f t="shared" si="77"/>
        <v>-0.121</v>
      </c>
      <c r="AI170" s="297">
        <f t="shared" si="77"/>
        <v>-9.7000000000000003E-2</v>
      </c>
      <c r="AJ170" s="297">
        <f t="shared" si="77"/>
        <v>-0.121</v>
      </c>
      <c r="AK170" s="294">
        <f t="shared" si="77"/>
        <v>0</v>
      </c>
      <c r="AL170" s="297">
        <f t="shared" si="77"/>
        <v>-9.7000000000000003E-2</v>
      </c>
      <c r="AM170" s="294">
        <f t="shared" si="77"/>
        <v>0</v>
      </c>
      <c r="AN170" s="297">
        <f t="shared" si="77"/>
        <v>-4.4999999999999998E-2</v>
      </c>
      <c r="AO170" s="294">
        <f t="shared" si="77"/>
        <v>0</v>
      </c>
      <c r="AP170" s="268"/>
      <c r="AQ170" s="268"/>
    </row>
    <row r="171" spans="2:43" x14ac:dyDescent="0.25">
      <c r="C171" s="105"/>
      <c r="F171" t="s">
        <v>160</v>
      </c>
      <c r="G171" t="s">
        <v>271</v>
      </c>
      <c r="H171" s="78"/>
      <c r="J171" s="151">
        <f t="shared" si="75"/>
        <v>7.1</v>
      </c>
      <c r="K171" s="151">
        <f t="shared" ref="K171:AO171" si="78">ROUND( K142, $H98)</f>
        <v>0</v>
      </c>
      <c r="L171" s="151">
        <f t="shared" si="78"/>
        <v>7.66</v>
      </c>
      <c r="M171" s="151">
        <f t="shared" si="78"/>
        <v>8.9700000000000006</v>
      </c>
      <c r="N171" s="151">
        <f t="shared" si="78"/>
        <v>12.97</v>
      </c>
      <c r="O171" s="151">
        <f t="shared" si="78"/>
        <v>18.34</v>
      </c>
      <c r="P171" s="151">
        <f t="shared" si="78"/>
        <v>33.61</v>
      </c>
      <c r="Q171" s="151">
        <f t="shared" si="78"/>
        <v>0</v>
      </c>
      <c r="R171" s="151">
        <f t="shared" si="78"/>
        <v>7.6</v>
      </c>
      <c r="S171" s="151">
        <f t="shared" si="78"/>
        <v>56.65</v>
      </c>
      <c r="T171" s="151">
        <f t="shared" si="78"/>
        <v>95.62</v>
      </c>
      <c r="U171" s="151">
        <f t="shared" si="78"/>
        <v>147.51</v>
      </c>
      <c r="V171" s="151">
        <f t="shared" si="78"/>
        <v>317.64</v>
      </c>
      <c r="W171" s="151">
        <f t="shared" si="78"/>
        <v>10.28</v>
      </c>
      <c r="X171" s="151">
        <f t="shared" si="78"/>
        <v>95.3</v>
      </c>
      <c r="Y171" s="151">
        <f t="shared" si="78"/>
        <v>162.86000000000001</v>
      </c>
      <c r="Z171" s="151">
        <f t="shared" si="78"/>
        <v>252.81</v>
      </c>
      <c r="AA171" s="151">
        <f t="shared" si="78"/>
        <v>547.71</v>
      </c>
      <c r="AB171" s="151">
        <f t="shared" si="78"/>
        <v>112.73</v>
      </c>
      <c r="AC171" s="151">
        <f t="shared" si="78"/>
        <v>848.4</v>
      </c>
      <c r="AD171" s="151">
        <f t="shared" si="78"/>
        <v>1810.11</v>
      </c>
      <c r="AE171" s="151">
        <f t="shared" si="78"/>
        <v>3952.13</v>
      </c>
      <c r="AF171" s="151">
        <f t="shared" si="78"/>
        <v>7507.68</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161</v>
      </c>
      <c r="G172" t="s">
        <v>272</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5.14</v>
      </c>
      <c r="S172" s="151">
        <f t="shared" si="79"/>
        <v>5.14</v>
      </c>
      <c r="T172" s="151">
        <f t="shared" si="79"/>
        <v>5.14</v>
      </c>
      <c r="U172" s="151">
        <f t="shared" si="79"/>
        <v>5.14</v>
      </c>
      <c r="V172" s="151">
        <f t="shared" si="79"/>
        <v>5.14</v>
      </c>
      <c r="W172" s="151">
        <f t="shared" si="79"/>
        <v>7.63</v>
      </c>
      <c r="X172" s="151">
        <f t="shared" si="79"/>
        <v>7.63</v>
      </c>
      <c r="Y172" s="151">
        <f t="shared" si="79"/>
        <v>7.63</v>
      </c>
      <c r="Z172" s="151">
        <f t="shared" si="79"/>
        <v>7.63</v>
      </c>
      <c r="AA172" s="151">
        <f t="shared" si="79"/>
        <v>7.63</v>
      </c>
      <c r="AB172" s="151">
        <f t="shared" si="79"/>
        <v>8.6999999999999993</v>
      </c>
      <c r="AC172" s="151">
        <f t="shared" si="79"/>
        <v>8.6999999999999993</v>
      </c>
      <c r="AD172" s="151">
        <f t="shared" si="79"/>
        <v>8.6999999999999993</v>
      </c>
      <c r="AE172" s="151">
        <f t="shared" si="79"/>
        <v>8.6999999999999993</v>
      </c>
      <c r="AF172" s="151">
        <f t="shared" si="79"/>
        <v>8.6999999999999993</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162</v>
      </c>
      <c r="G173" t="s">
        <v>272</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5.14</v>
      </c>
      <c r="S173" s="151">
        <f t="shared" si="80"/>
        <v>5.14</v>
      </c>
      <c r="T173" s="151">
        <f t="shared" si="80"/>
        <v>5.14</v>
      </c>
      <c r="U173" s="151">
        <f t="shared" si="80"/>
        <v>5.14</v>
      </c>
      <c r="V173" s="151">
        <f t="shared" si="80"/>
        <v>5.14</v>
      </c>
      <c r="W173" s="151">
        <f t="shared" si="80"/>
        <v>7.63</v>
      </c>
      <c r="X173" s="151">
        <f t="shared" si="80"/>
        <v>7.63</v>
      </c>
      <c r="Y173" s="151">
        <f t="shared" si="80"/>
        <v>7.63</v>
      </c>
      <c r="Z173" s="151">
        <f t="shared" si="80"/>
        <v>7.63</v>
      </c>
      <c r="AA173" s="151">
        <f t="shared" si="80"/>
        <v>7.63</v>
      </c>
      <c r="AB173" s="151">
        <f t="shared" si="80"/>
        <v>8.6999999999999993</v>
      </c>
      <c r="AC173" s="151">
        <f t="shared" si="80"/>
        <v>8.6999999999999993</v>
      </c>
      <c r="AD173" s="151">
        <f t="shared" si="80"/>
        <v>8.6999999999999993</v>
      </c>
      <c r="AE173" s="151">
        <f t="shared" si="80"/>
        <v>8.6999999999999993</v>
      </c>
      <c r="AF173" s="151">
        <f t="shared" si="80"/>
        <v>8.6999999999999993</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163</v>
      </c>
      <c r="G174" s="96" t="s">
        <v>273</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0.10100000000000001</v>
      </c>
      <c r="S174" s="285">
        <f t="shared" si="81"/>
        <v>0.10100000000000001</v>
      </c>
      <c r="T174" s="285">
        <f t="shared" si="81"/>
        <v>0.10100000000000001</v>
      </c>
      <c r="U174" s="285">
        <f t="shared" si="81"/>
        <v>0.10100000000000001</v>
      </c>
      <c r="V174" s="285">
        <f t="shared" si="81"/>
        <v>0.10100000000000001</v>
      </c>
      <c r="W174" s="285">
        <f t="shared" si="81"/>
        <v>9.6000000000000002E-2</v>
      </c>
      <c r="X174" s="285">
        <f t="shared" si="81"/>
        <v>9.6000000000000002E-2</v>
      </c>
      <c r="Y174" s="285">
        <f t="shared" si="81"/>
        <v>9.6000000000000002E-2</v>
      </c>
      <c r="Z174" s="285">
        <f t="shared" si="81"/>
        <v>9.6000000000000002E-2</v>
      </c>
      <c r="AA174" s="285">
        <f t="shared" si="81"/>
        <v>9.6000000000000002E-2</v>
      </c>
      <c r="AB174" s="285">
        <f t="shared" si="81"/>
        <v>7.9000000000000001E-2</v>
      </c>
      <c r="AC174" s="285">
        <f t="shared" si="81"/>
        <v>7.9000000000000001E-2</v>
      </c>
      <c r="AD174" s="285">
        <f t="shared" si="81"/>
        <v>7.9000000000000001E-2</v>
      </c>
      <c r="AE174" s="285">
        <f t="shared" si="81"/>
        <v>7.9000000000000001E-2</v>
      </c>
      <c r="AF174" s="285">
        <f t="shared" si="81"/>
        <v>7.9000000000000001E-2</v>
      </c>
      <c r="AG174" s="285">
        <f t="shared" si="81"/>
        <v>0</v>
      </c>
      <c r="AH174" s="285">
        <f t="shared" si="81"/>
        <v>0</v>
      </c>
      <c r="AI174" s="285">
        <f t="shared" si="81"/>
        <v>0</v>
      </c>
      <c r="AJ174" s="285">
        <f t="shared" si="81"/>
        <v>0.312</v>
      </c>
      <c r="AK174" s="276">
        <f t="shared" si="81"/>
        <v>0</v>
      </c>
      <c r="AL174" s="285">
        <f t="shared" si="81"/>
        <v>0.224</v>
      </c>
      <c r="AM174" s="276">
        <f t="shared" si="81"/>
        <v>0</v>
      </c>
      <c r="AN174" s="285">
        <f t="shared" si="81"/>
        <v>0.187</v>
      </c>
      <c r="AO174" s="276">
        <f t="shared" si="81"/>
        <v>0</v>
      </c>
      <c r="AP174" s="268"/>
      <c r="AQ174" s="268"/>
    </row>
    <row r="175" spans="2:43" x14ac:dyDescent="0.25">
      <c r="C175" s="105"/>
    </row>
    <row r="176" spans="2:43" x14ac:dyDescent="0.25">
      <c r="B176" s="85" t="s">
        <v>232</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233</v>
      </c>
      <c r="G178" s="6" t="s">
        <v>57</v>
      </c>
      <c r="H178" s="113">
        <f t="array" ref="H178">SUM(IF(ISERROR(H20:AO174), 1))</f>
        <v>0</v>
      </c>
    </row>
    <row r="180" spans="2:43" x14ac:dyDescent="0.25">
      <c r="B180" s="85" t="s">
        <v>108</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xr:uid="{00000000-0004-0000-1900-000000000000}"/>
    <hyperlink ref="AQ9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715</v>
      </c>
    </row>
    <row r="10" spans="1:43" x14ac:dyDescent="0.25">
      <c r="C10" s="94"/>
    </row>
    <row r="11" spans="1:43" x14ac:dyDescent="0.25">
      <c r="B11" s="85" t="s">
        <v>716</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control'!$H$42:$H$65,MATCH($A$1,'Version control'!$F$42:$F$65,0),1)&amp;"-A: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954</v>
      </c>
      <c r="G15" s="347" t="s">
        <v>150</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888</v>
      </c>
      <c r="G17" s="347" t="s">
        <v>150</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246</v>
      </c>
      <c r="I19" t="s">
        <v>155</v>
      </c>
      <c r="AQ19" t="s">
        <v>247</v>
      </c>
    </row>
    <row r="20" spans="3:43" x14ac:dyDescent="0.25">
      <c r="E20" s="75"/>
      <c r="F20" s="86" t="s">
        <v>983</v>
      </c>
    </row>
    <row r="21" spans="3:43" x14ac:dyDescent="0.25">
      <c r="E21" s="75"/>
      <c r="F21" s="86" t="s">
        <v>979</v>
      </c>
    </row>
    <row r="22" spans="3:43" x14ac:dyDescent="0.25">
      <c r="F22" s="116" t="s">
        <v>248</v>
      </c>
      <c r="G22" s="116" t="s">
        <v>208</v>
      </c>
      <c r="H22" s="8">
        <v>0</v>
      </c>
      <c r="I22" s="95"/>
      <c r="J22" s="260">
        <f>INDEX('Volume adjustments'!$J$527:$Y$567,J$17 + 1 + $H22*$H$28, J$15)</f>
        <v>429498.00447633024</v>
      </c>
      <c r="K22" s="260">
        <f>INDEX('Volume adjustments'!$J$527:$Y$567,K$17 + 1 + $H22*$H$28, K$15)</f>
        <v>36.928307828276772</v>
      </c>
      <c r="L22" s="260">
        <f>INDEX('Volume adjustments'!$J$527:$Y$567,L$17 + 1 + $H22*$H$28, L$15)</f>
        <v>50.358703853308725</v>
      </c>
      <c r="M22" s="260">
        <f>INDEX('Volume adjustments'!$J$527:$Y$567,M$17 + 1 + $H22*$H$28, M$15)</f>
        <v>8735.751197250971</v>
      </c>
      <c r="N22" s="260">
        <f>INDEX('Volume adjustments'!$J$527:$Y$567,N$17 + 1 + $H22*$H$28, N$15)</f>
        <v>25769.463264329806</v>
      </c>
      <c r="O22" s="260">
        <f>INDEX('Volume adjustments'!$J$527:$Y$567,O$17 + 1 + $H22*$H$28, O$15)</f>
        <v>21037.956485530522</v>
      </c>
      <c r="P22" s="260">
        <f>INDEX('Volume adjustments'!$J$527:$Y$567,P$17 + 1 + $H22*$H$28, P$15)</f>
        <v>53169.050995237463</v>
      </c>
      <c r="Q22" s="260">
        <f>INDEX('Volume adjustments'!$J$527:$Y$567,Q$17 + 1 + $H22*$H$28, Q$15)</f>
        <v>26.004708483632935</v>
      </c>
      <c r="R22" s="260">
        <f>INDEX('Volume adjustments'!$J$527:$Y$567,R$17 + 1 + $H22*$H$28, R$15)</f>
        <v>125.49138254410158</v>
      </c>
      <c r="S22" s="260">
        <f>INDEX('Volume adjustments'!$J$527:$Y$567,S$17 + 1 + $H22*$H$28, S$15)</f>
        <v>28724.549447405552</v>
      </c>
      <c r="T22" s="260">
        <f>INDEX('Volume adjustments'!$J$527:$Y$567,T$17 + 1 + $H22*$H$28, T$15)</f>
        <v>24851.33203546681</v>
      </c>
      <c r="U22" s="260">
        <f>INDEX('Volume adjustments'!$J$527:$Y$567,U$17 + 1 + $H22*$H$28, U$15)</f>
        <v>17849.611396800741</v>
      </c>
      <c r="V22" s="260">
        <f>INDEX('Volume adjustments'!$J$527:$Y$567,V$17 + 1 + $H22*$H$28, V$15)</f>
        <v>14721.230163139453</v>
      </c>
      <c r="W22" s="260">
        <f>INDEX('Volume adjustments'!$J$527:$Y$567,W$17 + 1 + $H22*$H$28, W$15)</f>
        <v>39.501171005630091</v>
      </c>
      <c r="X22" s="260">
        <f>INDEX('Volume adjustments'!$J$527:$Y$567,X$17 + 1 + $H22*$H$28, X$15)</f>
        <v>2911.3441055235471</v>
      </c>
      <c r="Y22" s="260">
        <f>INDEX('Volume adjustments'!$J$527:$Y$567,Y$17 + 1 + $H22*$H$28, Y$15)</f>
        <v>5338.6479864067196</v>
      </c>
      <c r="Z22" s="260">
        <f>INDEX('Volume adjustments'!$J$527:$Y$567,Z$17 + 1 + $H22*$H$28, Z$15)</f>
        <v>8114.0896127325132</v>
      </c>
      <c r="AA22" s="260">
        <f>INDEX('Volume adjustments'!$J$527:$Y$567,AA$17 + 1 + $H22*$H$28, AA$15)</f>
        <v>23229.064363608362</v>
      </c>
      <c r="AB22" s="260">
        <f>INDEX('Volume adjustments'!$J$527:$Y$567,AB$17 + 1 + $H22*$H$28, AB$15)</f>
        <v>471.94648344763874</v>
      </c>
      <c r="AC22" s="260">
        <f>INDEX('Volume adjustments'!$J$527:$Y$567,AC$17 + 1 + $H22*$H$28, AC$15)</f>
        <v>16762.861996605359</v>
      </c>
      <c r="AD22" s="260">
        <f>INDEX('Volume adjustments'!$J$527:$Y$567,AD$17 + 1 + $H22*$H$28, AD$15)</f>
        <v>30917.080888968274</v>
      </c>
      <c r="AE22" s="260">
        <f>INDEX('Volume adjustments'!$J$527:$Y$567,AE$17 + 1 + $H22*$H$28, AE$15)</f>
        <v>28510.151168283563</v>
      </c>
      <c r="AF22" s="260">
        <f>INDEX('Volume adjustments'!$J$527:$Y$567,AF$17 + 1 + $H22*$H$28, AF$15)</f>
        <v>50008.961611187864</v>
      </c>
      <c r="AG22" s="260">
        <f>INDEX('Volume adjustments'!$J$527:$Y$567,AG$17 + 1 + $H22*$H$28, AG$15)</f>
        <v>2852.3860826192404</v>
      </c>
      <c r="AH22" s="260">
        <f>INDEX('Volume adjustments'!$J$527:$Y$567,AH$17 + 1 + $H22*$H$28, AH$15)</f>
        <v>10587.587865436757</v>
      </c>
      <c r="AI22" s="260">
        <f>INDEX('Volume adjustments'!$J$527:$Y$567,AI$17 + 1 + $H22*$H$28, AI$15)</f>
        <v>1296.193700379747</v>
      </c>
      <c r="AJ22" s="260">
        <f>INDEX('Volume adjustments'!$J$527:$Y$567,AJ$17 + 1 + $H22*$H$28, AJ$15)</f>
        <v>4431.5548953009256</v>
      </c>
      <c r="AK22" s="260">
        <f>INDEX('Volume adjustments'!$J$527:$Y$567,AK$17 + 1 + $H22*$H$28, AK$15)</f>
        <v>0</v>
      </c>
      <c r="AL22" s="260">
        <f>INDEX('Volume adjustments'!$J$527:$Y$567,AL$17 + 1 + $H22*$H$28, AL$15)</f>
        <v>0</v>
      </c>
      <c r="AM22" s="260">
        <f>INDEX('Volume adjustments'!$J$527:$Y$567,AM$17 + 1 + $H22*$H$28, AM$15)</f>
        <v>0</v>
      </c>
      <c r="AN22" s="260">
        <f>INDEX('Volume adjustments'!$J$527:$Y$567,AN$17 + 1 + $H22*$H$28, AN$15)</f>
        <v>57918.120807023566</v>
      </c>
      <c r="AO22" s="260">
        <f>INDEX('Volume adjustments'!$J$527:$Y$567,AO$17 + 1 + $H22*$H$28, AO$15)</f>
        <v>0</v>
      </c>
    </row>
    <row r="23" spans="3:43" x14ac:dyDescent="0.25">
      <c r="E23" s="94"/>
      <c r="F23" s="118" t="s">
        <v>249</v>
      </c>
      <c r="G23" s="118" t="s">
        <v>208</v>
      </c>
      <c r="H23" s="7">
        <v>1</v>
      </c>
      <c r="J23" s="312">
        <f>INDEX('Volume adjustments'!$J$527:$Y$567,J$17 + 1 + $H23*$H$28, J$15)</f>
        <v>2277341.5081239403</v>
      </c>
      <c r="K23" s="312">
        <f>INDEX('Volume adjustments'!$J$527:$Y$567,K$17 + 1 + $H23*$H$28, K$15)</f>
        <v>2889.7541426122689</v>
      </c>
      <c r="L23" s="312">
        <f>INDEX('Volume adjustments'!$J$527:$Y$567,L$17 + 1 + $H23*$H$28, L$15)</f>
        <v>416.84454248674842</v>
      </c>
      <c r="M23" s="312">
        <f>INDEX('Volume adjustments'!$J$527:$Y$567,M$17 + 1 + $H23*$H$28, M$15)</f>
        <v>73574.972435373813</v>
      </c>
      <c r="N23" s="312">
        <f>INDEX('Volume adjustments'!$J$527:$Y$567,N$17 + 1 + $H23*$H$28, N$15)</f>
        <v>217037.72309175745</v>
      </c>
      <c r="O23" s="312">
        <f>INDEX('Volume adjustments'!$J$527:$Y$567,O$17 + 1 + $H23*$H$28, O$15)</f>
        <v>177187.63201573284</v>
      </c>
      <c r="P23" s="312">
        <f>INDEX('Volume adjustments'!$J$527:$Y$567,P$17 + 1 + $H23*$H$28, P$15)</f>
        <v>447804.81644447596</v>
      </c>
      <c r="Q23" s="312">
        <f>INDEX('Volume adjustments'!$J$527:$Y$567,Q$17 + 1 + $H23*$H$28, Q$15)</f>
        <v>1591.5677042444584</v>
      </c>
      <c r="R23" s="312">
        <f>INDEX('Volume adjustments'!$J$527:$Y$567,R$17 + 1 + $H23*$H$28, R$15)</f>
        <v>819.29798175632334</v>
      </c>
      <c r="S23" s="312">
        <f>INDEX('Volume adjustments'!$J$527:$Y$567,S$17 + 1 + $H23*$H$28, S$15)</f>
        <v>204909.67182679847</v>
      </c>
      <c r="T23" s="312">
        <f>INDEX('Volume adjustments'!$J$527:$Y$567,T$17 + 1 + $H23*$H$28, T$15)</f>
        <v>177279.65763815492</v>
      </c>
      <c r="U23" s="312">
        <f>INDEX('Volume adjustments'!$J$527:$Y$567,U$17 + 1 + $H23*$H$28, U$15)</f>
        <v>127332.12822889656</v>
      </c>
      <c r="V23" s="312">
        <f>INDEX('Volume adjustments'!$J$527:$Y$567,V$17 + 1 + $H23*$H$28, V$15)</f>
        <v>105015.48325897694</v>
      </c>
      <c r="W23" s="312">
        <f>INDEX('Volume adjustments'!$J$527:$Y$567,W$17 + 1 + $H23*$H$28, W$15)</f>
        <v>434.30240671719349</v>
      </c>
      <c r="X23" s="312">
        <f>INDEX('Volume adjustments'!$J$527:$Y$567,X$17 + 1 + $H23*$H$28, X$15)</f>
        <v>20771.059895505616</v>
      </c>
      <c r="Y23" s="312">
        <f>INDEX('Volume adjustments'!$J$527:$Y$567,Y$17 + 1 + $H23*$H$28, Y$15)</f>
        <v>38088.722276521541</v>
      </c>
      <c r="Z23" s="312">
        <f>INDEX('Volume adjustments'!$J$527:$Y$567,Z$17 + 1 + $H23*$H$28, Z$15)</f>
        <v>57890.182415677999</v>
      </c>
      <c r="AA23" s="312">
        <f>INDEX('Volume adjustments'!$J$527:$Y$567,AA$17 + 1 + $H23*$H$28, AA$15)</f>
        <v>165728.36110223309</v>
      </c>
      <c r="AB23" s="312">
        <f>INDEX('Volume adjustments'!$J$527:$Y$567,AB$17 + 1 + $H23*$H$28, AB$15)</f>
        <v>7574.7482435674356</v>
      </c>
      <c r="AC23" s="312">
        <f>INDEX('Volume adjustments'!$J$527:$Y$567,AC$17 + 1 + $H23*$H$28, AC$15)</f>
        <v>114767.35735141508</v>
      </c>
      <c r="AD23" s="312">
        <f>INDEX('Volume adjustments'!$J$527:$Y$567,AD$17 + 1 + $H23*$H$28, AD$15)</f>
        <v>211674.57391019422</v>
      </c>
      <c r="AE23" s="312">
        <f>INDEX('Volume adjustments'!$J$527:$Y$567,AE$17 + 1 + $H23*$H$28, AE$15)</f>
        <v>195195.46888448298</v>
      </c>
      <c r="AF23" s="312">
        <f>INDEX('Volume adjustments'!$J$527:$Y$567,AF$17 + 1 + $H23*$H$28, AF$15)</f>
        <v>342387.61669497</v>
      </c>
      <c r="AG23" s="312">
        <f>INDEX('Volume adjustments'!$J$527:$Y$567,AG$17 + 1 + $H23*$H$28, AG$15)</f>
        <v>30353.026811276453</v>
      </c>
      <c r="AH23" s="312">
        <f>INDEX('Volume adjustments'!$J$527:$Y$567,AH$17 + 1 + $H23*$H$28, AH$15)</f>
        <v>116333.97645091746</v>
      </c>
      <c r="AI23" s="312">
        <f>INDEX('Volume adjustments'!$J$527:$Y$567,AI$17 + 1 + $H23*$H$28, AI$15)</f>
        <v>11378.491454160423</v>
      </c>
      <c r="AJ23" s="312">
        <f>INDEX('Volume adjustments'!$J$527:$Y$567,AJ$17 + 1 + $H23*$H$28, AJ$15)</f>
        <v>41911.942901306917</v>
      </c>
      <c r="AK23" s="312">
        <f>INDEX('Volume adjustments'!$J$527:$Y$567,AK$17 + 1 + $H23*$H$28, AK$15)</f>
        <v>0</v>
      </c>
      <c r="AL23" s="312">
        <f>INDEX('Volume adjustments'!$J$527:$Y$567,AL$17 + 1 + $H23*$H$28, AL$15)</f>
        <v>0</v>
      </c>
      <c r="AM23" s="312">
        <f>INDEX('Volume adjustments'!$J$527:$Y$567,AM$17 + 1 + $H23*$H$28, AM$15)</f>
        <v>0</v>
      </c>
      <c r="AN23" s="312">
        <f>INDEX('Volume adjustments'!$J$527:$Y$567,AN$17 + 1 + $H23*$H$28, AN$15)</f>
        <v>316726.54989568843</v>
      </c>
      <c r="AO23" s="312">
        <f>INDEX('Volume adjustments'!$J$527:$Y$567,AO$17 + 1 + $H23*$H$28, AO$15)</f>
        <v>0</v>
      </c>
    </row>
    <row r="24" spans="3:43" x14ac:dyDescent="0.25">
      <c r="E24" s="94"/>
      <c r="F24" s="118" t="s">
        <v>250</v>
      </c>
      <c r="G24" s="118" t="s">
        <v>208</v>
      </c>
      <c r="H24" s="7">
        <v>2</v>
      </c>
      <c r="J24" s="312">
        <f>INDEX('Volume adjustments'!$J$527:$Y$567,J$17 + 1 + $H24*$H$28, J$15)</f>
        <v>2713027.6525349491</v>
      </c>
      <c r="K24" s="312">
        <f>INDEX('Volume adjustments'!$J$527:$Y$567,K$17 + 1 + $H24*$H$28, K$15)</f>
        <v>22694.611658437898</v>
      </c>
      <c r="L24" s="312">
        <f>INDEX('Volume adjustments'!$J$527:$Y$567,L$17 + 1 + $H24*$H$28, L$15)</f>
        <v>418.6875958340014</v>
      </c>
      <c r="M24" s="312">
        <f>INDEX('Volume adjustments'!$J$527:$Y$567,M$17 + 1 + $H24*$H$28, M$15)</f>
        <v>59421.086870513507</v>
      </c>
      <c r="N24" s="312">
        <f>INDEX('Volume adjustments'!$J$527:$Y$567,N$17 + 1 + $H24*$H$28, N$15)</f>
        <v>175285.38538484398</v>
      </c>
      <c r="O24" s="312">
        <f>INDEX('Volume adjustments'!$J$527:$Y$567,O$17 + 1 + $H24*$H$28, O$15)</f>
        <v>143101.40154840745</v>
      </c>
      <c r="P24" s="312">
        <f>INDEX('Volume adjustments'!$J$527:$Y$567,P$17 + 1 + $H24*$H$28, P$15)</f>
        <v>361658.97204180667</v>
      </c>
      <c r="Q24" s="312">
        <f>INDEX('Volume adjustments'!$J$527:$Y$567,Q$17 + 1 + $H24*$H$28, Q$15)</f>
        <v>11266.245993465296</v>
      </c>
      <c r="R24" s="312">
        <f>INDEX('Volume adjustments'!$J$527:$Y$567,R$17 + 1 + $H24*$H$28, R$15)</f>
        <v>993.46137074850367</v>
      </c>
      <c r="S24" s="312">
        <f>INDEX('Volume adjustments'!$J$527:$Y$567,S$17 + 1 + $H24*$H$28, S$15)</f>
        <v>187053.87283772082</v>
      </c>
      <c r="T24" s="312">
        <f>INDEX('Volume adjustments'!$J$527:$Y$567,T$17 + 1 + $H24*$H$28, T$15)</f>
        <v>161831.53406536893</v>
      </c>
      <c r="U24" s="312">
        <f>INDEX('Volume adjustments'!$J$527:$Y$567,U$17 + 1 + $H24*$H$28, U$15)</f>
        <v>116236.42510157697</v>
      </c>
      <c r="V24" s="312">
        <f>INDEX('Volume adjustments'!$J$527:$Y$567,V$17 + 1 + $H24*$H$28, V$15)</f>
        <v>95864.44932731305</v>
      </c>
      <c r="W24" s="312">
        <f>INDEX('Volume adjustments'!$J$527:$Y$567,W$17 + 1 + $H24*$H$28, W$15)</f>
        <v>289.40239347849558</v>
      </c>
      <c r="X24" s="312">
        <f>INDEX('Volume adjustments'!$J$527:$Y$567,X$17 + 1 + $H24*$H$28, X$15)</f>
        <v>21026.992263570053</v>
      </c>
      <c r="Y24" s="312">
        <f>INDEX('Volume adjustments'!$J$527:$Y$567,Y$17 + 1 + $H24*$H$28, Y$15)</f>
        <v>38558.035683628332</v>
      </c>
      <c r="Z24" s="312">
        <f>INDEX('Volume adjustments'!$J$527:$Y$567,Z$17 + 1 + $H24*$H$28, Z$15)</f>
        <v>58603.481185594508</v>
      </c>
      <c r="AA24" s="312">
        <f>INDEX('Volume adjustments'!$J$527:$Y$567,AA$17 + 1 + $H24*$H$28, AA$15)</f>
        <v>167770.39709489379</v>
      </c>
      <c r="AB24" s="312">
        <f>INDEX('Volume adjustments'!$J$527:$Y$567,AB$17 + 1 + $H24*$H$28, AB$15)</f>
        <v>10292.028157480876</v>
      </c>
      <c r="AC24" s="312">
        <f>INDEX('Volume adjustments'!$J$527:$Y$567,AC$17 + 1 + $H24*$H$28, AC$15)</f>
        <v>129314.08575096208</v>
      </c>
      <c r="AD24" s="312">
        <f>INDEX('Volume adjustments'!$J$527:$Y$567,AD$17 + 1 + $H24*$H$28, AD$15)</f>
        <v>238504.26317744018</v>
      </c>
      <c r="AE24" s="312">
        <f>INDEX('Volume adjustments'!$J$527:$Y$567,AE$17 + 1 + $H24*$H$28, AE$15)</f>
        <v>219936.43649246282</v>
      </c>
      <c r="AF24" s="312">
        <f>INDEX('Volume adjustments'!$J$527:$Y$567,AF$17 + 1 + $H24*$H$28, AF$15)</f>
        <v>385785.14524639776</v>
      </c>
      <c r="AG24" s="312">
        <f>INDEX('Volume adjustments'!$J$527:$Y$567,AG$17 + 1 + $H24*$H$28, AG$15)</f>
        <v>65533.820926985551</v>
      </c>
      <c r="AH24" s="312">
        <f>INDEX('Volume adjustments'!$J$527:$Y$567,AH$17 + 1 + $H24*$H$28, AH$15)</f>
        <v>48093.062634059701</v>
      </c>
      <c r="AI24" s="312">
        <f>INDEX('Volume adjustments'!$J$527:$Y$567,AI$17 + 1 + $H24*$H$28, AI$15)</f>
        <v>11582.900696102439</v>
      </c>
      <c r="AJ24" s="312">
        <f>INDEX('Volume adjustments'!$J$527:$Y$567,AJ$17 + 1 + $H24*$H$28, AJ$15)</f>
        <v>30515.320471081926</v>
      </c>
      <c r="AK24" s="312">
        <f>INDEX('Volume adjustments'!$J$527:$Y$567,AK$17 + 1 + $H24*$H$28, AK$15)</f>
        <v>0</v>
      </c>
      <c r="AL24" s="312">
        <f>INDEX('Volume adjustments'!$J$527:$Y$567,AL$17 + 1 + $H24*$H$28, AL$15)</f>
        <v>0</v>
      </c>
      <c r="AM24" s="312">
        <f>INDEX('Volume adjustments'!$J$527:$Y$567,AM$17 + 1 + $H24*$H$28, AM$15)</f>
        <v>0</v>
      </c>
      <c r="AN24" s="312">
        <f>INDEX('Volume adjustments'!$J$527:$Y$567,AN$17 + 1 + $H24*$H$28, AN$15)</f>
        <v>252665.02390971759</v>
      </c>
      <c r="AO24" s="312">
        <f>INDEX('Volume adjustments'!$J$527:$Y$567,AO$17 + 1 + $H24*$H$28, AO$15)</f>
        <v>0</v>
      </c>
    </row>
    <row r="25" spans="3:43" x14ac:dyDescent="0.25">
      <c r="E25" s="94"/>
      <c r="F25" s="118" t="s">
        <v>213</v>
      </c>
      <c r="G25" s="118" t="s">
        <v>213</v>
      </c>
      <c r="H25" s="7">
        <v>3</v>
      </c>
      <c r="J25" s="312">
        <f>INDEX('Volume adjustments'!$J$527:$Y$567,J$17 + 1 + $H25*$H$28, J$15)</f>
        <v>1521199.0698093434</v>
      </c>
      <c r="K25" s="312">
        <f>INDEX('Volume adjustments'!$J$527:$Y$567,K$17 + 1 + $H25*$H$28, K$15)</f>
        <v>0</v>
      </c>
      <c r="L25" s="312">
        <f>INDEX('Volume adjustments'!$J$527:$Y$567,L$17 + 1 + $H25*$H$28, L$15)</f>
        <v>59.653485944506635</v>
      </c>
      <c r="M25" s="312">
        <f>INDEX('Volume adjustments'!$J$527:$Y$567,M$17 + 1 + $H25*$H$28, M$15)</f>
        <v>60221.519816087362</v>
      </c>
      <c r="N25" s="312">
        <f>INDEX('Volume adjustments'!$J$527:$Y$567,N$17 + 1 + $H25*$H$28, N$15)</f>
        <v>43306.077079995252</v>
      </c>
      <c r="O25" s="312">
        <f>INDEX('Volume adjustments'!$J$527:$Y$567,O$17 + 1 + $H25*$H$28, O$15)</f>
        <v>17515.591197828475</v>
      </c>
      <c r="P25" s="312">
        <f>INDEX('Volume adjustments'!$J$527:$Y$567,P$17 + 1 + $H25*$H$28, P$15)</f>
        <v>18241.929816254426</v>
      </c>
      <c r="Q25" s="312">
        <f>INDEX('Volume adjustments'!$J$527:$Y$567,Q$17 + 1 + $H25*$H$28, Q$15)</f>
        <v>0</v>
      </c>
      <c r="R25" s="312">
        <f>INDEX('Volume adjustments'!$J$527:$Y$567,R$17 + 1 + $H25*$H$28, R$15)</f>
        <v>69.143304330549142</v>
      </c>
      <c r="S25" s="312">
        <f>INDEX('Volume adjustments'!$J$527:$Y$567,S$17 + 1 + $H25*$H$28, S$15)</f>
        <v>4798.5149664263536</v>
      </c>
      <c r="T25" s="312">
        <f>INDEX('Volume adjustments'!$J$527:$Y$567,T$17 + 1 + $H25*$H$28, T$15)</f>
        <v>2317.7008524796479</v>
      </c>
      <c r="U25" s="312">
        <f>INDEX('Volume adjustments'!$J$527:$Y$567,U$17 + 1 + $H25*$H$28, U$15)</f>
        <v>1083.1573441211233</v>
      </c>
      <c r="V25" s="312">
        <f>INDEX('Volume adjustments'!$J$527:$Y$567,V$17 + 1 + $H25*$H$28, V$15)</f>
        <v>486.14148515672457</v>
      </c>
      <c r="W25" s="312">
        <f>INDEX('Volume adjustments'!$J$527:$Y$567,W$17 + 1 + $H25*$H$28, W$15)</f>
        <v>11.234604758434388</v>
      </c>
      <c r="X25" s="312">
        <f>INDEX('Volume adjustments'!$J$527:$Y$567,X$17 + 1 + $H25*$H$28, X$15)</f>
        <v>382.30885363765054</v>
      </c>
      <c r="Y25" s="312">
        <f>INDEX('Volume adjustments'!$J$527:$Y$567,Y$17 + 1 + $H25*$H$28, Y$15)</f>
        <v>408.91282025676543</v>
      </c>
      <c r="Z25" s="312">
        <f>INDEX('Volume adjustments'!$J$527:$Y$567,Z$17 + 1 + $H25*$H$28, Z$15)</f>
        <v>383.29418573465477</v>
      </c>
      <c r="AA25" s="312">
        <f>INDEX('Volume adjustments'!$J$527:$Y$567,AA$17 + 1 + $H25*$H$28, AA$15)</f>
        <v>511.38735834520776</v>
      </c>
      <c r="AB25" s="312">
        <f>INDEX('Volume adjustments'!$J$527:$Y$567,AB$17 + 1 + $H25*$H$28, AB$15)</f>
        <v>166.27312445158776</v>
      </c>
      <c r="AC25" s="312">
        <f>INDEX('Volume adjustments'!$J$527:$Y$567,AC$17 + 1 + $H25*$H$28, AC$15)</f>
        <v>398.38278381854622</v>
      </c>
      <c r="AD25" s="312">
        <f>INDEX('Volume adjustments'!$J$527:$Y$567,AD$17 + 1 + $H25*$H$28, AD$15)</f>
        <v>317.74626853961161</v>
      </c>
      <c r="AE25" s="312">
        <f>INDEX('Volume adjustments'!$J$527:$Y$567,AE$17 + 1 + $H25*$H$28, AE$15)</f>
        <v>129.5943995554307</v>
      </c>
      <c r="AF25" s="312">
        <f>INDEX('Volume adjustments'!$J$527:$Y$567,AF$17 + 1 + $H25*$H$28, AF$15)</f>
        <v>114.23506331182409</v>
      </c>
      <c r="AG25" s="312">
        <f>INDEX('Volume adjustments'!$J$527:$Y$567,AG$17 + 1 + $H25*$H$28, AG$15)</f>
        <v>1657</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320.50176836858998</v>
      </c>
      <c r="AO25" s="312">
        <f>INDEX('Volume adjustments'!$J$527:$Y$567,AO$17 + 1 + $H25*$H$28, AO$15)</f>
        <v>0</v>
      </c>
    </row>
    <row r="26" spans="3:43" x14ac:dyDescent="0.25">
      <c r="E26" s="94"/>
      <c r="F26" s="118" t="s">
        <v>251</v>
      </c>
      <c r="G26" s="118" t="s">
        <v>252</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2268.2248972609177</v>
      </c>
      <c r="S26" s="312">
        <f>INDEX('Volume adjustments'!$J$527:$Y$567,S$17 + 1 + $H26*$H$28, S$15)</f>
        <v>213276.84362733067</v>
      </c>
      <c r="T26" s="312">
        <f>INDEX('Volume adjustments'!$J$527:$Y$567,T$17 + 1 + $H26*$H$28, T$15)</f>
        <v>269221.98410561716</v>
      </c>
      <c r="U26" s="312">
        <f>INDEX('Volume adjustments'!$J$527:$Y$567,U$17 + 1 + $H26*$H$28, U$15)</f>
        <v>204025.46814122697</v>
      </c>
      <c r="V26" s="312">
        <f>INDEX('Volume adjustments'!$J$527:$Y$567,V$17 + 1 + $H26*$H$28, V$15)</f>
        <v>176333.7541917249</v>
      </c>
      <c r="W26" s="312">
        <f>INDEX('Volume adjustments'!$J$527:$Y$567,W$17 + 1 + $H26*$H$28, W$15)</f>
        <v>823.52012126469754</v>
      </c>
      <c r="X26" s="312">
        <f>INDEX('Volume adjustments'!$J$527:$Y$567,X$17 + 1 + $H26*$H$28, X$15)</f>
        <v>20797.24763972445</v>
      </c>
      <c r="Y26" s="312">
        <f>INDEX('Volume adjustments'!$J$527:$Y$567,Y$17 + 1 + $H26*$H$28, Y$15)</f>
        <v>50913.793249317838</v>
      </c>
      <c r="Z26" s="312">
        <f>INDEX('Volume adjustments'!$J$527:$Y$567,Z$17 + 1 + $H26*$H$28, Z$15)</f>
        <v>78470.146371952724</v>
      </c>
      <c r="AA26" s="312">
        <f>INDEX('Volume adjustments'!$J$527:$Y$567,AA$17 + 1 + $H26*$H$28, AA$15)</f>
        <v>223136.31397896013</v>
      </c>
      <c r="AB26" s="312">
        <f>INDEX('Volume adjustments'!$J$527:$Y$567,AB$17 + 1 + $H26*$H$28, AB$15)</f>
        <v>29704.539007986918</v>
      </c>
      <c r="AC26" s="312">
        <f>INDEX('Volume adjustments'!$J$527:$Y$567,AC$17 + 1 + $H26*$H$28, AC$15)</f>
        <v>110180.2301965691</v>
      </c>
      <c r="AD26" s="312">
        <f>INDEX('Volume adjustments'!$J$527:$Y$567,AD$17 + 1 + $H26*$H$28, AD$15)</f>
        <v>230230.59745152827</v>
      </c>
      <c r="AE26" s="312">
        <f>INDEX('Volume adjustments'!$J$527:$Y$567,AE$17 + 1 + $H26*$H$28, AE$15)</f>
        <v>186602.07719441602</v>
      </c>
      <c r="AF26" s="312">
        <f>INDEX('Volume adjustments'!$J$527:$Y$567,AF$17 + 1 + $H26*$H$28, AF$15)</f>
        <v>414069.42583366984</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253</v>
      </c>
      <c r="G27" s="118" t="s">
        <v>252</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193.55191256830602</v>
      </c>
      <c r="S27" s="312">
        <f>INDEX('Volume adjustments'!$J$527:$Y$567,S$17 + 1 + $H27*$H$28, S$15)</f>
        <v>6738.1077126657474</v>
      </c>
      <c r="T27" s="312">
        <f>INDEX('Volume adjustments'!$J$527:$Y$567,T$17 + 1 + $H27*$H$28, T$15)</f>
        <v>8505.5962788487686</v>
      </c>
      <c r="U27" s="312">
        <f>INDEX('Volume adjustments'!$J$527:$Y$567,U$17 + 1 + $H27*$H$28, U$15)</f>
        <v>6445.8267343115913</v>
      </c>
      <c r="V27" s="312">
        <f>INDEX('Volume adjustments'!$J$527:$Y$567,V$17 + 1 + $H27*$H$28, V$15)</f>
        <v>5570.9556129717103</v>
      </c>
      <c r="W27" s="312">
        <f>INDEX('Volume adjustments'!$J$527:$Y$567,W$17 + 1 + $H27*$H$28, W$15)</f>
        <v>66.306010928961754</v>
      </c>
      <c r="X27" s="312">
        <f>INDEX('Volume adjustments'!$J$527:$Y$567,X$17 + 1 + $H27*$H$28, X$15)</f>
        <v>243.38073583802102</v>
      </c>
      <c r="Y27" s="312">
        <f>INDEX('Volume adjustments'!$J$527:$Y$567,Y$17 + 1 + $H27*$H$28, Y$15)</f>
        <v>595.82097977499575</v>
      </c>
      <c r="Z27" s="312">
        <f>INDEX('Volume adjustments'!$J$527:$Y$567,Z$17 + 1 + $H27*$H$28, Z$15)</f>
        <v>918.3004547603739</v>
      </c>
      <c r="AA27" s="312">
        <f>INDEX('Volume adjustments'!$J$527:$Y$567,AA$17 + 1 + $H27*$H$28, AA$15)</f>
        <v>2611.2628569490134</v>
      </c>
      <c r="AB27" s="312">
        <f>INDEX('Volume adjustments'!$J$527:$Y$567,AB$17 + 1 + $H27*$H$28, AB$15)</f>
        <v>7327.4153005464477</v>
      </c>
      <c r="AC27" s="312">
        <f>INDEX('Volume adjustments'!$J$527:$Y$567,AC$17 + 1 + $H27*$H$28, AC$15)</f>
        <v>908.32726340729596</v>
      </c>
      <c r="AD27" s="312">
        <f>INDEX('Volume adjustments'!$J$527:$Y$567,AD$17 + 1 + $H27*$H$28, AD$15)</f>
        <v>1898.0240662293093</v>
      </c>
      <c r="AE27" s="312">
        <f>INDEX('Volume adjustments'!$J$527:$Y$567,AE$17 + 1 + $H27*$H$28, AE$15)</f>
        <v>1538.3499727830376</v>
      </c>
      <c r="AF27" s="312">
        <f>INDEX('Volume adjustments'!$J$527:$Y$567,AF$17 + 1 + $H27*$H$28, AF$15)</f>
        <v>3413.5937795475702</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254</v>
      </c>
      <c r="G28" s="120" t="s">
        <v>255</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439.04600000000005</v>
      </c>
      <c r="S28" s="259">
        <f>INDEX('Volume adjustments'!$J$527:$Y$567,S$17 + 1 + $H28*$H$28, S$15)</f>
        <v>33026.349881135131</v>
      </c>
      <c r="T28" s="259">
        <f>INDEX('Volume adjustments'!$J$527:$Y$567,T$17 + 1 + $H28*$H$28, T$15)</f>
        <v>28573.077823844527</v>
      </c>
      <c r="U28" s="259">
        <f>INDEX('Volume adjustments'!$J$527:$Y$567,U$17 + 1 + $H28*$H$28, U$15)</f>
        <v>20522.776599592027</v>
      </c>
      <c r="V28" s="259">
        <f>INDEX('Volume adjustments'!$J$527:$Y$567,V$17 + 1 + $H28*$H$28, V$15)</f>
        <v>16925.887695428311</v>
      </c>
      <c r="W28" s="259">
        <f>INDEX('Volume adjustments'!$J$527:$Y$567,W$17 + 1 + $H28*$H$28, W$15)</f>
        <v>101.444</v>
      </c>
      <c r="X28" s="259">
        <f>INDEX('Volume adjustments'!$J$527:$Y$567,X$17 + 1 + $H28*$H$28, X$15)</f>
        <v>4054.4751424410956</v>
      </c>
      <c r="Y28" s="259">
        <f>INDEX('Volume adjustments'!$J$527:$Y$567,Y$17 + 1 + $H28*$H$28, Y$15)</f>
        <v>7434.8530337112988</v>
      </c>
      <c r="Z28" s="259">
        <f>INDEX('Volume adjustments'!$J$527:$Y$567,Z$17 + 1 + $H28*$H$28, Z$15)</f>
        <v>11300.063972495396</v>
      </c>
      <c r="AA28" s="259">
        <f>INDEX('Volume adjustments'!$J$527:$Y$567,AA$17 + 1 + $H28*$H$28, AA$15)</f>
        <v>32349.890851352215</v>
      </c>
      <c r="AB28" s="259">
        <f>INDEX('Volume adjustments'!$J$527:$Y$567,AB$17 + 1 + $H28*$H$28, AB$15)</f>
        <v>5273.9209999999994</v>
      </c>
      <c r="AC28" s="259">
        <f>INDEX('Volume adjustments'!$J$527:$Y$567,AC$17 + 1 + $H28*$H$28, AC$15)</f>
        <v>18597.524525406883</v>
      </c>
      <c r="AD28" s="259">
        <f>INDEX('Volume adjustments'!$J$527:$Y$567,AD$17 + 1 + $H28*$H$28, AD$15)</f>
        <v>34300.895050201761</v>
      </c>
      <c r="AE28" s="259">
        <f>INDEX('Volume adjustments'!$J$527:$Y$567,AE$17 + 1 + $H28*$H$28, AE$15)</f>
        <v>31630.531569286057</v>
      </c>
      <c r="AF28" s="259">
        <f>INDEX('Volume adjustments'!$J$527:$Y$567,AF$17 + 1 + $H28*$H$28, AF$15)</f>
        <v>55482.344855105308</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5802.6510000000007</v>
      </c>
      <c r="AK28" s="259">
        <f>INDEX('Volume adjustments'!$J$527:$Y$567,AK$17 + 1 + $H28*$H$28, AK$15)</f>
        <v>0</v>
      </c>
      <c r="AL28" s="259">
        <f>INDEX('Volume adjustments'!$J$527:$Y$567,AL$17 + 1 + $H28*$H$28, AL$15)</f>
        <v>0</v>
      </c>
      <c r="AM28" s="259">
        <f>INDEX('Volume adjustments'!$J$527:$Y$567,AM$17 + 1 + $H28*$H$28, AM$15)</f>
        <v>0</v>
      </c>
      <c r="AN28" s="259">
        <f>INDEX('Volume adjustments'!$J$527:$Y$567,AN$17 + 1 + $H28*$H$28, AN$15)</f>
        <v>7364.4659999999994</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256</v>
      </c>
      <c r="F30" s="129"/>
      <c r="G30" s="129"/>
      <c r="I30" t="s">
        <v>155</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247</v>
      </c>
    </row>
    <row r="31" spans="3:43" x14ac:dyDescent="0.25">
      <c r="E31" s="75"/>
      <c r="F31" s="86" t="s">
        <v>983</v>
      </c>
    </row>
    <row r="32" spans="3:43" x14ac:dyDescent="0.25">
      <c r="E32" s="75"/>
      <c r="F32" s="353" t="s">
        <v>979</v>
      </c>
      <c r="G32" s="96"/>
    </row>
    <row r="33" spans="5:43" x14ac:dyDescent="0.25">
      <c r="F33" s="118" t="s">
        <v>248</v>
      </c>
      <c r="G33" s="118" t="s">
        <v>208</v>
      </c>
      <c r="H33" s="8">
        <v>0</v>
      </c>
      <c r="I33" s="95"/>
      <c r="J33" s="260">
        <f>INDEX('Volume adjustments'!$J$571:$Y$611,J$17 + 1 + $H33*$H$39, J$15)</f>
        <v>5009.561936578516</v>
      </c>
      <c r="K33" s="260">
        <f>INDEX('Volume adjustments'!$J$571:$Y$611,K$17 + 1 + $H33*$H$39, K$15)</f>
        <v>0</v>
      </c>
      <c r="L33" s="260">
        <f>INDEX('Volume adjustments'!$J$571:$Y$611,L$17 + 1 + $H33*$H$39, L$15)</f>
        <v>50.018702202795161</v>
      </c>
      <c r="M33" s="260">
        <f>INDEX('Volume adjustments'!$J$571:$Y$611,M$17 + 1 + $H33*$H$39, M$15)</f>
        <v>23.034454520968403</v>
      </c>
      <c r="N33" s="260">
        <f>INDEX('Volume adjustments'!$J$571:$Y$611,N$17 + 1 + $H33*$H$39, N$15)</f>
        <v>19.461345814514374</v>
      </c>
      <c r="O33" s="260">
        <f>INDEX('Volume adjustments'!$J$571:$Y$611,O$17 + 1 + $H33*$H$39, O$15)</f>
        <v>35.556670499308211</v>
      </c>
      <c r="P33" s="260">
        <f>INDEX('Volume adjustments'!$J$571:$Y$611,P$17 + 1 + $H33*$H$39, P$15)</f>
        <v>143.39996181803627</v>
      </c>
      <c r="Q33" s="260">
        <f>INDEX('Volume adjustments'!$J$571:$Y$611,Q$17 + 1 + $H33*$H$39, Q$15)</f>
        <v>0</v>
      </c>
      <c r="R33" s="260">
        <f>INDEX('Volume adjustments'!$J$571:$Y$611,R$17 + 1 + $H33*$H$39, R$15)</f>
        <v>0</v>
      </c>
      <c r="S33" s="260">
        <f>INDEX('Volume adjustments'!$J$571:$Y$611,S$17 + 1 + $H33*$H$39, S$15)</f>
        <v>49.862711264564581</v>
      </c>
      <c r="T33" s="260">
        <f>INDEX('Volume adjustments'!$J$571:$Y$611,T$17 + 1 + $H33*$H$39, T$15)</f>
        <v>236.29618899806331</v>
      </c>
      <c r="U33" s="260">
        <f>INDEX('Volume adjustments'!$J$571:$Y$611,U$17 + 1 + $H33*$H$39, U$15)</f>
        <v>464.90920282181202</v>
      </c>
      <c r="V33" s="260">
        <f>INDEX('Volume adjustments'!$J$571:$Y$611,V$17 + 1 + $H33*$H$39, V$15)</f>
        <v>307.42897457873391</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1.9402031056287485</v>
      </c>
      <c r="AH33" s="260">
        <f>INDEX('Volume adjustments'!$J$571:$Y$611,AH$17 + 1 + $H33*$H$39, AH$15)</f>
        <v>145.32512484445286</v>
      </c>
      <c r="AI33" s="260">
        <f>INDEX('Volume adjustments'!$J$571:$Y$611,AI$17 + 1 + $H33*$H$39, AI$15)</f>
        <v>0</v>
      </c>
      <c r="AJ33" s="260">
        <f>INDEX('Volume adjustments'!$J$571:$Y$611,AJ$17 + 1 + $H33*$H$39, AJ$15)</f>
        <v>5.0228258684195506</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249</v>
      </c>
      <c r="G34" s="118" t="s">
        <v>208</v>
      </c>
      <c r="H34" s="7">
        <v>1</v>
      </c>
      <c r="J34" s="312">
        <f>INDEX('Volume adjustments'!$J$571:$Y$611,J$17 + 1 + $H34*$H$39, J$15)</f>
        <v>26428.293129180023</v>
      </c>
      <c r="K34" s="312">
        <f>INDEX('Volume adjustments'!$J$571:$Y$611,K$17 + 1 + $H34*$H$39, K$15)</f>
        <v>0</v>
      </c>
      <c r="L34" s="312">
        <f>INDEX('Volume adjustments'!$J$571:$Y$611,L$17 + 1 + $H34*$H$39, L$15)</f>
        <v>446.54394615532738</v>
      </c>
      <c r="M34" s="312">
        <f>INDEX('Volume adjustments'!$J$571:$Y$611,M$17 + 1 + $H34*$H$39, M$15)</f>
        <v>180.53231818517546</v>
      </c>
      <c r="N34" s="312">
        <f>INDEX('Volume adjustments'!$J$571:$Y$611,N$17 + 1 + $H34*$H$39, N$15)</f>
        <v>169.52238477196778</v>
      </c>
      <c r="O34" s="312">
        <f>INDEX('Volume adjustments'!$J$571:$Y$611,O$17 + 1 + $H34*$H$39, O$15)</f>
        <v>299.01499334835563</v>
      </c>
      <c r="P34" s="312">
        <f>INDEX('Volume adjustments'!$J$571:$Y$611,P$17 + 1 + $H34*$H$39, P$15)</f>
        <v>1227.3135094812021</v>
      </c>
      <c r="Q34" s="312">
        <f>INDEX('Volume adjustments'!$J$571:$Y$611,Q$17 + 1 + $H34*$H$39, Q$15)</f>
        <v>0</v>
      </c>
      <c r="R34" s="312">
        <f>INDEX('Volume adjustments'!$J$571:$Y$611,R$17 + 1 + $H34*$H$39, R$15)</f>
        <v>0</v>
      </c>
      <c r="S34" s="312">
        <f>INDEX('Volume adjustments'!$J$571:$Y$611,S$17 + 1 + $H34*$H$39, S$15)</f>
        <v>376.84059290710013</v>
      </c>
      <c r="T34" s="312">
        <f>INDEX('Volume adjustments'!$J$571:$Y$611,T$17 + 1 + $H34*$H$39, T$15)</f>
        <v>1647.665928148374</v>
      </c>
      <c r="U34" s="312">
        <f>INDEX('Volume adjustments'!$J$571:$Y$611,U$17 + 1 + $H34*$H$39, U$15)</f>
        <v>3223.5102845475449</v>
      </c>
      <c r="V34" s="312">
        <f>INDEX('Volume adjustments'!$J$571:$Y$611,V$17 + 1 + $H34*$H$39, V$15)</f>
        <v>2030.8747481892758</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21.14065363266138</v>
      </c>
      <c r="AH34" s="312">
        <f>INDEX('Volume adjustments'!$J$571:$Y$611,AH$17 + 1 + $H34*$H$39, AH$15)</f>
        <v>1495.6729981168003</v>
      </c>
      <c r="AI34" s="312">
        <f>INDEX('Volume adjustments'!$J$571:$Y$611,AI$17 + 1 + $H34*$H$39, AI$15)</f>
        <v>0</v>
      </c>
      <c r="AJ34" s="312">
        <f>INDEX('Volume adjustments'!$J$571:$Y$611,AJ$17 + 1 + $H34*$H$39, AJ$15)</f>
        <v>51.732406322701706</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250</v>
      </c>
      <c r="G35" s="118" t="s">
        <v>208</v>
      </c>
      <c r="H35" s="7">
        <v>2</v>
      </c>
      <c r="J35" s="312">
        <f>INDEX('Volume adjustments'!$J$571:$Y$611,J$17 + 1 + $H35*$H$39, J$15)</f>
        <v>28347.544883023802</v>
      </c>
      <c r="K35" s="312">
        <f>INDEX('Volume adjustments'!$J$571:$Y$611,K$17 + 1 + $H35*$H$39, K$15)</f>
        <v>0</v>
      </c>
      <c r="L35" s="312">
        <f>INDEX('Volume adjustments'!$J$571:$Y$611,L$17 + 1 + $H35*$H$39, L$15)</f>
        <v>317.74771534502293</v>
      </c>
      <c r="M35" s="312">
        <f>INDEX('Volume adjustments'!$J$571:$Y$611,M$17 + 1 + $H35*$H$39, M$15)</f>
        <v>140.11924237600525</v>
      </c>
      <c r="N35" s="312">
        <f>INDEX('Volume adjustments'!$J$571:$Y$611,N$17 + 1 + $H35*$H$39, N$15)</f>
        <v>125.96825494237993</v>
      </c>
      <c r="O35" s="312">
        <f>INDEX('Volume adjustments'!$J$571:$Y$611,O$17 + 1 + $H35*$H$39, O$15)</f>
        <v>211.99680996545302</v>
      </c>
      <c r="P35" s="312">
        <f>INDEX('Volume adjustments'!$J$571:$Y$611,P$17 + 1 + $H35*$H$39, P$15)</f>
        <v>923.18584150417723</v>
      </c>
      <c r="Q35" s="312">
        <f>INDEX('Volume adjustments'!$J$571:$Y$611,Q$17 + 1 + $H35*$H$39, Q$15)</f>
        <v>0</v>
      </c>
      <c r="R35" s="312">
        <f>INDEX('Volume adjustments'!$J$571:$Y$611,R$17 + 1 + $H35*$H$39, R$15)</f>
        <v>0</v>
      </c>
      <c r="S35" s="312">
        <f>INDEX('Volume adjustments'!$J$571:$Y$611,S$17 + 1 + $H35*$H$39, S$15)</f>
        <v>349.01530778948353</v>
      </c>
      <c r="T35" s="312">
        <f>INDEX('Volume adjustments'!$J$571:$Y$611,T$17 + 1 + $H35*$H$39, T$15)</f>
        <v>1250.6362636885997</v>
      </c>
      <c r="U35" s="312">
        <f>INDEX('Volume adjustments'!$J$571:$Y$611,U$17 + 1 + $H35*$H$39, U$15)</f>
        <v>1680.7995411231332</v>
      </c>
      <c r="V35" s="312">
        <f>INDEX('Volume adjustments'!$J$571:$Y$611,V$17 + 1 + $H35*$H$39, V$15)</f>
        <v>1647.1769874933709</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112.2474972102397</v>
      </c>
      <c r="AH35" s="312">
        <f>INDEX('Volume adjustments'!$J$571:$Y$611,AH$17 + 1 + $H35*$H$39, AH$15)</f>
        <v>617.57032877021857</v>
      </c>
      <c r="AI35" s="312">
        <f>INDEX('Volume adjustments'!$J$571:$Y$611,AI$17 + 1 + $H35*$H$39, AI$15)</f>
        <v>0</v>
      </c>
      <c r="AJ35" s="312">
        <f>INDEX('Volume adjustments'!$J$571:$Y$611,AJ$17 + 1 + $H35*$H$39, AJ$15)</f>
        <v>23.479247066598283</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213</v>
      </c>
      <c r="G36" s="118" t="s">
        <v>213</v>
      </c>
      <c r="H36" s="7">
        <v>3</v>
      </c>
      <c r="J36" s="312">
        <f>INDEX('Volume adjustments'!$J$571:$Y$611,J$17 + 1 + $H36*$H$39, J$15)</f>
        <v>21273.515194887394</v>
      </c>
      <c r="K36" s="312">
        <f>INDEX('Volume adjustments'!$J$571:$Y$611,K$17 + 1 + $H36*$H$39, K$15)</f>
        <v>0</v>
      </c>
      <c r="L36" s="312">
        <f>INDEX('Volume adjustments'!$J$571:$Y$611,L$17 + 1 + $H36*$H$39, L$15)</f>
        <v>129.78707548677909</v>
      </c>
      <c r="M36" s="312">
        <f>INDEX('Volume adjustments'!$J$571:$Y$611,M$17 + 1 + $H36*$H$39, M$15)</f>
        <v>98.946582301801897</v>
      </c>
      <c r="N36" s="312">
        <f>INDEX('Volume adjustments'!$J$571:$Y$611,N$17 + 1 + $H36*$H$39, N$15)</f>
        <v>57.82592472183228</v>
      </c>
      <c r="O36" s="312">
        <f>INDEX('Volume adjustments'!$J$571:$Y$611,O$17 + 1 + $H36*$H$39, O$15)</f>
        <v>104.08666449929808</v>
      </c>
      <c r="P36" s="312">
        <f>INDEX('Volume adjustments'!$J$571:$Y$611,P$17 + 1 + $H36*$H$39, P$15)</f>
        <v>124.64699328928289</v>
      </c>
      <c r="Q36" s="312">
        <f>INDEX('Volume adjustments'!$J$571:$Y$611,Q$17 + 1 + $H36*$H$39, Q$15)</f>
        <v>0</v>
      </c>
      <c r="R36" s="312">
        <f>INDEX('Volume adjustments'!$J$571:$Y$611,R$17 + 1 + $H36*$H$39, R$15)</f>
        <v>0</v>
      </c>
      <c r="S36" s="312">
        <f>INDEX('Volume adjustments'!$J$571:$Y$611,S$17 + 1 + $H36*$H$39, S$15)</f>
        <v>19.275308240610748</v>
      </c>
      <c r="T36" s="312">
        <f>INDEX('Volume adjustments'!$J$571:$Y$611,T$17 + 1 + $H36*$H$39, T$15)</f>
        <v>55.255883623084188</v>
      </c>
      <c r="U36" s="312">
        <f>INDEX('Volume adjustments'!$J$571:$Y$611,U$17 + 1 + $H36*$H$39, U$15)</f>
        <v>73.24617131432089</v>
      </c>
      <c r="V36" s="312">
        <f>INDEX('Volume adjustments'!$J$571:$Y$611,V$17 + 1 + $H36*$H$39, V$15)</f>
        <v>14.135226043114551</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80.95629461056518</v>
      </c>
      <c r="AH36" s="312">
        <f>INDEX('Volume adjustments'!$J$571:$Y$611,AH$17 + 1 + $H36*$H$39, AH$15)</f>
        <v>0</v>
      </c>
      <c r="AI36" s="312">
        <f>INDEX('Volume adjustments'!$J$571:$Y$611,AI$17 + 1 + $H36*$H$39, AI$15)</f>
        <v>0</v>
      </c>
      <c r="AJ36" s="312">
        <f>INDEX('Volume adjustments'!$J$571:$Y$611,AJ$17 + 1 + $H36*$H$39, AJ$15)</f>
        <v>1.2850205493740503</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251</v>
      </c>
      <c r="G37" s="118" t="s">
        <v>252</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1368.5468850833636</v>
      </c>
      <c r="T37" s="312">
        <f>INDEX('Volume adjustments'!$J$571:$Y$611,T$17 + 1 + $H37*$H$39, T$15)</f>
        <v>6736.0777198187743</v>
      </c>
      <c r="U37" s="312">
        <f>INDEX('Volume adjustments'!$J$571:$Y$611,U$17 + 1 + $H37*$H$39, U$15)</f>
        <v>13099.499480319068</v>
      </c>
      <c r="V37" s="312">
        <f>INDEX('Volume adjustments'!$J$571:$Y$611,V$17 + 1 + $H37*$H$39, V$15)</f>
        <v>6065.2969930455183</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253</v>
      </c>
      <c r="G38" s="118" t="s">
        <v>252</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47.193077345640631</v>
      </c>
      <c r="T38" s="312">
        <f>INDEX('Volume adjustments'!$J$571:$Y$611,T$17 + 1 + $H38*$H$39, T$15)</f>
        <v>6.2940381216252854</v>
      </c>
      <c r="U38" s="312">
        <f>INDEX('Volume adjustments'!$J$571:$Y$611,U$17 + 1 + $H38*$H$39, U$15)</f>
        <v>77.88891118914691</v>
      </c>
      <c r="V38" s="312">
        <f>INDEX('Volume adjustments'!$J$571:$Y$611,V$17 + 1 + $H38*$H$39, V$15)</f>
        <v>3.3056556766634309</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254</v>
      </c>
      <c r="G39" s="120" t="s">
        <v>255</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100.24690465152386</v>
      </c>
      <c r="T39" s="259">
        <f>INDEX('Volume adjustments'!$J$571:$Y$611,T$17 + 1 + $H39*$H$39, T$15)</f>
        <v>396.92456096931852</v>
      </c>
      <c r="U39" s="259">
        <f>INDEX('Volume adjustments'!$J$571:$Y$611,U$17 + 1 + $H39*$H$39, U$15)</f>
        <v>274.62998398677485</v>
      </c>
      <c r="V39" s="259">
        <f>INDEX('Volume adjustments'!$J$571:$Y$611,V$17 + 1 + $H39*$H$39, V$15)</f>
        <v>181.76915770842257</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4.4468923790347121</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257</v>
      </c>
      <c r="F41" s="129"/>
      <c r="G41" s="129"/>
      <c r="I41" t="s">
        <v>155</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247</v>
      </c>
    </row>
    <row r="42" spans="5:43" x14ac:dyDescent="0.25">
      <c r="E42" s="75"/>
      <c r="F42" s="86" t="s">
        <v>983</v>
      </c>
    </row>
    <row r="43" spans="5:43" x14ac:dyDescent="0.25">
      <c r="E43" s="75"/>
      <c r="F43" s="353" t="s">
        <v>979</v>
      </c>
      <c r="G43" s="96"/>
    </row>
    <row r="44" spans="5:43" x14ac:dyDescent="0.25">
      <c r="E44" s="94"/>
      <c r="F44" s="118" t="s">
        <v>248</v>
      </c>
      <c r="G44" s="118" t="s">
        <v>208</v>
      </c>
      <c r="H44" s="8">
        <v>0</v>
      </c>
      <c r="I44" s="95"/>
      <c r="J44" s="260">
        <f>INDEX('Volume adjustments'!$J$615:$Y$655,J$17 + 1 + $H44*$H$50, J$15)</f>
        <v>15806.920141223518</v>
      </c>
      <c r="K44" s="260">
        <f>INDEX('Volume adjustments'!$J$615:$Y$655,K$17 + 1 + $H44*$H$50, K$15)</f>
        <v>0</v>
      </c>
      <c r="L44" s="260">
        <f>INDEX('Volume adjustments'!$J$615:$Y$655,L$17 + 1 + $H44*$H$50, L$15)</f>
        <v>75.768036304895688</v>
      </c>
      <c r="M44" s="260">
        <f>INDEX('Volume adjustments'!$J$615:$Y$655,M$17 + 1 + $H44*$H$50, M$15)</f>
        <v>221.0976401507119</v>
      </c>
      <c r="N44" s="260">
        <f>INDEX('Volume adjustments'!$J$615:$Y$655,N$17 + 1 + $H44*$H$50, N$15)</f>
        <v>228.87620453840037</v>
      </c>
      <c r="O44" s="260">
        <f>INDEX('Volume adjustments'!$J$615:$Y$655,O$17 + 1 + $H44*$H$50, O$15)</f>
        <v>211.18781617334031</v>
      </c>
      <c r="P44" s="260">
        <f>INDEX('Volume adjustments'!$J$615:$Y$655,P$17 + 1 + $H44*$H$50, P$15)</f>
        <v>544.94308149188896</v>
      </c>
      <c r="Q44" s="260">
        <f>INDEX('Volume adjustments'!$J$615:$Y$655,Q$17 + 1 + $H44*$H$50, Q$15)</f>
        <v>0</v>
      </c>
      <c r="R44" s="260">
        <f>INDEX('Volume adjustments'!$J$615:$Y$655,R$17 + 1 + $H44*$H$50, R$15)</f>
        <v>10.084379144733067</v>
      </c>
      <c r="S44" s="260">
        <f>INDEX('Volume adjustments'!$J$615:$Y$655,S$17 + 1 + $H44*$H$50, S$15)</f>
        <v>532.64400981853669</v>
      </c>
      <c r="T44" s="260">
        <f>INDEX('Volume adjustments'!$J$615:$Y$655,T$17 + 1 + $H44*$H$50, T$15)</f>
        <v>1286.2864693358279</v>
      </c>
      <c r="U44" s="260">
        <f>INDEX('Volume adjustments'!$J$615:$Y$655,U$17 + 1 + $H44*$H$50, U$15)</f>
        <v>971.62832438512078</v>
      </c>
      <c r="V44" s="260">
        <f>INDEX('Volume adjustments'!$J$615:$Y$655,V$17 + 1 + $H44*$H$50, V$15)</f>
        <v>5760.9095884408171</v>
      </c>
      <c r="W44" s="260">
        <f>INDEX('Volume adjustments'!$J$615:$Y$655,W$17 + 1 + $H44*$H$50, W$15)</f>
        <v>0</v>
      </c>
      <c r="X44" s="260">
        <f>INDEX('Volume adjustments'!$J$615:$Y$655,X$17 + 1 + $H44*$H$50, X$15)</f>
        <v>0</v>
      </c>
      <c r="Y44" s="260">
        <f>INDEX('Volume adjustments'!$J$615:$Y$655,Y$17 + 1 + $H44*$H$50, Y$15)</f>
        <v>0.8830231608691691</v>
      </c>
      <c r="Z44" s="260">
        <f>INDEX('Volume adjustments'!$J$615:$Y$655,Z$17 + 1 + $H44*$H$50, Z$15)</f>
        <v>53.419328036461323</v>
      </c>
      <c r="AA44" s="260">
        <f>INDEX('Volume adjustments'!$J$615:$Y$655,AA$17 + 1 + $H44*$H$50, AA$15)</f>
        <v>2288.9188811631361</v>
      </c>
      <c r="AB44" s="260">
        <f>INDEX('Volume adjustments'!$J$615:$Y$655,AB$17 + 1 + $H44*$H$50, AB$15)</f>
        <v>0</v>
      </c>
      <c r="AC44" s="260">
        <f>INDEX('Volume adjustments'!$J$615:$Y$655,AC$17 + 1 + $H44*$H$50, AC$15)</f>
        <v>11.828275515198653</v>
      </c>
      <c r="AD44" s="260">
        <f>INDEX('Volume adjustments'!$J$615:$Y$655,AD$17 + 1 + $H44*$H$50, AD$15)</f>
        <v>226.46388569430451</v>
      </c>
      <c r="AE44" s="260">
        <f>INDEX('Volume adjustments'!$J$615:$Y$655,AE$17 + 1 + $H44*$H$50, AE$15)</f>
        <v>739.51424869484208</v>
      </c>
      <c r="AF44" s="260">
        <f>INDEX('Volume adjustments'!$J$615:$Y$655,AF$17 + 1 + $H44*$H$50, AF$15)</f>
        <v>0.73132909303466487</v>
      </c>
      <c r="AG44" s="260">
        <f>INDEX('Volume adjustments'!$J$615:$Y$655,AG$17 + 1 + $H44*$H$50, AG$15)</f>
        <v>17.838169837481313</v>
      </c>
      <c r="AH44" s="260">
        <f>INDEX('Volume adjustments'!$J$615:$Y$655,AH$17 + 1 + $H44*$H$50, AH$15)</f>
        <v>466.59485317295298</v>
      </c>
      <c r="AI44" s="260">
        <f>INDEX('Volume adjustments'!$J$615:$Y$655,AI$17 + 1 + $H44*$H$50, AI$15)</f>
        <v>0</v>
      </c>
      <c r="AJ44" s="260">
        <f>INDEX('Volume adjustments'!$J$615:$Y$655,AJ$17 + 1 + $H44*$H$50, AJ$15)</f>
        <v>16.956105770532645</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249</v>
      </c>
      <c r="G45" s="118" t="s">
        <v>208</v>
      </c>
      <c r="H45" s="7">
        <v>1</v>
      </c>
      <c r="J45" s="312">
        <f>INDEX('Volume adjustments'!$J$615:$Y$655,J$17 + 1 + $H45*$H$50, J$15)</f>
        <v>83250.91527779217</v>
      </c>
      <c r="K45" s="312">
        <f>INDEX('Volume adjustments'!$J$615:$Y$655,K$17 + 1 + $H45*$H$50, K$15)</f>
        <v>0</v>
      </c>
      <c r="L45" s="312">
        <f>INDEX('Volume adjustments'!$J$615:$Y$655,L$17 + 1 + $H45*$H$50, L$15)</f>
        <v>653.24645200183147</v>
      </c>
      <c r="M45" s="312">
        <f>INDEX('Volume adjustments'!$J$615:$Y$655,M$17 + 1 + $H45*$H$50, M$15)</f>
        <v>1901.0212966281558</v>
      </c>
      <c r="N45" s="312">
        <f>INDEX('Volume adjustments'!$J$615:$Y$655,N$17 + 1 + $H45*$H$50, N$15)</f>
        <v>1970.8267774722444</v>
      </c>
      <c r="O45" s="312">
        <f>INDEX('Volume adjustments'!$J$615:$Y$655,O$17 + 1 + $H45*$H$50, O$15)</f>
        <v>1794.493530306318</v>
      </c>
      <c r="P45" s="312">
        <f>INDEX('Volume adjustments'!$J$615:$Y$655,P$17 + 1 + $H45*$H$50, P$15)</f>
        <v>4377.9946186267316</v>
      </c>
      <c r="Q45" s="312">
        <f>INDEX('Volume adjustments'!$J$615:$Y$655,Q$17 + 1 + $H45*$H$50, Q$15)</f>
        <v>0</v>
      </c>
      <c r="R45" s="312">
        <f>INDEX('Volume adjustments'!$J$615:$Y$655,R$17 + 1 + $H45*$H$50, R$15)</f>
        <v>93.992366960969548</v>
      </c>
      <c r="S45" s="312">
        <f>INDEX('Volume adjustments'!$J$615:$Y$655,S$17 + 1 + $H45*$H$50, S$15)</f>
        <v>3483.359170686716</v>
      </c>
      <c r="T45" s="312">
        <f>INDEX('Volume adjustments'!$J$615:$Y$655,T$17 + 1 + $H45*$H$50, T$15)</f>
        <v>8702.9493116590893</v>
      </c>
      <c r="U45" s="312">
        <f>INDEX('Volume adjustments'!$J$615:$Y$655,U$17 + 1 + $H45*$H$50, U$15)</f>
        <v>6365.3850643034702</v>
      </c>
      <c r="V45" s="312">
        <f>INDEX('Volume adjustments'!$J$615:$Y$655,V$17 + 1 + $H45*$H$50, V$15)</f>
        <v>38596.969333671732</v>
      </c>
      <c r="W45" s="312">
        <f>INDEX('Volume adjustments'!$J$615:$Y$655,W$17 + 1 + $H45*$H$50, W$15)</f>
        <v>0</v>
      </c>
      <c r="X45" s="312">
        <f>INDEX('Volume adjustments'!$J$615:$Y$655,X$17 + 1 + $H45*$H$50, X$15)</f>
        <v>0</v>
      </c>
      <c r="Y45" s="312">
        <f>INDEX('Volume adjustments'!$J$615:$Y$655,Y$17 + 1 + $H45*$H$50, Y$15)</f>
        <v>5.4076114840573819</v>
      </c>
      <c r="Z45" s="312">
        <f>INDEX('Volume adjustments'!$J$615:$Y$655,Z$17 + 1 + $H45*$H$50, Z$15)</f>
        <v>295.8439627411588</v>
      </c>
      <c r="AA45" s="312">
        <f>INDEX('Volume adjustments'!$J$615:$Y$655,AA$17 + 1 + $H45*$H$50, AA$15)</f>
        <v>15542.229328048776</v>
      </c>
      <c r="AB45" s="312">
        <f>INDEX('Volume adjustments'!$J$615:$Y$655,AB$17 + 1 + $H45*$H$50, AB$15)</f>
        <v>0</v>
      </c>
      <c r="AC45" s="312">
        <f>INDEX('Volume adjustments'!$J$615:$Y$655,AC$17 + 1 + $H45*$H$50, AC$15)</f>
        <v>166.55630998747046</v>
      </c>
      <c r="AD45" s="312">
        <f>INDEX('Volume adjustments'!$J$615:$Y$655,AD$17 + 1 + $H45*$H$50, AD$15)</f>
        <v>1781.3035416643515</v>
      </c>
      <c r="AE45" s="312">
        <f>INDEX('Volume adjustments'!$J$615:$Y$655,AE$17 + 1 + $H45*$H$50, AE$15)</f>
        <v>4793.6805561843385</v>
      </c>
      <c r="AF45" s="312">
        <f>INDEX('Volume adjustments'!$J$615:$Y$655,AF$17 + 1 + $H45*$H$50, AF$15)</f>
        <v>8.5644551414816128</v>
      </c>
      <c r="AG45" s="312">
        <f>INDEX('Volume adjustments'!$J$615:$Y$655,AG$17 + 1 + $H45*$H$50, AG$15)</f>
        <v>150.1520020333262</v>
      </c>
      <c r="AH45" s="312">
        <f>INDEX('Volume adjustments'!$J$615:$Y$655,AH$17 + 1 + $H45*$H$50, AH$15)</f>
        <v>4555.8514617856754</v>
      </c>
      <c r="AI45" s="312">
        <f>INDEX('Volume adjustments'!$J$615:$Y$655,AI$17 + 1 + $H45*$H$50, AI$15)</f>
        <v>0</v>
      </c>
      <c r="AJ45" s="312">
        <f>INDEX('Volume adjustments'!$J$615:$Y$655,AJ$17 + 1 + $H45*$H$50, AJ$15)</f>
        <v>198.68381871026503</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250</v>
      </c>
      <c r="G46" s="118" t="s">
        <v>208</v>
      </c>
      <c r="H46" s="7">
        <v>2</v>
      </c>
      <c r="J46" s="312">
        <f>INDEX('Volume adjustments'!$J$615:$Y$655,J$17 + 1 + $H46*$H$50, J$15)</f>
        <v>89567.546196383468</v>
      </c>
      <c r="K46" s="312">
        <f>INDEX('Volume adjustments'!$J$615:$Y$655,K$17 + 1 + $H46*$H$50, K$15)</f>
        <v>0</v>
      </c>
      <c r="L46" s="312">
        <f>INDEX('Volume adjustments'!$J$615:$Y$655,L$17 + 1 + $H46*$H$50, L$15)</f>
        <v>481.63037708283349</v>
      </c>
      <c r="M46" s="312">
        <f>INDEX('Volume adjustments'!$J$615:$Y$655,M$17 + 1 + $H46*$H$50, M$15)</f>
        <v>1409.8522684173629</v>
      </c>
      <c r="N46" s="312">
        <f>INDEX('Volume adjustments'!$J$615:$Y$655,N$17 + 1 + $H46*$H$50, N$15)</f>
        <v>1492.1571074392637</v>
      </c>
      <c r="O46" s="312">
        <f>INDEX('Volume adjustments'!$J$615:$Y$655,O$17 + 1 + $H46*$H$50, O$15)</f>
        <v>1367.7193567680827</v>
      </c>
      <c r="P46" s="312">
        <f>INDEX('Volume adjustments'!$J$615:$Y$655,P$17 + 1 + $H46*$H$50, P$15)</f>
        <v>3364.6279003146424</v>
      </c>
      <c r="Q46" s="312">
        <f>INDEX('Volume adjustments'!$J$615:$Y$655,Q$17 + 1 + $H46*$H$50, Q$15)</f>
        <v>0</v>
      </c>
      <c r="R46" s="312">
        <f>INDEX('Volume adjustments'!$J$615:$Y$655,R$17 + 1 + $H46*$H$50, R$15)</f>
        <v>62.79135917895487</v>
      </c>
      <c r="S46" s="312">
        <f>INDEX('Volume adjustments'!$J$615:$Y$655,S$17 + 1 + $H46*$H$50, S$15)</f>
        <v>2903.7375446647802</v>
      </c>
      <c r="T46" s="312">
        <f>INDEX('Volume adjustments'!$J$615:$Y$655,T$17 + 1 + $H46*$H$50, T$15)</f>
        <v>7784.0752282234153</v>
      </c>
      <c r="U46" s="312">
        <f>INDEX('Volume adjustments'!$J$615:$Y$655,U$17 + 1 + $H46*$H$50, U$15)</f>
        <v>5901.6457531921151</v>
      </c>
      <c r="V46" s="312">
        <f>INDEX('Volume adjustments'!$J$615:$Y$655,V$17 + 1 + $H46*$H$50, V$15)</f>
        <v>35831.326004892202</v>
      </c>
      <c r="W46" s="312">
        <f>INDEX('Volume adjustments'!$J$615:$Y$655,W$17 + 1 + $H46*$H$50, W$15)</f>
        <v>0</v>
      </c>
      <c r="X46" s="312">
        <f>INDEX('Volume adjustments'!$J$615:$Y$655,X$17 + 1 + $H46*$H$50, X$15)</f>
        <v>0</v>
      </c>
      <c r="Y46" s="312">
        <f>INDEX('Volume adjustments'!$J$615:$Y$655,Y$17 + 1 + $H46*$H$50, Y$15)</f>
        <v>7.3729827779716315</v>
      </c>
      <c r="Z46" s="312">
        <f>INDEX('Volume adjustments'!$J$615:$Y$655,Z$17 + 1 + $H46*$H$50, Z$15)</f>
        <v>364.48874257329459</v>
      </c>
      <c r="AA46" s="312">
        <f>INDEX('Volume adjustments'!$J$615:$Y$655,AA$17 + 1 + $H46*$H$50, AA$15)</f>
        <v>11599.322989608727</v>
      </c>
      <c r="AB46" s="312">
        <f>INDEX('Volume adjustments'!$J$615:$Y$655,AB$17 + 1 + $H46*$H$50, AB$15)</f>
        <v>0</v>
      </c>
      <c r="AC46" s="312">
        <f>INDEX('Volume adjustments'!$J$615:$Y$655,AC$17 + 1 + $H46*$H$50, AC$15)</f>
        <v>96.007810459098337</v>
      </c>
      <c r="AD46" s="312">
        <f>INDEX('Volume adjustments'!$J$615:$Y$655,AD$17 + 1 + $H46*$H$50, AD$15)</f>
        <v>1453.741530529981</v>
      </c>
      <c r="AE46" s="312">
        <f>INDEX('Volume adjustments'!$J$615:$Y$655,AE$17 + 1 + $H46*$H$50, AE$15)</f>
        <v>5684.4425387956808</v>
      </c>
      <c r="AF46" s="312">
        <f>INDEX('Volume adjustments'!$J$615:$Y$655,AF$17 + 1 + $H46*$H$50, AF$15)</f>
        <v>16.782925492097885</v>
      </c>
      <c r="AG46" s="312">
        <f>INDEX('Volume adjustments'!$J$615:$Y$655,AG$17 + 1 + $H46*$H$50, AG$15)</f>
        <v>552.57196150196364</v>
      </c>
      <c r="AH46" s="312">
        <f>INDEX('Volume adjustments'!$J$615:$Y$655,AH$17 + 1 + $H46*$H$50, AH$15)</f>
        <v>1893.3826305946161</v>
      </c>
      <c r="AI46" s="312">
        <f>INDEX('Volume adjustments'!$J$615:$Y$655,AI$17 + 1 + $H46*$H$50, AI$15)</f>
        <v>0</v>
      </c>
      <c r="AJ46" s="312">
        <f>INDEX('Volume adjustments'!$J$615:$Y$655,AJ$17 + 1 + $H46*$H$50, AJ$15)</f>
        <v>172.2190311826773</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213</v>
      </c>
      <c r="G47" s="118" t="s">
        <v>213</v>
      </c>
      <c r="H47" s="7">
        <v>3</v>
      </c>
      <c r="J47" s="312">
        <f>INDEX('Volume adjustments'!$J$615:$Y$655,J$17 + 1 + $H47*$H$50, J$15)</f>
        <v>69257.467529063841</v>
      </c>
      <c r="K47" s="312">
        <f>INDEX('Volume adjustments'!$J$615:$Y$655,K$17 + 1 + $H47*$H$50, K$15)</f>
        <v>0</v>
      </c>
      <c r="L47" s="312">
        <f>INDEX('Volume adjustments'!$J$615:$Y$655,L$17 + 1 + $H47*$H$50, L$15)</f>
        <v>160.62756867175628</v>
      </c>
      <c r="M47" s="312">
        <f>INDEX('Volume adjustments'!$J$615:$Y$655,M$17 + 1 + $H47*$H$50, M$15)</f>
        <v>619.37990479829216</v>
      </c>
      <c r="N47" s="312">
        <f>INDEX('Volume adjustments'!$J$615:$Y$655,N$17 + 1 + $H47*$H$50, N$15)</f>
        <v>424.05678129343676</v>
      </c>
      <c r="O47" s="312">
        <f>INDEX('Volume adjustments'!$J$615:$Y$655,O$17 + 1 + $H47*$H$50, O$15)</f>
        <v>276.27941811542075</v>
      </c>
      <c r="P47" s="312">
        <f>INDEX('Volume adjustments'!$J$615:$Y$655,P$17 + 1 + $H47*$H$50, P$15)</f>
        <v>215.88345229484048</v>
      </c>
      <c r="Q47" s="312">
        <f>INDEX('Volume adjustments'!$J$615:$Y$655,Q$17 + 1 + $H47*$H$50, Q$15)</f>
        <v>0</v>
      </c>
      <c r="R47" s="312">
        <f>INDEX('Volume adjustments'!$J$615:$Y$655,R$17 + 1 + $H47*$H$50, R$15)</f>
        <v>3.855061648122152</v>
      </c>
      <c r="S47" s="312">
        <f>INDEX('Volume adjustments'!$J$615:$Y$655,S$17 + 1 + $H47*$H$50, S$15)</f>
        <v>75.816212413068953</v>
      </c>
      <c r="T47" s="312">
        <f>INDEX('Volume adjustments'!$J$615:$Y$655,T$17 + 1 + $H47*$H$50, T$15)</f>
        <v>161.91258922113036</v>
      </c>
      <c r="U47" s="312">
        <f>INDEX('Volume adjustments'!$J$615:$Y$655,U$17 + 1 + $H47*$H$50, U$15)</f>
        <v>80.95629461056518</v>
      </c>
      <c r="V47" s="312">
        <f>INDEX('Volume adjustments'!$J$615:$Y$655,V$17 + 1 + $H47*$H$50, V$15)</f>
        <v>185.04295910986326</v>
      </c>
      <c r="W47" s="312">
        <f>INDEX('Volume adjustments'!$J$615:$Y$655,W$17 + 1 + $H47*$H$50, W$15)</f>
        <v>0</v>
      </c>
      <c r="X47" s="312">
        <f>INDEX('Volume adjustments'!$J$615:$Y$655,X$17 + 1 + $H47*$H$50, X$15)</f>
        <v>0</v>
      </c>
      <c r="Y47" s="312">
        <f>INDEX('Volume adjustments'!$J$615:$Y$655,Y$17 + 1 + $H47*$H$50, Y$15)</f>
        <v>1.2850205493740503</v>
      </c>
      <c r="Z47" s="312">
        <f>INDEX('Volume adjustments'!$J$615:$Y$655,Z$17 + 1 + $H47*$H$50, Z$15)</f>
        <v>1.2850205493740503</v>
      </c>
      <c r="AA47" s="312">
        <f>INDEX('Volume adjustments'!$J$615:$Y$655,AA$17 + 1 + $H47*$H$50, AA$15)</f>
        <v>37.265595931847471</v>
      </c>
      <c r="AB47" s="312">
        <f>INDEX('Volume adjustments'!$J$615:$Y$655,AB$17 + 1 + $H47*$H$50, AB$15)</f>
        <v>0</v>
      </c>
      <c r="AC47" s="312">
        <f>INDEX('Volume adjustments'!$J$615:$Y$655,AC$17 + 1 + $H47*$H$50, AC$15)</f>
        <v>1.2850205493740503</v>
      </c>
      <c r="AD47" s="312">
        <f>INDEX('Volume adjustments'!$J$615:$Y$655,AD$17 + 1 + $H47*$H$50, AD$15)</f>
        <v>3.855061648122152</v>
      </c>
      <c r="AE47" s="312">
        <f>INDEX('Volume adjustments'!$J$615:$Y$655,AE$17 + 1 + $H47*$H$50, AE$15)</f>
        <v>3.855061648122152</v>
      </c>
      <c r="AF47" s="312">
        <f>INDEX('Volume adjustments'!$J$615:$Y$655,AF$17 + 1 + $H47*$H$50, AF$15)</f>
        <v>5.1400821974962012</v>
      </c>
      <c r="AG47" s="312">
        <f>INDEX('Volume adjustments'!$J$615:$Y$655,AG$17 + 1 + $H47*$H$50, AG$15)</f>
        <v>221.02353449233675</v>
      </c>
      <c r="AH47" s="312">
        <f>INDEX('Volume adjustments'!$J$615:$Y$655,AH$17 + 1 + $H47*$H$50, AH$15)</f>
        <v>0</v>
      </c>
      <c r="AI47" s="312">
        <f>INDEX('Volume adjustments'!$J$615:$Y$655,AI$17 + 1 + $H47*$H$50, AI$15)</f>
        <v>0</v>
      </c>
      <c r="AJ47" s="312">
        <f>INDEX('Volume adjustments'!$J$615:$Y$655,AJ$17 + 1 + $H47*$H$50, AJ$15)</f>
        <v>8.9951438456183546</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0</v>
      </c>
      <c r="AO47" s="312">
        <f>INDEX('Volume adjustments'!$J$615:$Y$655,AO$17 + 1 + $H47*$H$50, AO$15)</f>
        <v>0</v>
      </c>
    </row>
    <row r="48" spans="5:43" x14ac:dyDescent="0.25">
      <c r="E48" s="94"/>
      <c r="F48" s="118" t="s">
        <v>251</v>
      </c>
      <c r="G48" s="118" t="s">
        <v>252</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771.01232962443009</v>
      </c>
      <c r="S48" s="312">
        <f>INDEX('Volume adjustments'!$J$615:$Y$655,S$17 + 1 + $H48*$H$50, S$15)</f>
        <v>4433.3208953404746</v>
      </c>
      <c r="T48" s="312">
        <f>INDEX('Volume adjustments'!$J$615:$Y$655,T$17 + 1 + $H48*$H$50, T$15)</f>
        <v>19281.733343357624</v>
      </c>
      <c r="U48" s="312">
        <f>INDEX('Volume adjustments'!$J$615:$Y$655,U$17 + 1 + $H48*$H$50, U$15)</f>
        <v>15386.836058204879</v>
      </c>
      <c r="V48" s="312">
        <f>INDEX('Volume adjustments'!$J$615:$Y$655,V$17 + 1 + $H48*$H$50, V$15)</f>
        <v>124401.55436435241</v>
      </c>
      <c r="W48" s="312">
        <f>INDEX('Volume adjustments'!$J$615:$Y$655,W$17 + 1 + $H48*$H$50, W$15)</f>
        <v>0</v>
      </c>
      <c r="X48" s="312">
        <f>INDEX('Volume adjustments'!$J$615:$Y$655,X$17 + 1 + $H48*$H$50, X$15)</f>
        <v>0</v>
      </c>
      <c r="Y48" s="312">
        <f>INDEX('Volume adjustments'!$J$615:$Y$655,Y$17 + 1 + $H48*$H$50, Y$15)</f>
        <v>178.61785636299294</v>
      </c>
      <c r="Z48" s="312">
        <f>INDEX('Volume adjustments'!$J$615:$Y$655,Z$17 + 1 + $H48*$H$50, Z$15)</f>
        <v>263.42921262168034</v>
      </c>
      <c r="AA48" s="312">
        <f>INDEX('Volume adjustments'!$J$615:$Y$655,AA$17 + 1 + $H48*$H$50, AA$15)</f>
        <v>32670.362447285857</v>
      </c>
      <c r="AB48" s="312">
        <f>INDEX('Volume adjustments'!$J$615:$Y$655,AB$17 + 1 + $H48*$H$50, AB$15)</f>
        <v>0</v>
      </c>
      <c r="AC48" s="312">
        <f>INDEX('Volume adjustments'!$J$615:$Y$655,AC$17 + 1 + $H48*$H$50, AC$15)</f>
        <v>514.00821974962003</v>
      </c>
      <c r="AD48" s="312">
        <f>INDEX('Volume adjustments'!$J$615:$Y$655,AD$17 + 1 + $H48*$H$50, AD$15)</f>
        <v>3084.0493184977204</v>
      </c>
      <c r="AE48" s="312">
        <f>INDEX('Volume adjustments'!$J$615:$Y$655,AE$17 + 1 + $H48*$H$50, AE$15)</f>
        <v>5140.0821974962009</v>
      </c>
      <c r="AF48" s="312">
        <f>INDEX('Volume adjustments'!$J$615:$Y$655,AF$17 + 1 + $H48*$H$50, AF$15)</f>
        <v>15227.493510082499</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253</v>
      </c>
      <c r="G49" s="118" t="s">
        <v>252</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118.50988828457238</v>
      </c>
      <c r="T49" s="312">
        <f>INDEX('Volume adjustments'!$J$615:$Y$655,T$17 + 1 + $H49*$H$50, T$15)</f>
        <v>266.02412611386438</v>
      </c>
      <c r="U49" s="312">
        <f>INDEX('Volume adjustments'!$J$615:$Y$655,U$17 + 1 + $H49*$H$50, U$15)</f>
        <v>36.165026071836628</v>
      </c>
      <c r="V49" s="312">
        <f>INDEX('Volume adjustments'!$J$615:$Y$655,V$17 + 1 + $H49*$H$50, V$15)</f>
        <v>151.1559036280355</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0</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254</v>
      </c>
      <c r="G50" s="120" t="s">
        <v>255</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0.86849550433873268</v>
      </c>
      <c r="S50" s="259">
        <f>INDEX('Volume adjustments'!$J$615:$Y$655,S$17 + 1 + $H50*$H$50, S$15)</f>
        <v>376.24068549320873</v>
      </c>
      <c r="T50" s="259">
        <f>INDEX('Volume adjustments'!$J$615:$Y$655,T$17 + 1 + $H50*$H$50, T$15)</f>
        <v>1699.0366761264336</v>
      </c>
      <c r="U50" s="259">
        <f>INDEX('Volume adjustments'!$J$615:$Y$655,U$17 + 1 + $H50*$H$50, U$15)</f>
        <v>941.16471442770035</v>
      </c>
      <c r="V50" s="259">
        <f>INDEX('Volume adjustments'!$J$615:$Y$655,V$17 + 1 + $H50*$H$50, V$15)</f>
        <v>6762.2226311799368</v>
      </c>
      <c r="W50" s="259">
        <f>INDEX('Volume adjustments'!$J$615:$Y$655,W$17 + 1 + $H50*$H$50, W$15)</f>
        <v>0</v>
      </c>
      <c r="X50" s="259">
        <f>INDEX('Volume adjustments'!$J$615:$Y$655,X$17 + 1 + $H50*$H$50, X$15)</f>
        <v>0</v>
      </c>
      <c r="Y50" s="259">
        <f>INDEX('Volume adjustments'!$J$615:$Y$655,Y$17 + 1 + $H50*$H$50, Y$15)</f>
        <v>0</v>
      </c>
      <c r="Z50" s="259">
        <f>INDEX('Volume adjustments'!$J$615:$Y$655,Z$17 + 1 + $H50*$H$50, Z$15)</f>
        <v>1.126330782834281</v>
      </c>
      <c r="AA50" s="259">
        <f>INDEX('Volume adjustments'!$J$615:$Y$655,AA$17 + 1 + $H50*$H$50, AA$15)</f>
        <v>759.48966979241914</v>
      </c>
      <c r="AB50" s="259">
        <f>INDEX('Volume adjustments'!$J$615:$Y$655,AB$17 + 1 + $H50*$H$50, AB$15)</f>
        <v>0</v>
      </c>
      <c r="AC50" s="259">
        <f>INDEX('Volume adjustments'!$J$615:$Y$655,AC$17 + 1 + $H50*$H$50, AC$15)</f>
        <v>64.975262718999474</v>
      </c>
      <c r="AD50" s="259">
        <f>INDEX('Volume adjustments'!$J$615:$Y$655,AD$17 + 1 + $H50*$H$50, AD$15)</f>
        <v>3.2211396759161994</v>
      </c>
      <c r="AE50" s="259">
        <f>INDEX('Volume adjustments'!$J$615:$Y$655,AE$17 + 1 + $H50*$H$50, AE$15)</f>
        <v>317.24923875012496</v>
      </c>
      <c r="AF50" s="259">
        <f>INDEX('Volume adjustments'!$J$615:$Y$655,AF$17 + 1 + $H50*$H$50, AF$15)</f>
        <v>6.1482657692558957</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73.562570455005527</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control'!$H$42:$H$65,MATCH($A$1,'Version control'!$F$42:$F$65,0),1)&amp;"-B: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717</v>
      </c>
      <c r="G54" s="61"/>
      <c r="I54" t="s">
        <v>155</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156</v>
      </c>
    </row>
    <row r="55" spans="3:43" x14ac:dyDescent="0.25">
      <c r="F55" s="95" t="s">
        <v>157</v>
      </c>
      <c r="G55" s="143" t="s">
        <v>270</v>
      </c>
      <c r="H55" s="278"/>
      <c r="I55" s="266"/>
      <c r="J55" s="278">
        <f>Rounding!J150</f>
        <v>25.395</v>
      </c>
      <c r="K55" s="278">
        <f>Rounding!K150</f>
        <v>25.395</v>
      </c>
      <c r="L55" s="278">
        <f>Rounding!L150</f>
        <v>24.844000000000001</v>
      </c>
      <c r="M55" s="278">
        <f>Rounding!M150</f>
        <v>24.844000000000001</v>
      </c>
      <c r="N55" s="278">
        <f>Rounding!N150</f>
        <v>24.844000000000001</v>
      </c>
      <c r="O55" s="278">
        <f>Rounding!O150</f>
        <v>24.844000000000001</v>
      </c>
      <c r="P55" s="278">
        <f>Rounding!P150</f>
        <v>24.844000000000001</v>
      </c>
      <c r="Q55" s="278">
        <f>Rounding!Q150</f>
        <v>24.844000000000001</v>
      </c>
      <c r="R55" s="278">
        <f>Rounding!R150</f>
        <v>15.429</v>
      </c>
      <c r="S55" s="278">
        <f>Rounding!S150</f>
        <v>15.429</v>
      </c>
      <c r="T55" s="278">
        <f>Rounding!T150</f>
        <v>15.429</v>
      </c>
      <c r="U55" s="278">
        <f>Rounding!U150</f>
        <v>15.429</v>
      </c>
      <c r="V55" s="278">
        <f>Rounding!V150</f>
        <v>15.429</v>
      </c>
      <c r="W55" s="278">
        <f>Rounding!W150</f>
        <v>9.8209999999999997</v>
      </c>
      <c r="X55" s="278">
        <f>Rounding!X150</f>
        <v>9.8209999999999997</v>
      </c>
      <c r="Y55" s="278">
        <f>Rounding!Y150</f>
        <v>9.8209999999999997</v>
      </c>
      <c r="Z55" s="278">
        <f>Rounding!Z150</f>
        <v>9.8209999999999997</v>
      </c>
      <c r="AA55" s="278">
        <f>Rounding!AA150</f>
        <v>9.8209999999999997</v>
      </c>
      <c r="AB55" s="278">
        <f>Rounding!AB150</f>
        <v>7.5</v>
      </c>
      <c r="AC55" s="278">
        <f>Rounding!AC150</f>
        <v>7.5</v>
      </c>
      <c r="AD55" s="278">
        <f>Rounding!AD150</f>
        <v>7.5</v>
      </c>
      <c r="AE55" s="278">
        <f>Rounding!AE150</f>
        <v>7.5</v>
      </c>
      <c r="AF55" s="278">
        <f>Rounding!AF150</f>
        <v>7.5</v>
      </c>
      <c r="AG55" s="278">
        <f>Rounding!AG150</f>
        <v>75.808000000000007</v>
      </c>
      <c r="AH55" s="278">
        <f>Rounding!AH150</f>
        <v>-15.28</v>
      </c>
      <c r="AI55" s="278">
        <f>Rounding!AI150</f>
        <v>-13.109</v>
      </c>
      <c r="AJ55" s="278">
        <f>Rounding!AJ150</f>
        <v>-15.28</v>
      </c>
      <c r="AK55" s="278">
        <f>Rounding!AK150</f>
        <v>-15.28</v>
      </c>
      <c r="AL55" s="278">
        <f>Rounding!AL150</f>
        <v>-13.109</v>
      </c>
      <c r="AM55" s="278">
        <f>Rounding!AM150</f>
        <v>-13.109</v>
      </c>
      <c r="AN55" s="278">
        <f>Rounding!AN150</f>
        <v>-8.1959999999999997</v>
      </c>
      <c r="AO55" s="278">
        <f>Rounding!AO150</f>
        <v>-8.1959999999999997</v>
      </c>
      <c r="AP55" s="268"/>
      <c r="AQ55" s="268"/>
    </row>
    <row r="56" spans="3:43" x14ac:dyDescent="0.25">
      <c r="E56" s="94"/>
      <c r="F56" t="s">
        <v>158</v>
      </c>
      <c r="G56" s="61" t="s">
        <v>270</v>
      </c>
      <c r="H56" s="279"/>
      <c r="I56" s="268"/>
      <c r="J56" s="279">
        <f>Rounding!J151</f>
        <v>2.0259999999999998</v>
      </c>
      <c r="K56" s="279">
        <f>Rounding!K151</f>
        <v>2.0259999999999998</v>
      </c>
      <c r="L56" s="279">
        <f>Rounding!L151</f>
        <v>1.982</v>
      </c>
      <c r="M56" s="279">
        <f>Rounding!M151</f>
        <v>1.982</v>
      </c>
      <c r="N56" s="279">
        <f>Rounding!N151</f>
        <v>1.982</v>
      </c>
      <c r="O56" s="279">
        <f>Rounding!O151</f>
        <v>1.982</v>
      </c>
      <c r="P56" s="279">
        <f>Rounding!P151</f>
        <v>1.982</v>
      </c>
      <c r="Q56" s="279">
        <f>Rounding!Q151</f>
        <v>1.982</v>
      </c>
      <c r="R56" s="279">
        <f>Rounding!R151</f>
        <v>1.097</v>
      </c>
      <c r="S56" s="279">
        <f>Rounding!S151</f>
        <v>1.097</v>
      </c>
      <c r="T56" s="279">
        <f>Rounding!T151</f>
        <v>1.097</v>
      </c>
      <c r="U56" s="279">
        <f>Rounding!U151</f>
        <v>1.097</v>
      </c>
      <c r="V56" s="279">
        <f>Rounding!V151</f>
        <v>1.097</v>
      </c>
      <c r="W56" s="279">
        <f>Rounding!W151</f>
        <v>0.496</v>
      </c>
      <c r="X56" s="279">
        <f>Rounding!X151</f>
        <v>0.496</v>
      </c>
      <c r="Y56" s="279">
        <f>Rounding!Y151</f>
        <v>0.496</v>
      </c>
      <c r="Z56" s="279">
        <f>Rounding!Z151</f>
        <v>0.496</v>
      </c>
      <c r="AA56" s="279">
        <f>Rounding!AA151</f>
        <v>0.496</v>
      </c>
      <c r="AB56" s="279">
        <f>Rounding!AB151</f>
        <v>0.28799999999999998</v>
      </c>
      <c r="AC56" s="279">
        <f>Rounding!AC151</f>
        <v>0.28799999999999998</v>
      </c>
      <c r="AD56" s="279">
        <f>Rounding!AD151</f>
        <v>0.28799999999999998</v>
      </c>
      <c r="AE56" s="279">
        <f>Rounding!AE151</f>
        <v>0.28799999999999998</v>
      </c>
      <c r="AF56" s="279">
        <f>Rounding!AF151</f>
        <v>0.28799999999999998</v>
      </c>
      <c r="AG56" s="279">
        <f>Rounding!AG151</f>
        <v>4.1500000000000004</v>
      </c>
      <c r="AH56" s="279">
        <f>Rounding!AH151</f>
        <v>-1.2190000000000001</v>
      </c>
      <c r="AI56" s="279">
        <f>Rounding!AI151</f>
        <v>-0.97499999999999998</v>
      </c>
      <c r="AJ56" s="279">
        <f>Rounding!AJ151</f>
        <v>-1.2190000000000001</v>
      </c>
      <c r="AK56" s="279">
        <f>Rounding!AK151</f>
        <v>-1.2190000000000001</v>
      </c>
      <c r="AL56" s="279">
        <f>Rounding!AL151</f>
        <v>-0.97499999999999998</v>
      </c>
      <c r="AM56" s="279">
        <f>Rounding!AM151</f>
        <v>-0.97499999999999998</v>
      </c>
      <c r="AN56" s="279">
        <f>Rounding!AN151</f>
        <v>-0.41399999999999998</v>
      </c>
      <c r="AO56" s="279">
        <f>Rounding!AO151</f>
        <v>-0.41399999999999998</v>
      </c>
      <c r="AP56" s="268"/>
      <c r="AQ56" s="268"/>
    </row>
    <row r="57" spans="3:43" x14ac:dyDescent="0.25">
      <c r="E57" s="94"/>
      <c r="F57" t="s">
        <v>159</v>
      </c>
      <c r="G57" s="61" t="s">
        <v>270</v>
      </c>
      <c r="H57" s="279"/>
      <c r="I57" s="268"/>
      <c r="J57" s="279">
        <f>Rounding!J152</f>
        <v>0.2</v>
      </c>
      <c r="K57" s="279">
        <f>Rounding!K152</f>
        <v>0.2</v>
      </c>
      <c r="L57" s="279">
        <f>Rounding!L152</f>
        <v>0.19600000000000001</v>
      </c>
      <c r="M57" s="279">
        <f>Rounding!M152</f>
        <v>0.19600000000000001</v>
      </c>
      <c r="N57" s="279">
        <f>Rounding!N152</f>
        <v>0.19600000000000001</v>
      </c>
      <c r="O57" s="279">
        <f>Rounding!O152</f>
        <v>0.19600000000000001</v>
      </c>
      <c r="P57" s="279">
        <f>Rounding!P152</f>
        <v>0.19600000000000001</v>
      </c>
      <c r="Q57" s="279">
        <f>Rounding!Q152</f>
        <v>0.19600000000000001</v>
      </c>
      <c r="R57" s="279">
        <f>Rounding!R152</f>
        <v>0.111</v>
      </c>
      <c r="S57" s="279">
        <f>Rounding!S152</f>
        <v>0.111</v>
      </c>
      <c r="T57" s="279">
        <f>Rounding!T152</f>
        <v>0.111</v>
      </c>
      <c r="U57" s="279">
        <f>Rounding!U152</f>
        <v>0.111</v>
      </c>
      <c r="V57" s="279">
        <f>Rounding!V152</f>
        <v>0.111</v>
      </c>
      <c r="W57" s="279">
        <f>Rounding!W152</f>
        <v>5.3999999999999999E-2</v>
      </c>
      <c r="X57" s="279">
        <f>Rounding!X152</f>
        <v>5.3999999999999999E-2</v>
      </c>
      <c r="Y57" s="279">
        <f>Rounding!Y152</f>
        <v>5.3999999999999999E-2</v>
      </c>
      <c r="Z57" s="279">
        <f>Rounding!Z152</f>
        <v>5.3999999999999999E-2</v>
      </c>
      <c r="AA57" s="279">
        <f>Rounding!AA152</f>
        <v>5.3999999999999999E-2</v>
      </c>
      <c r="AB57" s="279">
        <f>Rounding!AB152</f>
        <v>3.3000000000000002E-2</v>
      </c>
      <c r="AC57" s="279">
        <f>Rounding!AC152</f>
        <v>3.3000000000000002E-2</v>
      </c>
      <c r="AD57" s="279">
        <f>Rounding!AD152</f>
        <v>3.3000000000000002E-2</v>
      </c>
      <c r="AE57" s="279">
        <f>Rounding!AE152</f>
        <v>3.3000000000000002E-2</v>
      </c>
      <c r="AF57" s="279">
        <f>Rounding!AF152</f>
        <v>3.3000000000000002E-2</v>
      </c>
      <c r="AG57" s="279">
        <f>Rounding!AG152</f>
        <v>2.0619999999999998</v>
      </c>
      <c r="AH57" s="279">
        <f>Rounding!AH152</f>
        <v>-0.121</v>
      </c>
      <c r="AI57" s="279">
        <f>Rounding!AI152</f>
        <v>-9.7000000000000003E-2</v>
      </c>
      <c r="AJ57" s="279">
        <f>Rounding!AJ152</f>
        <v>-0.121</v>
      </c>
      <c r="AK57" s="279">
        <f>Rounding!AK152</f>
        <v>-0.121</v>
      </c>
      <c r="AL57" s="279">
        <f>Rounding!AL152</f>
        <v>-9.7000000000000003E-2</v>
      </c>
      <c r="AM57" s="279">
        <f>Rounding!AM152</f>
        <v>-9.7000000000000003E-2</v>
      </c>
      <c r="AN57" s="279">
        <f>Rounding!AN152</f>
        <v>-4.4999999999999998E-2</v>
      </c>
      <c r="AO57" s="279">
        <f>Rounding!AO152</f>
        <v>-4.4999999999999998E-2</v>
      </c>
      <c r="AP57" s="268"/>
      <c r="AQ57" s="268"/>
    </row>
    <row r="58" spans="3:43" x14ac:dyDescent="0.25">
      <c r="E58" s="94"/>
      <c r="F58" t="s">
        <v>160</v>
      </c>
      <c r="G58" s="61" t="s">
        <v>271</v>
      </c>
      <c r="H58" s="78"/>
      <c r="J58" s="167">
        <f>Rounding!J153</f>
        <v>17.829999999999998</v>
      </c>
      <c r="K58" s="167">
        <f>Rounding!K153</f>
        <v>0</v>
      </c>
      <c r="L58" s="167">
        <f>Rounding!L153</f>
        <v>19.25</v>
      </c>
      <c r="M58" s="167">
        <f>Rounding!M153</f>
        <v>22.53</v>
      </c>
      <c r="N58" s="167">
        <f>Rounding!N153</f>
        <v>32.590000000000003</v>
      </c>
      <c r="O58" s="167">
        <f>Rounding!O153</f>
        <v>46.07</v>
      </c>
      <c r="P58" s="167">
        <f>Rounding!P153</f>
        <v>84.44</v>
      </c>
      <c r="Q58" s="167">
        <f>Rounding!Q153</f>
        <v>0</v>
      </c>
      <c r="R58" s="167">
        <f>Rounding!R153</f>
        <v>19.09</v>
      </c>
      <c r="S58" s="167">
        <f>Rounding!S153</f>
        <v>142.31</v>
      </c>
      <c r="T58" s="167">
        <f>Rounding!T153</f>
        <v>240.23</v>
      </c>
      <c r="U58" s="167">
        <f>Rounding!U153</f>
        <v>370.59</v>
      </c>
      <c r="V58" s="167">
        <f>Rounding!V153</f>
        <v>797.99</v>
      </c>
      <c r="W58" s="167">
        <f>Rounding!W153</f>
        <v>14.9</v>
      </c>
      <c r="X58" s="167">
        <f>Rounding!X153</f>
        <v>138.12</v>
      </c>
      <c r="Y58" s="167">
        <f>Rounding!Y153</f>
        <v>236.04</v>
      </c>
      <c r="Z58" s="167">
        <f>Rounding!Z153</f>
        <v>366.41</v>
      </c>
      <c r="AA58" s="167">
        <f>Rounding!AA153</f>
        <v>793.8</v>
      </c>
      <c r="AB58" s="167">
        <f>Rounding!AB153</f>
        <v>137.54</v>
      </c>
      <c r="AC58" s="167">
        <f>Rounding!AC153</f>
        <v>1035.0899999999999</v>
      </c>
      <c r="AD58" s="167">
        <f>Rounding!AD153</f>
        <v>2208.42</v>
      </c>
      <c r="AE58" s="167">
        <f>Rounding!AE153</f>
        <v>4821.8</v>
      </c>
      <c r="AF58" s="167">
        <f>Rounding!AF153</f>
        <v>9159.74</v>
      </c>
      <c r="AG58" s="167">
        <f>Rounding!AG153</f>
        <v>0</v>
      </c>
      <c r="AH58" s="167">
        <f>Rounding!AH153</f>
        <v>0</v>
      </c>
      <c r="AI58" s="167">
        <f>Rounding!AI153</f>
        <v>0</v>
      </c>
      <c r="AJ58" s="167">
        <f>Rounding!AJ153</f>
        <v>0</v>
      </c>
      <c r="AK58" s="167">
        <f>Rounding!AK153</f>
        <v>0</v>
      </c>
      <c r="AL58" s="167">
        <f>Rounding!AL153</f>
        <v>0</v>
      </c>
      <c r="AM58" s="167">
        <f>Rounding!AM153</f>
        <v>0</v>
      </c>
      <c r="AN58" s="167">
        <f>Rounding!AN153</f>
        <v>86.08</v>
      </c>
      <c r="AO58" s="167">
        <f>Rounding!AO153</f>
        <v>86.08</v>
      </c>
    </row>
    <row r="59" spans="3:43" x14ac:dyDescent="0.25">
      <c r="E59" s="94"/>
      <c r="F59" t="s">
        <v>161</v>
      </c>
      <c r="G59" s="61" t="s">
        <v>272</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12.91</v>
      </c>
      <c r="S59" s="167">
        <f>Rounding!S154</f>
        <v>12.91</v>
      </c>
      <c r="T59" s="167">
        <f>Rounding!T154</f>
        <v>12.91</v>
      </c>
      <c r="U59" s="167">
        <f>Rounding!U154</f>
        <v>12.91</v>
      </c>
      <c r="V59" s="167">
        <f>Rounding!V154</f>
        <v>12.91</v>
      </c>
      <c r="W59" s="167">
        <f>Rounding!W154</f>
        <v>11.05</v>
      </c>
      <c r="X59" s="167">
        <f>Rounding!X154</f>
        <v>11.05</v>
      </c>
      <c r="Y59" s="167">
        <f>Rounding!Y154</f>
        <v>11.05</v>
      </c>
      <c r="Z59" s="167">
        <f>Rounding!Z154</f>
        <v>11.05</v>
      </c>
      <c r="AA59" s="167">
        <f>Rounding!AA154</f>
        <v>11.05</v>
      </c>
      <c r="AB59" s="167">
        <f>Rounding!AB154</f>
        <v>10.62</v>
      </c>
      <c r="AC59" s="167">
        <f>Rounding!AC154</f>
        <v>10.62</v>
      </c>
      <c r="AD59" s="167">
        <f>Rounding!AD154</f>
        <v>10.62</v>
      </c>
      <c r="AE59" s="167">
        <f>Rounding!AE154</f>
        <v>10.62</v>
      </c>
      <c r="AF59" s="167">
        <f>Rounding!AF154</f>
        <v>10.62</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162</v>
      </c>
      <c r="G60" s="61" t="s">
        <v>272</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12.91</v>
      </c>
      <c r="S60" s="167">
        <f>Rounding!S155</f>
        <v>12.91</v>
      </c>
      <c r="T60" s="167">
        <f>Rounding!T155</f>
        <v>12.91</v>
      </c>
      <c r="U60" s="167">
        <f>Rounding!U155</f>
        <v>12.91</v>
      </c>
      <c r="V60" s="167">
        <f>Rounding!V155</f>
        <v>12.91</v>
      </c>
      <c r="W60" s="167">
        <f>Rounding!W155</f>
        <v>11.05</v>
      </c>
      <c r="X60" s="167">
        <f>Rounding!X155</f>
        <v>11.05</v>
      </c>
      <c r="Y60" s="167">
        <f>Rounding!Y155</f>
        <v>11.05</v>
      </c>
      <c r="Z60" s="167">
        <f>Rounding!Z155</f>
        <v>11.05</v>
      </c>
      <c r="AA60" s="167">
        <f>Rounding!AA155</f>
        <v>11.05</v>
      </c>
      <c r="AB60" s="167">
        <f>Rounding!AB155</f>
        <v>10.62</v>
      </c>
      <c r="AC60" s="167">
        <f>Rounding!AC155</f>
        <v>10.62</v>
      </c>
      <c r="AD60" s="167">
        <f>Rounding!AD155</f>
        <v>10.62</v>
      </c>
      <c r="AE60" s="167">
        <f>Rounding!AE155</f>
        <v>10.62</v>
      </c>
      <c r="AF60" s="167">
        <f>Rounding!AF155</f>
        <v>10.62</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163</v>
      </c>
      <c r="G61" s="144" t="s">
        <v>273</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0.253</v>
      </c>
      <c r="S61" s="311">
        <f>Rounding!S156</f>
        <v>0.253</v>
      </c>
      <c r="T61" s="311">
        <f>Rounding!T156</f>
        <v>0.253</v>
      </c>
      <c r="U61" s="311">
        <f>Rounding!U156</f>
        <v>0.253</v>
      </c>
      <c r="V61" s="311">
        <f>Rounding!V156</f>
        <v>0.253</v>
      </c>
      <c r="W61" s="311">
        <f>Rounding!W156</f>
        <v>0.13900000000000001</v>
      </c>
      <c r="X61" s="311">
        <f>Rounding!X156</f>
        <v>0.13900000000000001</v>
      </c>
      <c r="Y61" s="311">
        <f>Rounding!Y156</f>
        <v>0.13900000000000001</v>
      </c>
      <c r="Z61" s="311">
        <f>Rounding!Z156</f>
        <v>0.13900000000000001</v>
      </c>
      <c r="AA61" s="311">
        <f>Rounding!AA156</f>
        <v>0.13900000000000001</v>
      </c>
      <c r="AB61" s="311">
        <f>Rounding!AB156</f>
        <v>9.7000000000000003E-2</v>
      </c>
      <c r="AC61" s="311">
        <f>Rounding!AC156</f>
        <v>9.7000000000000003E-2</v>
      </c>
      <c r="AD61" s="311">
        <f>Rounding!AD156</f>
        <v>9.7000000000000003E-2</v>
      </c>
      <c r="AE61" s="311">
        <f>Rounding!AE156</f>
        <v>9.7000000000000003E-2</v>
      </c>
      <c r="AF61" s="311">
        <f>Rounding!AF156</f>
        <v>9.7000000000000003E-2</v>
      </c>
      <c r="AG61" s="311">
        <f>Rounding!AG156</f>
        <v>0</v>
      </c>
      <c r="AH61" s="311">
        <f>Rounding!AH156</f>
        <v>0</v>
      </c>
      <c r="AI61" s="311">
        <f>Rounding!AI156</f>
        <v>0</v>
      </c>
      <c r="AJ61" s="311">
        <f>Rounding!AJ156</f>
        <v>0.312</v>
      </c>
      <c r="AK61" s="311">
        <f>Rounding!AK156</f>
        <v>0</v>
      </c>
      <c r="AL61" s="311">
        <f>Rounding!AL156</f>
        <v>0.224</v>
      </c>
      <c r="AM61" s="311">
        <f>Rounding!AM156</f>
        <v>0</v>
      </c>
      <c r="AN61" s="311">
        <f>Rounding!AN156</f>
        <v>0.187</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718</v>
      </c>
      <c r="G63" s="61"/>
      <c r="I63" t="s">
        <v>155</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156</v>
      </c>
    </row>
    <row r="64" spans="3:43" x14ac:dyDescent="0.25">
      <c r="F64" s="95" t="s">
        <v>157</v>
      </c>
      <c r="G64" s="143" t="s">
        <v>270</v>
      </c>
      <c r="H64" s="278"/>
      <c r="I64" s="266"/>
      <c r="J64" s="278">
        <f>Rounding!J159</f>
        <v>15.081</v>
      </c>
      <c r="K64" s="278">
        <f>Rounding!K159</f>
        <v>15.081</v>
      </c>
      <c r="L64" s="278">
        <f>Rounding!L159</f>
        <v>14.754</v>
      </c>
      <c r="M64" s="278">
        <f>Rounding!M159</f>
        <v>14.754</v>
      </c>
      <c r="N64" s="278">
        <f>Rounding!N159</f>
        <v>14.754</v>
      </c>
      <c r="O64" s="278">
        <f>Rounding!O159</f>
        <v>14.754</v>
      </c>
      <c r="P64" s="278">
        <f>Rounding!P159</f>
        <v>14.754</v>
      </c>
      <c r="Q64" s="278">
        <f>Rounding!Q159</f>
        <v>14.754</v>
      </c>
      <c r="R64" s="278">
        <f>Rounding!R159</f>
        <v>9.1620000000000008</v>
      </c>
      <c r="S64" s="278">
        <f>Rounding!S159</f>
        <v>9.1620000000000008</v>
      </c>
      <c r="T64" s="278">
        <f>Rounding!T159</f>
        <v>9.1620000000000008</v>
      </c>
      <c r="U64" s="278">
        <f>Rounding!U159</f>
        <v>9.1620000000000008</v>
      </c>
      <c r="V64" s="278">
        <f>Rounding!V159</f>
        <v>9.1620000000000008</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45.018000000000001</v>
      </c>
      <c r="AH64" s="278">
        <f>Rounding!AH159</f>
        <v>-15.28</v>
      </c>
      <c r="AI64" s="278">
        <f>Rounding!AI159</f>
        <v>0</v>
      </c>
      <c r="AJ64" s="278">
        <f>Rounding!AJ159</f>
        <v>-15.28</v>
      </c>
      <c r="AK64" s="278">
        <f>Rounding!AK159</f>
        <v>0</v>
      </c>
      <c r="AL64" s="278">
        <f>Rounding!AL159</f>
        <v>0</v>
      </c>
      <c r="AM64" s="278">
        <f>Rounding!AM159</f>
        <v>0</v>
      </c>
      <c r="AN64" s="278">
        <f>Rounding!AN159</f>
        <v>0</v>
      </c>
      <c r="AO64" s="278">
        <f>Rounding!AO159</f>
        <v>0</v>
      </c>
      <c r="AP64" s="268"/>
      <c r="AQ64" s="268"/>
    </row>
    <row r="65" spans="3:43" x14ac:dyDescent="0.25">
      <c r="E65" s="94"/>
      <c r="F65" t="s">
        <v>158</v>
      </c>
      <c r="G65" s="61" t="s">
        <v>270</v>
      </c>
      <c r="H65" s="279"/>
      <c r="I65" s="268"/>
      <c r="J65" s="279">
        <f>Rounding!J160</f>
        <v>1.2030000000000001</v>
      </c>
      <c r="K65" s="279">
        <f>Rounding!K160</f>
        <v>1.2030000000000001</v>
      </c>
      <c r="L65" s="279">
        <f>Rounding!L160</f>
        <v>1.177</v>
      </c>
      <c r="M65" s="279">
        <f>Rounding!M160</f>
        <v>1.177</v>
      </c>
      <c r="N65" s="279">
        <f>Rounding!N160</f>
        <v>1.177</v>
      </c>
      <c r="O65" s="279">
        <f>Rounding!O160</f>
        <v>1.177</v>
      </c>
      <c r="P65" s="279">
        <f>Rounding!P160</f>
        <v>1.177</v>
      </c>
      <c r="Q65" s="279">
        <f>Rounding!Q160</f>
        <v>1.177</v>
      </c>
      <c r="R65" s="279">
        <f>Rounding!R160</f>
        <v>0.65100000000000002</v>
      </c>
      <c r="S65" s="279">
        <f>Rounding!S160</f>
        <v>0.65100000000000002</v>
      </c>
      <c r="T65" s="279">
        <f>Rounding!T160</f>
        <v>0.65100000000000002</v>
      </c>
      <c r="U65" s="279">
        <f>Rounding!U160</f>
        <v>0.65100000000000002</v>
      </c>
      <c r="V65" s="279">
        <f>Rounding!V160</f>
        <v>0.65100000000000002</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2.464</v>
      </c>
      <c r="AH65" s="279">
        <f>Rounding!AH160</f>
        <v>-1.2190000000000001</v>
      </c>
      <c r="AI65" s="279">
        <f>Rounding!AI160</f>
        <v>0</v>
      </c>
      <c r="AJ65" s="279">
        <f>Rounding!AJ160</f>
        <v>-1.2190000000000001</v>
      </c>
      <c r="AK65" s="279">
        <f>Rounding!AK160</f>
        <v>0</v>
      </c>
      <c r="AL65" s="279">
        <f>Rounding!AL160</f>
        <v>0</v>
      </c>
      <c r="AM65" s="279">
        <f>Rounding!AM160</f>
        <v>0</v>
      </c>
      <c r="AN65" s="279">
        <f>Rounding!AN160</f>
        <v>0</v>
      </c>
      <c r="AO65" s="279">
        <f>Rounding!AO160</f>
        <v>0</v>
      </c>
      <c r="AP65" s="268"/>
      <c r="AQ65" s="268"/>
    </row>
    <row r="66" spans="3:43" x14ac:dyDescent="0.25">
      <c r="E66" s="94"/>
      <c r="F66" t="s">
        <v>159</v>
      </c>
      <c r="G66" s="61" t="s">
        <v>270</v>
      </c>
      <c r="H66" s="279"/>
      <c r="I66" s="268"/>
      <c r="J66" s="279">
        <f>Rounding!J161</f>
        <v>0.11899999999999999</v>
      </c>
      <c r="K66" s="279">
        <f>Rounding!K161</f>
        <v>0.11899999999999999</v>
      </c>
      <c r="L66" s="279">
        <f>Rounding!L161</f>
        <v>0.11600000000000001</v>
      </c>
      <c r="M66" s="279">
        <f>Rounding!M161</f>
        <v>0.11600000000000001</v>
      </c>
      <c r="N66" s="279">
        <f>Rounding!N161</f>
        <v>0.11600000000000001</v>
      </c>
      <c r="O66" s="279">
        <f>Rounding!O161</f>
        <v>0.11600000000000001</v>
      </c>
      <c r="P66" s="279">
        <f>Rounding!P161</f>
        <v>0.11600000000000001</v>
      </c>
      <c r="Q66" s="279">
        <f>Rounding!Q161</f>
        <v>0.11600000000000001</v>
      </c>
      <c r="R66" s="279">
        <f>Rounding!R161</f>
        <v>6.6000000000000003E-2</v>
      </c>
      <c r="S66" s="279">
        <f>Rounding!S161</f>
        <v>6.6000000000000003E-2</v>
      </c>
      <c r="T66" s="279">
        <f>Rounding!T161</f>
        <v>6.6000000000000003E-2</v>
      </c>
      <c r="U66" s="279">
        <f>Rounding!U161</f>
        <v>6.6000000000000003E-2</v>
      </c>
      <c r="V66" s="279">
        <f>Rounding!V161</f>
        <v>6.6000000000000003E-2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1.224</v>
      </c>
      <c r="AH66" s="279">
        <f>Rounding!AH161</f>
        <v>-0.121</v>
      </c>
      <c r="AI66" s="279">
        <f>Rounding!AI161</f>
        <v>0</v>
      </c>
      <c r="AJ66" s="279">
        <f>Rounding!AJ161</f>
        <v>-0.121</v>
      </c>
      <c r="AK66" s="279">
        <f>Rounding!AK161</f>
        <v>0</v>
      </c>
      <c r="AL66" s="279">
        <f>Rounding!AL161</f>
        <v>0</v>
      </c>
      <c r="AM66" s="279">
        <f>Rounding!AM161</f>
        <v>0</v>
      </c>
      <c r="AN66" s="279">
        <f>Rounding!AN161</f>
        <v>0</v>
      </c>
      <c r="AO66" s="279">
        <f>Rounding!AO161</f>
        <v>0</v>
      </c>
      <c r="AP66" s="268"/>
      <c r="AQ66" s="268"/>
    </row>
    <row r="67" spans="3:43" x14ac:dyDescent="0.25">
      <c r="E67" s="94"/>
      <c r="F67" t="s">
        <v>160</v>
      </c>
      <c r="G67" s="61" t="s">
        <v>271</v>
      </c>
      <c r="H67" s="78"/>
      <c r="J67" s="167">
        <f>Rounding!J162</f>
        <v>10.59</v>
      </c>
      <c r="K67" s="167">
        <f>Rounding!K162</f>
        <v>0</v>
      </c>
      <c r="L67" s="167">
        <f>Rounding!L162</f>
        <v>11.43</v>
      </c>
      <c r="M67" s="167">
        <f>Rounding!M162</f>
        <v>13.38</v>
      </c>
      <c r="N67" s="167">
        <f>Rounding!N162</f>
        <v>19.36</v>
      </c>
      <c r="O67" s="167">
        <f>Rounding!O162</f>
        <v>27.36</v>
      </c>
      <c r="P67" s="167">
        <f>Rounding!P162</f>
        <v>50.14</v>
      </c>
      <c r="Q67" s="167">
        <f>Rounding!Q162</f>
        <v>0</v>
      </c>
      <c r="R67" s="167">
        <f>Rounding!R162</f>
        <v>11.33</v>
      </c>
      <c r="S67" s="167">
        <f>Rounding!S162</f>
        <v>84.51</v>
      </c>
      <c r="T67" s="167">
        <f>Rounding!T162</f>
        <v>142.66</v>
      </c>
      <c r="U67" s="167">
        <f>Rounding!U162</f>
        <v>220.07</v>
      </c>
      <c r="V67" s="167">
        <f>Rounding!V162</f>
        <v>473.87</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161</v>
      </c>
      <c r="G68" s="61" t="s">
        <v>272</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7.67</v>
      </c>
      <c r="S68" s="167">
        <f>Rounding!S163</f>
        <v>7.67</v>
      </c>
      <c r="T68" s="167">
        <f>Rounding!T163</f>
        <v>7.67</v>
      </c>
      <c r="U68" s="167">
        <f>Rounding!U163</f>
        <v>7.67</v>
      </c>
      <c r="V68" s="167">
        <f>Rounding!V163</f>
        <v>7.67</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162</v>
      </c>
      <c r="G69" s="61" t="s">
        <v>272</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7.67</v>
      </c>
      <c r="S69" s="167">
        <f>Rounding!S164</f>
        <v>7.67</v>
      </c>
      <c r="T69" s="167">
        <f>Rounding!T164</f>
        <v>7.67</v>
      </c>
      <c r="U69" s="167">
        <f>Rounding!U164</f>
        <v>7.67</v>
      </c>
      <c r="V69" s="167">
        <f>Rounding!V164</f>
        <v>7.67</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163</v>
      </c>
      <c r="G70" s="144" t="s">
        <v>273</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0.15</v>
      </c>
      <c r="S70" s="311">
        <f>Rounding!S165</f>
        <v>0.15</v>
      </c>
      <c r="T70" s="311">
        <f>Rounding!T165</f>
        <v>0.15</v>
      </c>
      <c r="U70" s="311">
        <f>Rounding!U165</f>
        <v>0.15</v>
      </c>
      <c r="V70" s="311">
        <f>Rounding!V165</f>
        <v>0.15</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0.312</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719</v>
      </c>
      <c r="G72" s="61"/>
      <c r="I72" t="s">
        <v>155</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156</v>
      </c>
    </row>
    <row r="73" spans="3:43" x14ac:dyDescent="0.25">
      <c r="C73" s="105"/>
      <c r="F73" s="95" t="s">
        <v>157</v>
      </c>
      <c r="G73" s="143" t="s">
        <v>270</v>
      </c>
      <c r="H73" s="278"/>
      <c r="I73" s="266"/>
      <c r="J73" s="278">
        <f>Rounding!J168</f>
        <v>10.108000000000001</v>
      </c>
      <c r="K73" s="278">
        <f>Rounding!K168</f>
        <v>10.108000000000001</v>
      </c>
      <c r="L73" s="278">
        <f>Rounding!L168</f>
        <v>9.8889999999999993</v>
      </c>
      <c r="M73" s="278">
        <f>Rounding!M168</f>
        <v>9.8889999999999993</v>
      </c>
      <c r="N73" s="278">
        <f>Rounding!N168</f>
        <v>9.8889999999999993</v>
      </c>
      <c r="O73" s="278">
        <f>Rounding!O168</f>
        <v>9.8889999999999993</v>
      </c>
      <c r="P73" s="278">
        <f>Rounding!P168</f>
        <v>9.8889999999999993</v>
      </c>
      <c r="Q73" s="278">
        <f>Rounding!Q168</f>
        <v>9.8889999999999993</v>
      </c>
      <c r="R73" s="278">
        <f>Rounding!R168</f>
        <v>6.1420000000000003</v>
      </c>
      <c r="S73" s="278">
        <f>Rounding!S168</f>
        <v>6.1420000000000003</v>
      </c>
      <c r="T73" s="278">
        <f>Rounding!T168</f>
        <v>6.1420000000000003</v>
      </c>
      <c r="U73" s="278">
        <f>Rounding!U168</f>
        <v>6.1420000000000003</v>
      </c>
      <c r="V73" s="278">
        <f>Rounding!V168</f>
        <v>6.1420000000000003</v>
      </c>
      <c r="W73" s="278">
        <f>Rounding!W168</f>
        <v>6.7759999999999998</v>
      </c>
      <c r="X73" s="278">
        <f>Rounding!X168</f>
        <v>6.7759999999999998</v>
      </c>
      <c r="Y73" s="278">
        <f>Rounding!Y168</f>
        <v>6.7759999999999998</v>
      </c>
      <c r="Z73" s="278">
        <f>Rounding!Z168</f>
        <v>6.7759999999999998</v>
      </c>
      <c r="AA73" s="278">
        <f>Rounding!AA168</f>
        <v>6.7759999999999998</v>
      </c>
      <c r="AB73" s="278">
        <f>Rounding!AB168</f>
        <v>6.1479999999999997</v>
      </c>
      <c r="AC73" s="278">
        <f>Rounding!AC168</f>
        <v>6.1479999999999997</v>
      </c>
      <c r="AD73" s="278">
        <f>Rounding!AD168</f>
        <v>6.1479999999999997</v>
      </c>
      <c r="AE73" s="278">
        <f>Rounding!AE168</f>
        <v>6.1479999999999997</v>
      </c>
      <c r="AF73" s="278">
        <f>Rounding!AF168</f>
        <v>6.1479999999999997</v>
      </c>
      <c r="AG73" s="278">
        <f>Rounding!AG168</f>
        <v>30.175000000000001</v>
      </c>
      <c r="AH73" s="278">
        <f>Rounding!AH168</f>
        <v>-15.28</v>
      </c>
      <c r="AI73" s="278">
        <f>Rounding!AI168</f>
        <v>-13.109</v>
      </c>
      <c r="AJ73" s="278">
        <f>Rounding!AJ168</f>
        <v>-15.28</v>
      </c>
      <c r="AK73" s="278">
        <f>Rounding!AK168</f>
        <v>0</v>
      </c>
      <c r="AL73" s="278">
        <f>Rounding!AL168</f>
        <v>-13.109</v>
      </c>
      <c r="AM73" s="278">
        <f>Rounding!AM168</f>
        <v>0</v>
      </c>
      <c r="AN73" s="278">
        <f>Rounding!AN168</f>
        <v>-8.1959999999999997</v>
      </c>
      <c r="AO73" s="278">
        <f>Rounding!AO168</f>
        <v>0</v>
      </c>
      <c r="AP73" s="268"/>
      <c r="AQ73" s="268"/>
    </row>
    <row r="74" spans="3:43" x14ac:dyDescent="0.25">
      <c r="C74" s="105"/>
      <c r="F74" t="s">
        <v>158</v>
      </c>
      <c r="G74" s="61" t="s">
        <v>270</v>
      </c>
      <c r="H74" s="279"/>
      <c r="I74" s="268"/>
      <c r="J74" s="279">
        <f>Rounding!J169</f>
        <v>0.80600000000000005</v>
      </c>
      <c r="K74" s="279">
        <f>Rounding!K169</f>
        <v>0.80600000000000005</v>
      </c>
      <c r="L74" s="279">
        <f>Rounding!L169</f>
        <v>0.78900000000000003</v>
      </c>
      <c r="M74" s="279">
        <f>Rounding!M169</f>
        <v>0.78900000000000003</v>
      </c>
      <c r="N74" s="279">
        <f>Rounding!N169</f>
        <v>0.78900000000000003</v>
      </c>
      <c r="O74" s="279">
        <f>Rounding!O169</f>
        <v>0.78900000000000003</v>
      </c>
      <c r="P74" s="279">
        <f>Rounding!P169</f>
        <v>0.78900000000000003</v>
      </c>
      <c r="Q74" s="279">
        <f>Rounding!Q169</f>
        <v>0.78900000000000003</v>
      </c>
      <c r="R74" s="279">
        <f>Rounding!R169</f>
        <v>0.437</v>
      </c>
      <c r="S74" s="279">
        <f>Rounding!S169</f>
        <v>0.437</v>
      </c>
      <c r="T74" s="279">
        <f>Rounding!T169</f>
        <v>0.437</v>
      </c>
      <c r="U74" s="279">
        <f>Rounding!U169</f>
        <v>0.437</v>
      </c>
      <c r="V74" s="279">
        <f>Rounding!V169</f>
        <v>0.437</v>
      </c>
      <c r="W74" s="279">
        <f>Rounding!W169</f>
        <v>0.34200000000000003</v>
      </c>
      <c r="X74" s="279">
        <f>Rounding!X169</f>
        <v>0.34200000000000003</v>
      </c>
      <c r="Y74" s="279">
        <f>Rounding!Y169</f>
        <v>0.34200000000000003</v>
      </c>
      <c r="Z74" s="279">
        <f>Rounding!Z169</f>
        <v>0.34200000000000003</v>
      </c>
      <c r="AA74" s="279">
        <f>Rounding!AA169</f>
        <v>0.34200000000000003</v>
      </c>
      <c r="AB74" s="279">
        <f>Rounding!AB169</f>
        <v>0.23599999999999999</v>
      </c>
      <c r="AC74" s="279">
        <f>Rounding!AC169</f>
        <v>0.23599999999999999</v>
      </c>
      <c r="AD74" s="279">
        <f>Rounding!AD169</f>
        <v>0.23599999999999999</v>
      </c>
      <c r="AE74" s="279">
        <f>Rounding!AE169</f>
        <v>0.23599999999999999</v>
      </c>
      <c r="AF74" s="279">
        <f>Rounding!AF169</f>
        <v>0.23599999999999999</v>
      </c>
      <c r="AG74" s="279">
        <f>Rounding!AG169</f>
        <v>1.6519999999999999</v>
      </c>
      <c r="AH74" s="279">
        <f>Rounding!AH169</f>
        <v>-1.2190000000000001</v>
      </c>
      <c r="AI74" s="279">
        <f>Rounding!AI169</f>
        <v>-0.97499999999999998</v>
      </c>
      <c r="AJ74" s="279">
        <f>Rounding!AJ169</f>
        <v>-1.2190000000000001</v>
      </c>
      <c r="AK74" s="279">
        <f>Rounding!AK169</f>
        <v>0</v>
      </c>
      <c r="AL74" s="279">
        <f>Rounding!AL169</f>
        <v>-0.97499999999999998</v>
      </c>
      <c r="AM74" s="279">
        <f>Rounding!AM169</f>
        <v>0</v>
      </c>
      <c r="AN74" s="279">
        <f>Rounding!AN169</f>
        <v>-0.41399999999999998</v>
      </c>
      <c r="AO74" s="279">
        <f>Rounding!AO169</f>
        <v>0</v>
      </c>
      <c r="AP74" s="268"/>
      <c r="AQ74" s="268"/>
    </row>
    <row r="75" spans="3:43" x14ac:dyDescent="0.25">
      <c r="C75" s="105"/>
      <c r="F75" t="s">
        <v>159</v>
      </c>
      <c r="G75" s="61" t="s">
        <v>270</v>
      </c>
      <c r="H75" s="279"/>
      <c r="I75" s="268"/>
      <c r="J75" s="279">
        <f>Rounding!J170</f>
        <v>0.08</v>
      </c>
      <c r="K75" s="279">
        <f>Rounding!K170</f>
        <v>0.08</v>
      </c>
      <c r="L75" s="279">
        <f>Rounding!L170</f>
        <v>7.8E-2</v>
      </c>
      <c r="M75" s="279">
        <f>Rounding!M170</f>
        <v>7.8E-2</v>
      </c>
      <c r="N75" s="279">
        <f>Rounding!N170</f>
        <v>7.8E-2</v>
      </c>
      <c r="O75" s="279">
        <f>Rounding!O170</f>
        <v>7.8E-2</v>
      </c>
      <c r="P75" s="279">
        <f>Rounding!P170</f>
        <v>7.8E-2</v>
      </c>
      <c r="Q75" s="279">
        <f>Rounding!Q170</f>
        <v>7.8E-2</v>
      </c>
      <c r="R75" s="279">
        <f>Rounding!R170</f>
        <v>4.3999999999999997E-2</v>
      </c>
      <c r="S75" s="279">
        <f>Rounding!S170</f>
        <v>4.3999999999999997E-2</v>
      </c>
      <c r="T75" s="279">
        <f>Rounding!T170</f>
        <v>4.3999999999999997E-2</v>
      </c>
      <c r="U75" s="279">
        <f>Rounding!U170</f>
        <v>4.3999999999999997E-2</v>
      </c>
      <c r="V75" s="279">
        <f>Rounding!V170</f>
        <v>4.3999999999999997E-2</v>
      </c>
      <c r="W75" s="279">
        <f>Rounding!W170</f>
        <v>3.6999999999999998E-2</v>
      </c>
      <c r="X75" s="279">
        <f>Rounding!X170</f>
        <v>3.6999999999999998E-2</v>
      </c>
      <c r="Y75" s="279">
        <f>Rounding!Y170</f>
        <v>3.6999999999999998E-2</v>
      </c>
      <c r="Z75" s="279">
        <f>Rounding!Z170</f>
        <v>3.6999999999999998E-2</v>
      </c>
      <c r="AA75" s="279">
        <f>Rounding!AA170</f>
        <v>3.6999999999999998E-2</v>
      </c>
      <c r="AB75" s="279">
        <f>Rounding!AB170</f>
        <v>2.7E-2</v>
      </c>
      <c r="AC75" s="279">
        <f>Rounding!AC170</f>
        <v>2.7E-2</v>
      </c>
      <c r="AD75" s="279">
        <f>Rounding!AD170</f>
        <v>2.7E-2</v>
      </c>
      <c r="AE75" s="279">
        <f>Rounding!AE170</f>
        <v>2.7E-2</v>
      </c>
      <c r="AF75" s="279">
        <f>Rounding!AF170</f>
        <v>2.7E-2</v>
      </c>
      <c r="AG75" s="279">
        <f>Rounding!AG170</f>
        <v>0.82099999999999995</v>
      </c>
      <c r="AH75" s="279">
        <f>Rounding!AH170</f>
        <v>-0.121</v>
      </c>
      <c r="AI75" s="279">
        <f>Rounding!AI170</f>
        <v>-9.7000000000000003E-2</v>
      </c>
      <c r="AJ75" s="279">
        <f>Rounding!AJ170</f>
        <v>-0.121</v>
      </c>
      <c r="AK75" s="279">
        <f>Rounding!AK170</f>
        <v>0</v>
      </c>
      <c r="AL75" s="279">
        <f>Rounding!AL170</f>
        <v>-9.7000000000000003E-2</v>
      </c>
      <c r="AM75" s="279">
        <f>Rounding!AM170</f>
        <v>0</v>
      </c>
      <c r="AN75" s="279">
        <f>Rounding!AN170</f>
        <v>-4.4999999999999998E-2</v>
      </c>
      <c r="AO75" s="279">
        <f>Rounding!AO170</f>
        <v>0</v>
      </c>
      <c r="AP75" s="268"/>
      <c r="AQ75" s="268"/>
    </row>
    <row r="76" spans="3:43" x14ac:dyDescent="0.25">
      <c r="C76" s="105"/>
      <c r="F76" t="s">
        <v>160</v>
      </c>
      <c r="G76" s="61" t="s">
        <v>271</v>
      </c>
      <c r="H76" s="78"/>
      <c r="J76" s="167">
        <f>Rounding!J171</f>
        <v>7.1</v>
      </c>
      <c r="K76" s="167">
        <f>Rounding!K171</f>
        <v>0</v>
      </c>
      <c r="L76" s="167">
        <f>Rounding!L171</f>
        <v>7.66</v>
      </c>
      <c r="M76" s="167">
        <f>Rounding!M171</f>
        <v>8.9700000000000006</v>
      </c>
      <c r="N76" s="167">
        <f>Rounding!N171</f>
        <v>12.97</v>
      </c>
      <c r="O76" s="167">
        <f>Rounding!O171</f>
        <v>18.34</v>
      </c>
      <c r="P76" s="167">
        <f>Rounding!P171</f>
        <v>33.61</v>
      </c>
      <c r="Q76" s="167">
        <f>Rounding!Q171</f>
        <v>0</v>
      </c>
      <c r="R76" s="167">
        <f>Rounding!R171</f>
        <v>7.6</v>
      </c>
      <c r="S76" s="167">
        <f>Rounding!S171</f>
        <v>56.65</v>
      </c>
      <c r="T76" s="167">
        <f>Rounding!T171</f>
        <v>95.62</v>
      </c>
      <c r="U76" s="167">
        <f>Rounding!U171</f>
        <v>147.51</v>
      </c>
      <c r="V76" s="167">
        <f>Rounding!V171</f>
        <v>317.64</v>
      </c>
      <c r="W76" s="167">
        <f>Rounding!W171</f>
        <v>10.28</v>
      </c>
      <c r="X76" s="167">
        <f>Rounding!X171</f>
        <v>95.3</v>
      </c>
      <c r="Y76" s="167">
        <f>Rounding!Y171</f>
        <v>162.86000000000001</v>
      </c>
      <c r="Z76" s="167">
        <f>Rounding!Z171</f>
        <v>252.81</v>
      </c>
      <c r="AA76" s="167">
        <f>Rounding!AA171</f>
        <v>547.71</v>
      </c>
      <c r="AB76" s="167">
        <f>Rounding!AB171</f>
        <v>112.73</v>
      </c>
      <c r="AC76" s="167">
        <f>Rounding!AC171</f>
        <v>848.4</v>
      </c>
      <c r="AD76" s="167">
        <f>Rounding!AD171</f>
        <v>1810.11</v>
      </c>
      <c r="AE76" s="167">
        <f>Rounding!AE171</f>
        <v>3952.13</v>
      </c>
      <c r="AF76" s="167">
        <f>Rounding!AF171</f>
        <v>7507.68</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161</v>
      </c>
      <c r="G77" s="61" t="s">
        <v>272</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5.14</v>
      </c>
      <c r="S77" s="167">
        <f>Rounding!S172</f>
        <v>5.14</v>
      </c>
      <c r="T77" s="167">
        <f>Rounding!T172</f>
        <v>5.14</v>
      </c>
      <c r="U77" s="167">
        <f>Rounding!U172</f>
        <v>5.14</v>
      </c>
      <c r="V77" s="167">
        <f>Rounding!V172</f>
        <v>5.14</v>
      </c>
      <c r="W77" s="167">
        <f>Rounding!W172</f>
        <v>7.63</v>
      </c>
      <c r="X77" s="167">
        <f>Rounding!X172</f>
        <v>7.63</v>
      </c>
      <c r="Y77" s="167">
        <f>Rounding!Y172</f>
        <v>7.63</v>
      </c>
      <c r="Z77" s="167">
        <f>Rounding!Z172</f>
        <v>7.63</v>
      </c>
      <c r="AA77" s="167">
        <f>Rounding!AA172</f>
        <v>7.63</v>
      </c>
      <c r="AB77" s="167">
        <f>Rounding!AB172</f>
        <v>8.6999999999999993</v>
      </c>
      <c r="AC77" s="167">
        <f>Rounding!AC172</f>
        <v>8.6999999999999993</v>
      </c>
      <c r="AD77" s="167">
        <f>Rounding!AD172</f>
        <v>8.6999999999999993</v>
      </c>
      <c r="AE77" s="167">
        <f>Rounding!AE172</f>
        <v>8.6999999999999993</v>
      </c>
      <c r="AF77" s="167">
        <f>Rounding!AF172</f>
        <v>8.6999999999999993</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162</v>
      </c>
      <c r="G78" s="61" t="s">
        <v>272</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5.14</v>
      </c>
      <c r="S78" s="167">
        <f>Rounding!S173</f>
        <v>5.14</v>
      </c>
      <c r="T78" s="167">
        <f>Rounding!T173</f>
        <v>5.14</v>
      </c>
      <c r="U78" s="167">
        <f>Rounding!U173</f>
        <v>5.14</v>
      </c>
      <c r="V78" s="167">
        <f>Rounding!V173</f>
        <v>5.14</v>
      </c>
      <c r="W78" s="167">
        <f>Rounding!W173</f>
        <v>7.63</v>
      </c>
      <c r="X78" s="167">
        <f>Rounding!X173</f>
        <v>7.63</v>
      </c>
      <c r="Y78" s="167">
        <f>Rounding!Y173</f>
        <v>7.63</v>
      </c>
      <c r="Z78" s="167">
        <f>Rounding!Z173</f>
        <v>7.63</v>
      </c>
      <c r="AA78" s="167">
        <f>Rounding!AA173</f>
        <v>7.63</v>
      </c>
      <c r="AB78" s="167">
        <f>Rounding!AB173</f>
        <v>8.6999999999999993</v>
      </c>
      <c r="AC78" s="167">
        <f>Rounding!AC173</f>
        <v>8.6999999999999993</v>
      </c>
      <c r="AD78" s="167">
        <f>Rounding!AD173</f>
        <v>8.6999999999999993</v>
      </c>
      <c r="AE78" s="167">
        <f>Rounding!AE173</f>
        <v>8.6999999999999993</v>
      </c>
      <c r="AF78" s="167">
        <f>Rounding!AF173</f>
        <v>8.6999999999999993</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163</v>
      </c>
      <c r="G79" s="144" t="s">
        <v>273</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0.10100000000000001</v>
      </c>
      <c r="S79" s="311">
        <f>Rounding!S174</f>
        <v>0.10100000000000001</v>
      </c>
      <c r="T79" s="311">
        <f>Rounding!T174</f>
        <v>0.10100000000000001</v>
      </c>
      <c r="U79" s="311">
        <f>Rounding!U174</f>
        <v>0.10100000000000001</v>
      </c>
      <c r="V79" s="311">
        <f>Rounding!V174</f>
        <v>0.10100000000000001</v>
      </c>
      <c r="W79" s="311">
        <f>Rounding!W174</f>
        <v>9.6000000000000002E-2</v>
      </c>
      <c r="X79" s="311">
        <f>Rounding!X174</f>
        <v>9.6000000000000002E-2</v>
      </c>
      <c r="Y79" s="311">
        <f>Rounding!Y174</f>
        <v>9.6000000000000002E-2</v>
      </c>
      <c r="Z79" s="311">
        <f>Rounding!Z174</f>
        <v>9.6000000000000002E-2</v>
      </c>
      <c r="AA79" s="311">
        <f>Rounding!AA174</f>
        <v>9.6000000000000002E-2</v>
      </c>
      <c r="AB79" s="311">
        <f>Rounding!AB174</f>
        <v>7.9000000000000001E-2</v>
      </c>
      <c r="AC79" s="311">
        <f>Rounding!AC174</f>
        <v>7.9000000000000001E-2</v>
      </c>
      <c r="AD79" s="311">
        <f>Rounding!AD174</f>
        <v>7.9000000000000001E-2</v>
      </c>
      <c r="AE79" s="311">
        <f>Rounding!AE174</f>
        <v>7.9000000000000001E-2</v>
      </c>
      <c r="AF79" s="311">
        <f>Rounding!AF174</f>
        <v>7.9000000000000001E-2</v>
      </c>
      <c r="AG79" s="311">
        <f>Rounding!AG174</f>
        <v>0</v>
      </c>
      <c r="AH79" s="311">
        <f>Rounding!AH174</f>
        <v>0</v>
      </c>
      <c r="AI79" s="311">
        <f>Rounding!AI174</f>
        <v>0</v>
      </c>
      <c r="AJ79" s="311">
        <f>Rounding!AJ174</f>
        <v>0.312</v>
      </c>
      <c r="AK79" s="311">
        <f>Rounding!AK174</f>
        <v>0</v>
      </c>
      <c r="AL79" s="311">
        <f>Rounding!AL174</f>
        <v>0.224</v>
      </c>
      <c r="AM79" s="311">
        <f>Rounding!AM174</f>
        <v>0</v>
      </c>
      <c r="AN79" s="311">
        <f>Rounding!AN174</f>
        <v>0.187</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control'!$H$42:$H$65,MATCH($A$1,'Version control'!$F$42:$F$65,0),1)&amp;"-C: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695</v>
      </c>
      <c r="G83" s="61" t="s">
        <v>278</v>
      </c>
      <c r="H83" s="167">
        <f>'General inputs'!H86</f>
        <v>488464679.24631959</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720</v>
      </c>
      <c r="G85" s="61" t="s">
        <v>278</v>
      </c>
      <c r="H85" s="167">
        <f>'Revenue matching'!H82</f>
        <v>431354076.13726324</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846</v>
      </c>
      <c r="G86" s="61" t="s">
        <v>278</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847</v>
      </c>
      <c r="G87" s="61" t="s">
        <v>278</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961</v>
      </c>
      <c r="G88" s="61" t="s">
        <v>278</v>
      </c>
      <c r="H88" s="171">
        <f>'Revenue matching'!H84</f>
        <v>57110603.109056354</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721</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control'!$H$42:$H$65,MATCH($A$1,'Version control'!$F$42:$F$65,0),1)&amp;"-D: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722</v>
      </c>
      <c r="G94" s="61"/>
      <c r="H94" s="355" t="s">
        <v>503</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157</v>
      </c>
      <c r="G95" s="143" t="s">
        <v>278</v>
      </c>
      <c r="H95" s="147">
        <f t="shared" ref="H95:H101" si="0">SUM(J95:AO95)</f>
        <v>157761944.35039458</v>
      </c>
      <c r="I95" s="95"/>
      <c r="J95" s="147">
        <f t="shared" ref="J95:AO95" si="1">J22 * thousand * J55 / hundred</f>
        <v>109071018.23676404</v>
      </c>
      <c r="K95" s="147">
        <f t="shared" si="1"/>
        <v>9377.9437729908859</v>
      </c>
      <c r="L95" s="147">
        <f t="shared" si="1"/>
        <v>12511.11638531602</v>
      </c>
      <c r="M95" s="147">
        <f t="shared" si="1"/>
        <v>2170310.0274450313</v>
      </c>
      <c r="N95" s="147">
        <f t="shared" si="1"/>
        <v>6402165.4533900972</v>
      </c>
      <c r="O95" s="147">
        <f t="shared" si="1"/>
        <v>5226669.9092652025</v>
      </c>
      <c r="P95" s="147">
        <f t="shared" si="1"/>
        <v>13209319.029256796</v>
      </c>
      <c r="Q95" s="147">
        <f t="shared" si="1"/>
        <v>6460.6097756737672</v>
      </c>
      <c r="R95" s="147">
        <f t="shared" si="1"/>
        <v>19362.065412729433</v>
      </c>
      <c r="S95" s="147">
        <f t="shared" si="1"/>
        <v>4431910.7342402022</v>
      </c>
      <c r="T95" s="147">
        <f t="shared" si="1"/>
        <v>3834312.0197521742</v>
      </c>
      <c r="U95" s="147">
        <f t="shared" si="1"/>
        <v>2754016.5424123867</v>
      </c>
      <c r="V95" s="147">
        <f t="shared" si="1"/>
        <v>2271338.6018707864</v>
      </c>
      <c r="W95" s="147">
        <f t="shared" si="1"/>
        <v>3879.4100044629317</v>
      </c>
      <c r="X95" s="147">
        <f t="shared" si="1"/>
        <v>285923.10460346757</v>
      </c>
      <c r="Y95" s="147">
        <f t="shared" si="1"/>
        <v>524308.61874500383</v>
      </c>
      <c r="Z95" s="147">
        <f t="shared" si="1"/>
        <v>796884.74086646002</v>
      </c>
      <c r="AA95" s="147">
        <f t="shared" si="1"/>
        <v>2281326.4111499772</v>
      </c>
      <c r="AB95" s="147">
        <f t="shared" si="1"/>
        <v>35395.986258572906</v>
      </c>
      <c r="AC95" s="147">
        <f t="shared" si="1"/>
        <v>1257214.6497454019</v>
      </c>
      <c r="AD95" s="147">
        <f t="shared" si="1"/>
        <v>2318781.0666726204</v>
      </c>
      <c r="AE95" s="147">
        <f t="shared" si="1"/>
        <v>2138261.337621267</v>
      </c>
      <c r="AF95" s="147">
        <f t="shared" si="1"/>
        <v>3750672.1208390896</v>
      </c>
      <c r="AG95" s="147">
        <f t="shared" si="1"/>
        <v>2162336.8415119941</v>
      </c>
      <c r="AH95" s="147">
        <f t="shared" si="1"/>
        <v>-1617783.4258387364</v>
      </c>
      <c r="AI95" s="147">
        <f t="shared" si="1"/>
        <v>-169918.03218278103</v>
      </c>
      <c r="AJ95" s="147">
        <f t="shared" si="1"/>
        <v>-677141.58800198138</v>
      </c>
      <c r="AK95" s="147">
        <f t="shared" si="1"/>
        <v>0</v>
      </c>
      <c r="AL95" s="147">
        <f t="shared" si="1"/>
        <v>0</v>
      </c>
      <c r="AM95" s="147">
        <f t="shared" si="1"/>
        <v>0</v>
      </c>
      <c r="AN95" s="147">
        <f t="shared" si="1"/>
        <v>-4746969.1813436504</v>
      </c>
      <c r="AO95" s="147">
        <f t="shared" si="1"/>
        <v>0</v>
      </c>
    </row>
    <row r="96" spans="2:43" x14ac:dyDescent="0.25">
      <c r="E96" s="94"/>
      <c r="F96" t="s">
        <v>158</v>
      </c>
      <c r="G96" s="61" t="s">
        <v>278</v>
      </c>
      <c r="H96" s="168">
        <f t="shared" si="0"/>
        <v>72956942.605513319</v>
      </c>
      <c r="J96" s="168">
        <f t="shared" ref="J96:AO96" si="2">J23 * thousand * J56 / hundred</f>
        <v>46138938.954591028</v>
      </c>
      <c r="K96" s="168">
        <f t="shared" si="2"/>
        <v>58546.418929324558</v>
      </c>
      <c r="L96" s="168">
        <f t="shared" si="2"/>
        <v>8261.8588320873532</v>
      </c>
      <c r="M96" s="168">
        <f t="shared" si="2"/>
        <v>1458255.9536691091</v>
      </c>
      <c r="N96" s="168">
        <f t="shared" si="2"/>
        <v>4301687.6716786325</v>
      </c>
      <c r="O96" s="168">
        <f t="shared" si="2"/>
        <v>3511858.8665518253</v>
      </c>
      <c r="P96" s="168">
        <f t="shared" si="2"/>
        <v>8875491.4619295131</v>
      </c>
      <c r="Q96" s="168">
        <f t="shared" si="2"/>
        <v>31544.871898125162</v>
      </c>
      <c r="R96" s="168">
        <f t="shared" si="2"/>
        <v>8987.6988598668668</v>
      </c>
      <c r="S96" s="168">
        <f t="shared" si="2"/>
        <v>2247859.0999399791</v>
      </c>
      <c r="T96" s="168">
        <f t="shared" si="2"/>
        <v>1944757.8442905596</v>
      </c>
      <c r="U96" s="168">
        <f t="shared" si="2"/>
        <v>1396833.4466709953</v>
      </c>
      <c r="V96" s="168">
        <f t="shared" si="2"/>
        <v>1152019.8513509771</v>
      </c>
      <c r="W96" s="168">
        <f t="shared" si="2"/>
        <v>2154.1399373172799</v>
      </c>
      <c r="X96" s="168">
        <f t="shared" si="2"/>
        <v>103024.45708170785</v>
      </c>
      <c r="Y96" s="168">
        <f t="shared" si="2"/>
        <v>188920.06249154682</v>
      </c>
      <c r="Z96" s="168">
        <f t="shared" si="2"/>
        <v>287135.30478176288</v>
      </c>
      <c r="AA96" s="168">
        <f t="shared" si="2"/>
        <v>822012.67106707604</v>
      </c>
      <c r="AB96" s="168">
        <f t="shared" si="2"/>
        <v>21815.274941474214</v>
      </c>
      <c r="AC96" s="168">
        <f t="shared" si="2"/>
        <v>330529.98917207541</v>
      </c>
      <c r="AD96" s="168">
        <f t="shared" si="2"/>
        <v>609622.77286135929</v>
      </c>
      <c r="AE96" s="168">
        <f t="shared" si="2"/>
        <v>562162.95038731094</v>
      </c>
      <c r="AF96" s="168">
        <f t="shared" si="2"/>
        <v>986076.33608151367</v>
      </c>
      <c r="AG96" s="168">
        <f t="shared" si="2"/>
        <v>1259650.6126679732</v>
      </c>
      <c r="AH96" s="168">
        <f t="shared" si="2"/>
        <v>-1418111.172936684</v>
      </c>
      <c r="AI96" s="168">
        <f t="shared" si="2"/>
        <v>-110940.29167806411</v>
      </c>
      <c r="AJ96" s="168">
        <f t="shared" si="2"/>
        <v>-510906.58396693139</v>
      </c>
      <c r="AK96" s="168">
        <f t="shared" si="2"/>
        <v>0</v>
      </c>
      <c r="AL96" s="168">
        <f t="shared" si="2"/>
        <v>0</v>
      </c>
      <c r="AM96" s="168">
        <f t="shared" si="2"/>
        <v>0</v>
      </c>
      <c r="AN96" s="168">
        <f t="shared" si="2"/>
        <v>-1311247.9165681498</v>
      </c>
      <c r="AO96" s="168">
        <f t="shared" si="2"/>
        <v>0</v>
      </c>
    </row>
    <row r="97" spans="5:41" x14ac:dyDescent="0.25">
      <c r="E97" s="94"/>
      <c r="F97" t="s">
        <v>159</v>
      </c>
      <c r="G97" s="61" t="s">
        <v>278</v>
      </c>
      <c r="H97" s="168">
        <f t="shared" si="0"/>
        <v>9177994.7330693752</v>
      </c>
      <c r="J97" s="168">
        <f t="shared" ref="J97:AO97" si="3">J24 * thousand * J57 / hundred</f>
        <v>5426055.3050698983</v>
      </c>
      <c r="K97" s="168">
        <f t="shared" si="3"/>
        <v>45389.223316875796</v>
      </c>
      <c r="L97" s="168">
        <f t="shared" si="3"/>
        <v>820.62768783464276</v>
      </c>
      <c r="M97" s="168">
        <f t="shared" si="3"/>
        <v>116465.33026620647</v>
      </c>
      <c r="N97" s="168">
        <f t="shared" si="3"/>
        <v>343559.35535429418</v>
      </c>
      <c r="O97" s="168">
        <f t="shared" si="3"/>
        <v>280478.74703487859</v>
      </c>
      <c r="P97" s="168">
        <f t="shared" si="3"/>
        <v>708851.58520194108</v>
      </c>
      <c r="Q97" s="168">
        <f t="shared" si="3"/>
        <v>22081.842147191983</v>
      </c>
      <c r="R97" s="168">
        <f t="shared" si="3"/>
        <v>1102.7421215308391</v>
      </c>
      <c r="S97" s="168">
        <f t="shared" si="3"/>
        <v>207629.7988498701</v>
      </c>
      <c r="T97" s="168">
        <f t="shared" si="3"/>
        <v>179633.00281255948</v>
      </c>
      <c r="U97" s="168">
        <f t="shared" si="3"/>
        <v>129022.43186275044</v>
      </c>
      <c r="V97" s="168">
        <f t="shared" si="3"/>
        <v>106409.53875331748</v>
      </c>
      <c r="W97" s="168">
        <f t="shared" si="3"/>
        <v>156.27729247838764</v>
      </c>
      <c r="X97" s="168">
        <f t="shared" si="3"/>
        <v>11354.575822327828</v>
      </c>
      <c r="Y97" s="168">
        <f t="shared" si="3"/>
        <v>20821.339269159296</v>
      </c>
      <c r="Z97" s="168">
        <f t="shared" si="3"/>
        <v>31645.879840221034</v>
      </c>
      <c r="AA97" s="168">
        <f t="shared" si="3"/>
        <v>90596.014431242642</v>
      </c>
      <c r="AB97" s="168">
        <f t="shared" si="3"/>
        <v>3396.3692919686896</v>
      </c>
      <c r="AC97" s="168">
        <f t="shared" si="3"/>
        <v>42673.648297817483</v>
      </c>
      <c r="AD97" s="168">
        <f t="shared" si="3"/>
        <v>78706.406848555271</v>
      </c>
      <c r="AE97" s="168">
        <f t="shared" si="3"/>
        <v>72579.024042512727</v>
      </c>
      <c r="AF97" s="168">
        <f t="shared" si="3"/>
        <v>127309.09793131126</v>
      </c>
      <c r="AG97" s="168">
        <f t="shared" si="3"/>
        <v>1351307.387514442</v>
      </c>
      <c r="AH97" s="168">
        <f t="shared" si="3"/>
        <v>-58192.605787212233</v>
      </c>
      <c r="AI97" s="168">
        <f t="shared" si="3"/>
        <v>-11235.413675219366</v>
      </c>
      <c r="AJ97" s="168">
        <f t="shared" si="3"/>
        <v>-36923.537770009127</v>
      </c>
      <c r="AK97" s="168">
        <f t="shared" si="3"/>
        <v>0</v>
      </c>
      <c r="AL97" s="168">
        <f t="shared" si="3"/>
        <v>0</v>
      </c>
      <c r="AM97" s="168">
        <f t="shared" si="3"/>
        <v>0</v>
      </c>
      <c r="AN97" s="168">
        <f t="shared" si="3"/>
        <v>-113699.26075937292</v>
      </c>
      <c r="AO97" s="168">
        <f t="shared" si="3"/>
        <v>0</v>
      </c>
    </row>
    <row r="98" spans="5:41" x14ac:dyDescent="0.25">
      <c r="E98" s="94"/>
      <c r="F98" s="95" t="s">
        <v>160</v>
      </c>
      <c r="G98" s="143" t="s">
        <v>278</v>
      </c>
      <c r="H98" s="147">
        <f t="shared" si="0"/>
        <v>138353597.87795722</v>
      </c>
      <c r="I98" s="95"/>
      <c r="J98" s="147">
        <f t="shared" ref="J98:AO98" si="4" xml:space="preserve"> J25 * J58 * days_in_year / hundred</f>
        <v>99270104.657804161</v>
      </c>
      <c r="K98" s="147">
        <f t="shared" si="4"/>
        <v>0</v>
      </c>
      <c r="L98" s="147">
        <f t="shared" si="4"/>
        <v>4202.8863522202146</v>
      </c>
      <c r="M98" s="147">
        <f t="shared" si="4"/>
        <v>4965854.4797306014</v>
      </c>
      <c r="N98" s="147">
        <f t="shared" si="4"/>
        <v>5165522.8904555859</v>
      </c>
      <c r="O98" s="147">
        <f t="shared" si="4"/>
        <v>2953412.4285312863</v>
      </c>
      <c r="P98" s="147">
        <f t="shared" si="4"/>
        <v>5637675.7064853562</v>
      </c>
      <c r="Q98" s="147">
        <f t="shared" si="4"/>
        <v>0</v>
      </c>
      <c r="R98" s="147">
        <f t="shared" si="4"/>
        <v>4831.0011875928703</v>
      </c>
      <c r="S98" s="147">
        <f t="shared" si="4"/>
        <v>2499328.5934320115</v>
      </c>
      <c r="T98" s="147">
        <f t="shared" si="4"/>
        <v>2037819.46939574</v>
      </c>
      <c r="U98" s="147">
        <f t="shared" si="4"/>
        <v>1469150.6453777202</v>
      </c>
      <c r="V98" s="147">
        <f t="shared" si="4"/>
        <v>1419845.9200891855</v>
      </c>
      <c r="W98" s="147">
        <f t="shared" si="4"/>
        <v>612.6679358964609</v>
      </c>
      <c r="X98" s="147">
        <f t="shared" si="4"/>
        <v>193264.46584382222</v>
      </c>
      <c r="Y98" s="147">
        <f t="shared" si="4"/>
        <v>353262.40246186929</v>
      </c>
      <c r="Z98" s="147">
        <f t="shared" si="4"/>
        <v>514020.73069782765</v>
      </c>
      <c r="AA98" s="147">
        <f t="shared" si="4"/>
        <v>1485737.7832991988</v>
      </c>
      <c r="AB98" s="147">
        <f t="shared" si="4"/>
        <v>83701.292265681244</v>
      </c>
      <c r="AC98" s="147">
        <f t="shared" si="4"/>
        <v>1509245.0506720245</v>
      </c>
      <c r="AD98" s="147">
        <f t="shared" si="4"/>
        <v>2568285.0045877914</v>
      </c>
      <c r="AE98" s="147">
        <f t="shared" si="4"/>
        <v>2287054.4893415351</v>
      </c>
      <c r="AF98" s="147">
        <f t="shared" si="4"/>
        <v>3829690.332480642</v>
      </c>
      <c r="AG98" s="147">
        <f t="shared" si="4"/>
        <v>0</v>
      </c>
      <c r="AH98" s="147">
        <f t="shared" si="4"/>
        <v>0</v>
      </c>
      <c r="AI98" s="147">
        <f t="shared" si="4"/>
        <v>0</v>
      </c>
      <c r="AJ98" s="147">
        <f t="shared" si="4"/>
        <v>0</v>
      </c>
      <c r="AK98" s="147">
        <f t="shared" si="4"/>
        <v>0</v>
      </c>
      <c r="AL98" s="147">
        <f t="shared" si="4"/>
        <v>0</v>
      </c>
      <c r="AM98" s="147">
        <f t="shared" si="4"/>
        <v>0</v>
      </c>
      <c r="AN98" s="147">
        <f t="shared" si="4"/>
        <v>100974.97952947571</v>
      </c>
      <c r="AO98" s="147">
        <f t="shared" si="4"/>
        <v>0</v>
      </c>
    </row>
    <row r="99" spans="5:41" x14ac:dyDescent="0.25">
      <c r="E99" s="94"/>
      <c r="F99" t="s">
        <v>161</v>
      </c>
      <c r="G99" s="61" t="s">
        <v>278</v>
      </c>
      <c r="H99" s="168">
        <f t="shared" si="0"/>
        <v>93742829.889814079</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107174.98733051673</v>
      </c>
      <c r="S99" s="168">
        <f t="shared" si="5"/>
        <v>10077458.827497549</v>
      </c>
      <c r="T99" s="168">
        <f t="shared" si="5"/>
        <v>12720900.282180874</v>
      </c>
      <c r="U99" s="168">
        <f t="shared" si="5"/>
        <v>9640325.7849538606</v>
      </c>
      <c r="V99" s="168">
        <f t="shared" si="5"/>
        <v>8331875.6858115168</v>
      </c>
      <c r="W99" s="168">
        <f t="shared" si="5"/>
        <v>33305.624264308164</v>
      </c>
      <c r="X99" s="168">
        <f t="shared" si="5"/>
        <v>841103.08629337593</v>
      </c>
      <c r="Y99" s="168">
        <f t="shared" si="5"/>
        <v>2059106.5403821615</v>
      </c>
      <c r="Z99" s="168">
        <f t="shared" si="5"/>
        <v>3173568.1297208839</v>
      </c>
      <c r="AA99" s="168">
        <f t="shared" si="5"/>
        <v>9024301.946251085</v>
      </c>
      <c r="AB99" s="168">
        <f t="shared" si="5"/>
        <v>1154591.6676092448</v>
      </c>
      <c r="AC99" s="168">
        <f t="shared" si="5"/>
        <v>4282617.4035564838</v>
      </c>
      <c r="AD99" s="168">
        <f t="shared" si="5"/>
        <v>8948879.1384629421</v>
      </c>
      <c r="AE99" s="168">
        <f t="shared" si="5"/>
        <v>7253073.4588851938</v>
      </c>
      <c r="AF99" s="168">
        <f t="shared" si="5"/>
        <v>16094547.326614076</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162</v>
      </c>
      <c r="G100" s="61" t="s">
        <v>278</v>
      </c>
      <c r="H100" s="168">
        <f t="shared" si="0"/>
        <v>2062956.8518000005</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9145.4439999999995</v>
      </c>
      <c r="S100" s="168">
        <f t="shared" si="6"/>
        <v>318379.63228808413</v>
      </c>
      <c r="T100" s="168">
        <f t="shared" si="6"/>
        <v>401894.5275333717</v>
      </c>
      <c r="U100" s="168">
        <f t="shared" si="6"/>
        <v>304569.1806922633</v>
      </c>
      <c r="V100" s="168">
        <f t="shared" si="6"/>
        <v>263230.9952862811</v>
      </c>
      <c r="W100" s="168">
        <f t="shared" si="6"/>
        <v>2681.614</v>
      </c>
      <c r="X100" s="168">
        <f t="shared" si="6"/>
        <v>9843.0470994970838</v>
      </c>
      <c r="Y100" s="168">
        <f t="shared" si="6"/>
        <v>24096.787885040158</v>
      </c>
      <c r="Z100" s="168">
        <f t="shared" si="6"/>
        <v>37138.8252918738</v>
      </c>
      <c r="AA100" s="168">
        <f t="shared" si="6"/>
        <v>105607.30372358896</v>
      </c>
      <c r="AB100" s="168">
        <f t="shared" si="6"/>
        <v>284810.7708</v>
      </c>
      <c r="AC100" s="168">
        <f t="shared" si="6"/>
        <v>35305.954066830869</v>
      </c>
      <c r="AD100" s="168">
        <f t="shared" si="6"/>
        <v>73774.677035080269</v>
      </c>
      <c r="AE100" s="168">
        <f t="shared" si="6"/>
        <v>59794.43276209844</v>
      </c>
      <c r="AF100" s="168">
        <f t="shared" si="6"/>
        <v>132683.65933599041</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163</v>
      </c>
      <c r="G101" s="143" t="s">
        <v>278</v>
      </c>
      <c r="H101" s="147">
        <f t="shared" si="0"/>
        <v>501289.55269999994</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1110.7863800000002</v>
      </c>
      <c r="S101" s="147">
        <f t="shared" si="7"/>
        <v>83556.665199271883</v>
      </c>
      <c r="T101" s="147">
        <f t="shared" si="7"/>
        <v>72289.886894326643</v>
      </c>
      <c r="U101" s="147">
        <f t="shared" si="7"/>
        <v>51922.624796967822</v>
      </c>
      <c r="V101" s="147">
        <f t="shared" si="7"/>
        <v>42822.495869433631</v>
      </c>
      <c r="W101" s="147">
        <f t="shared" si="7"/>
        <v>141.00716000000003</v>
      </c>
      <c r="X101" s="147">
        <f t="shared" si="7"/>
        <v>5635.7204479931233</v>
      </c>
      <c r="Y101" s="147">
        <f t="shared" si="7"/>
        <v>10334.445716858707</v>
      </c>
      <c r="Z101" s="147">
        <f t="shared" si="7"/>
        <v>15707.088921768602</v>
      </c>
      <c r="AA101" s="147">
        <f t="shared" si="7"/>
        <v>44966.348283379579</v>
      </c>
      <c r="AB101" s="147">
        <f t="shared" si="7"/>
        <v>5115.7033699999993</v>
      </c>
      <c r="AC101" s="147">
        <f t="shared" si="7"/>
        <v>18039.598789644675</v>
      </c>
      <c r="AD101" s="147">
        <f t="shared" si="7"/>
        <v>33271.868198695709</v>
      </c>
      <c r="AE101" s="147">
        <f t="shared" si="7"/>
        <v>30681.615622207475</v>
      </c>
      <c r="AF101" s="147">
        <f t="shared" si="7"/>
        <v>53817.874509452151</v>
      </c>
      <c r="AG101" s="147">
        <f t="shared" si="7"/>
        <v>0</v>
      </c>
      <c r="AH101" s="147">
        <f t="shared" si="7"/>
        <v>0</v>
      </c>
      <c r="AI101" s="147">
        <f t="shared" si="7"/>
        <v>0</v>
      </c>
      <c r="AJ101" s="147">
        <f t="shared" si="7"/>
        <v>18104.271120000001</v>
      </c>
      <c r="AK101" s="147">
        <f t="shared" si="7"/>
        <v>0</v>
      </c>
      <c r="AL101" s="147">
        <f t="shared" si="7"/>
        <v>0</v>
      </c>
      <c r="AM101" s="147">
        <f t="shared" si="7"/>
        <v>0</v>
      </c>
      <c r="AN101" s="147">
        <f t="shared" si="7"/>
        <v>13771.551419999998</v>
      </c>
      <c r="AO101" s="147">
        <f t="shared" si="7"/>
        <v>0</v>
      </c>
    </row>
    <row r="102" spans="5:41" x14ac:dyDescent="0.25">
      <c r="E102" s="94"/>
      <c r="F102" s="145" t="s">
        <v>102</v>
      </c>
      <c r="G102" s="356" t="s">
        <v>278</v>
      </c>
      <c r="H102" s="146">
        <f>SUM(H95:H101)</f>
        <v>474557555.86124855</v>
      </c>
      <c r="I102" s="357"/>
      <c r="J102" s="146">
        <f t="shared" ref="J102" si="8">SUM(J95:J101)</f>
        <v>259906117.15422913</v>
      </c>
      <c r="K102" s="146">
        <f t="shared" ref="K102:AO102" si="9">SUM(K95:K101)</f>
        <v>113313.58601919124</v>
      </c>
      <c r="L102" s="146">
        <f t="shared" si="9"/>
        <v>25796.48925745823</v>
      </c>
      <c r="M102" s="146">
        <f t="shared" si="9"/>
        <v>8710885.7911109477</v>
      </c>
      <c r="N102" s="146">
        <f t="shared" si="9"/>
        <v>16212935.370878611</v>
      </c>
      <c r="O102" s="146">
        <f t="shared" si="9"/>
        <v>11972419.951383192</v>
      </c>
      <c r="P102" s="146">
        <f t="shared" si="9"/>
        <v>28431337.782873608</v>
      </c>
      <c r="Q102" s="146">
        <f t="shared" si="9"/>
        <v>60087.323820990918</v>
      </c>
      <c r="R102" s="146">
        <f t="shared" si="9"/>
        <v>151714.72529223675</v>
      </c>
      <c r="S102" s="146">
        <f t="shared" si="9"/>
        <v>19866123.351446971</v>
      </c>
      <c r="T102" s="146">
        <f t="shared" si="9"/>
        <v>21191607.032859605</v>
      </c>
      <c r="U102" s="146">
        <f t="shared" si="9"/>
        <v>15745840.656766944</v>
      </c>
      <c r="V102" s="146">
        <f t="shared" si="9"/>
        <v>13587543.089031497</v>
      </c>
      <c r="W102" s="146">
        <f t="shared" si="9"/>
        <v>42930.740594463226</v>
      </c>
      <c r="X102" s="146">
        <f t="shared" si="9"/>
        <v>1450148.4571921916</v>
      </c>
      <c r="Y102" s="146">
        <f t="shared" si="9"/>
        <v>3180850.1969516398</v>
      </c>
      <c r="Z102" s="146">
        <f t="shared" si="9"/>
        <v>4856100.7001207974</v>
      </c>
      <c r="AA102" s="146">
        <f t="shared" si="9"/>
        <v>13854548.478205549</v>
      </c>
      <c r="AB102" s="146">
        <f t="shared" si="9"/>
        <v>1588827.0645369419</v>
      </c>
      <c r="AC102" s="146">
        <f t="shared" si="9"/>
        <v>7475626.2943002786</v>
      </c>
      <c r="AD102" s="146">
        <f t="shared" si="9"/>
        <v>14631320.934667045</v>
      </c>
      <c r="AE102" s="146">
        <f t="shared" si="9"/>
        <v>12403607.308662124</v>
      </c>
      <c r="AF102" s="146">
        <f t="shared" si="9"/>
        <v>24974796.747792076</v>
      </c>
      <c r="AG102" s="146">
        <f t="shared" si="9"/>
        <v>4773294.841694409</v>
      </c>
      <c r="AH102" s="146">
        <f t="shared" si="9"/>
        <v>-3094087.2045626324</v>
      </c>
      <c r="AI102" s="146">
        <f t="shared" si="9"/>
        <v>-292093.73753606447</v>
      </c>
      <c r="AJ102" s="146">
        <f t="shared" si="9"/>
        <v>-1206867.4386189219</v>
      </c>
      <c r="AK102" s="146">
        <f t="shared" si="9"/>
        <v>0</v>
      </c>
      <c r="AL102" s="146">
        <f t="shared" si="9"/>
        <v>0</v>
      </c>
      <c r="AM102" s="146">
        <f t="shared" si="9"/>
        <v>0</v>
      </c>
      <c r="AN102" s="146">
        <f t="shared" si="9"/>
        <v>-6057169.8277216973</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723</v>
      </c>
      <c r="G104" s="61"/>
      <c r="H104" s="355" t="s">
        <v>503</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157</v>
      </c>
      <c r="G105" s="143" t="s">
        <v>278</v>
      </c>
      <c r="H105" s="147">
        <f t="shared" ref="H105:H111" si="10">SUM(J105:AO105)</f>
        <v>870424.66291266959</v>
      </c>
      <c r="I105" s="95"/>
      <c r="J105" s="147">
        <f t="shared" ref="J105:AO105" si="11">J33 * thousand * J64 / hundred</f>
        <v>755492.03565540595</v>
      </c>
      <c r="K105" s="147">
        <f t="shared" si="11"/>
        <v>0</v>
      </c>
      <c r="L105" s="147">
        <f t="shared" si="11"/>
        <v>7379.7593230003977</v>
      </c>
      <c r="M105" s="147">
        <f t="shared" si="11"/>
        <v>3398.5034200236782</v>
      </c>
      <c r="N105" s="147">
        <f t="shared" si="11"/>
        <v>2871.3269614734509</v>
      </c>
      <c r="O105" s="147">
        <f t="shared" si="11"/>
        <v>5246.0311654679326</v>
      </c>
      <c r="P105" s="147">
        <f t="shared" si="11"/>
        <v>21157.230366633074</v>
      </c>
      <c r="Q105" s="147">
        <f t="shared" si="11"/>
        <v>0</v>
      </c>
      <c r="R105" s="147">
        <f t="shared" si="11"/>
        <v>0</v>
      </c>
      <c r="S105" s="147">
        <f t="shared" si="11"/>
        <v>4568.4216060594072</v>
      </c>
      <c r="T105" s="147">
        <f t="shared" si="11"/>
        <v>21649.456836002562</v>
      </c>
      <c r="U105" s="147">
        <f t="shared" si="11"/>
        <v>42594.981162534423</v>
      </c>
      <c r="V105" s="147">
        <f t="shared" si="11"/>
        <v>28166.642650903603</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873.44063409195007</v>
      </c>
      <c r="AH105" s="147">
        <f t="shared" si="11"/>
        <v>-22205.679076232398</v>
      </c>
      <c r="AI105" s="147">
        <f t="shared" si="11"/>
        <v>0</v>
      </c>
      <c r="AJ105" s="147">
        <f t="shared" si="11"/>
        <v>-767.48779269450733</v>
      </c>
      <c r="AK105" s="147">
        <f t="shared" si="11"/>
        <v>0</v>
      </c>
      <c r="AL105" s="147">
        <f t="shared" si="11"/>
        <v>0</v>
      </c>
      <c r="AM105" s="147">
        <f t="shared" si="11"/>
        <v>0</v>
      </c>
      <c r="AN105" s="147">
        <f t="shared" si="11"/>
        <v>0</v>
      </c>
      <c r="AO105" s="147">
        <f t="shared" si="11"/>
        <v>0</v>
      </c>
    </row>
    <row r="106" spans="5:41" x14ac:dyDescent="0.25">
      <c r="E106" s="94"/>
      <c r="F106" t="s">
        <v>158</v>
      </c>
      <c r="G106" s="61" t="s">
        <v>278</v>
      </c>
      <c r="H106" s="168">
        <f t="shared" si="10"/>
        <v>374316.83676297241</v>
      </c>
      <c r="J106" s="168">
        <f t="shared" ref="J106:AO106" si="12">J34 * thousand * J65 / hundred</f>
        <v>317932.36634403566</v>
      </c>
      <c r="K106" s="168">
        <f t="shared" si="12"/>
        <v>0</v>
      </c>
      <c r="L106" s="168">
        <f t="shared" si="12"/>
        <v>5255.8222462482026</v>
      </c>
      <c r="M106" s="168">
        <f t="shared" si="12"/>
        <v>2124.8653850395149</v>
      </c>
      <c r="N106" s="168">
        <f t="shared" si="12"/>
        <v>1995.2784687660608</v>
      </c>
      <c r="O106" s="168">
        <f t="shared" si="12"/>
        <v>3519.4064717101455</v>
      </c>
      <c r="P106" s="168">
        <f t="shared" si="12"/>
        <v>14445.480006593751</v>
      </c>
      <c r="Q106" s="168">
        <f t="shared" si="12"/>
        <v>0</v>
      </c>
      <c r="R106" s="168">
        <f t="shared" si="12"/>
        <v>0</v>
      </c>
      <c r="S106" s="168">
        <f t="shared" si="12"/>
        <v>2453.2322598252222</v>
      </c>
      <c r="T106" s="168">
        <f t="shared" si="12"/>
        <v>10726.305192245916</v>
      </c>
      <c r="U106" s="168">
        <f t="shared" si="12"/>
        <v>20985.051952404519</v>
      </c>
      <c r="V106" s="168">
        <f t="shared" si="12"/>
        <v>13220.994610712187</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520.90570550877635</v>
      </c>
      <c r="AH106" s="168">
        <f t="shared" si="12"/>
        <v>-18232.253847043798</v>
      </c>
      <c r="AI106" s="168">
        <f t="shared" si="12"/>
        <v>0</v>
      </c>
      <c r="AJ106" s="168">
        <f t="shared" si="12"/>
        <v>-630.61803307373384</v>
      </c>
      <c r="AK106" s="168">
        <f t="shared" si="12"/>
        <v>0</v>
      </c>
      <c r="AL106" s="168">
        <f t="shared" si="12"/>
        <v>0</v>
      </c>
      <c r="AM106" s="168">
        <f t="shared" si="12"/>
        <v>0</v>
      </c>
      <c r="AN106" s="168">
        <f t="shared" si="12"/>
        <v>0</v>
      </c>
      <c r="AO106" s="168">
        <f t="shared" si="12"/>
        <v>0</v>
      </c>
    </row>
    <row r="107" spans="5:41" x14ac:dyDescent="0.25">
      <c r="E107" s="94"/>
      <c r="F107" t="s">
        <v>159</v>
      </c>
      <c r="G107" s="61" t="s">
        <v>278</v>
      </c>
      <c r="H107" s="168">
        <f t="shared" si="10"/>
        <v>39578.113058345858</v>
      </c>
      <c r="J107" s="168">
        <f t="shared" ref="J107:AO107" si="13">J35 * thousand * J66 / hundred</f>
        <v>33733.578410798327</v>
      </c>
      <c r="K107" s="168">
        <f t="shared" si="13"/>
        <v>0</v>
      </c>
      <c r="L107" s="168">
        <f t="shared" si="13"/>
        <v>368.5873498002266</v>
      </c>
      <c r="M107" s="168">
        <f t="shared" si="13"/>
        <v>162.53832115616609</v>
      </c>
      <c r="N107" s="168">
        <f t="shared" si="13"/>
        <v>146.12317573316074</v>
      </c>
      <c r="O107" s="168">
        <f t="shared" si="13"/>
        <v>245.91629955992553</v>
      </c>
      <c r="P107" s="168">
        <f t="shared" si="13"/>
        <v>1070.8955761448456</v>
      </c>
      <c r="Q107" s="168">
        <f t="shared" si="13"/>
        <v>0</v>
      </c>
      <c r="R107" s="168">
        <f t="shared" si="13"/>
        <v>0</v>
      </c>
      <c r="S107" s="168">
        <f t="shared" si="13"/>
        <v>230.35010314105912</v>
      </c>
      <c r="T107" s="168">
        <f t="shared" si="13"/>
        <v>825.41993403447589</v>
      </c>
      <c r="U107" s="168">
        <f t="shared" si="13"/>
        <v>1109.3276971412679</v>
      </c>
      <c r="V107" s="168">
        <f t="shared" si="13"/>
        <v>1087.136811745625</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1373.9093658533341</v>
      </c>
      <c r="AH107" s="168">
        <f t="shared" si="13"/>
        <v>-747.26009781196433</v>
      </c>
      <c r="AI107" s="168">
        <f t="shared" si="13"/>
        <v>0</v>
      </c>
      <c r="AJ107" s="168">
        <f t="shared" si="13"/>
        <v>-28.409888950583923</v>
      </c>
      <c r="AK107" s="168">
        <f t="shared" si="13"/>
        <v>0</v>
      </c>
      <c r="AL107" s="168">
        <f t="shared" si="13"/>
        <v>0</v>
      </c>
      <c r="AM107" s="168">
        <f t="shared" si="13"/>
        <v>0</v>
      </c>
      <c r="AN107" s="168">
        <f t="shared" si="13"/>
        <v>0</v>
      </c>
      <c r="AO107" s="168">
        <f t="shared" si="13"/>
        <v>0</v>
      </c>
    </row>
    <row r="108" spans="5:41" x14ac:dyDescent="0.25">
      <c r="E108" s="94"/>
      <c r="F108" s="95" t="s">
        <v>160</v>
      </c>
      <c r="G108" s="143" t="s">
        <v>278</v>
      </c>
      <c r="H108" s="147">
        <f t="shared" si="10"/>
        <v>990543.58543002908</v>
      </c>
      <c r="I108" s="95"/>
      <c r="J108" s="147">
        <f t="shared" ref="J108:AO108" si="14" xml:space="preserve"> J36 * J67 * days_in_year / hundred</f>
        <v>824548.68484471843</v>
      </c>
      <c r="K108" s="147">
        <f t="shared" si="14"/>
        <v>0</v>
      </c>
      <c r="L108" s="147">
        <f t="shared" si="14"/>
        <v>5429.4865584988183</v>
      </c>
      <c r="M108" s="147">
        <f t="shared" si="14"/>
        <v>4845.4932925850808</v>
      </c>
      <c r="N108" s="147">
        <f t="shared" si="14"/>
        <v>4097.4062435697033</v>
      </c>
      <c r="O108" s="147">
        <f t="shared" si="14"/>
        <v>10422.988774964911</v>
      </c>
      <c r="P108" s="147">
        <f t="shared" si="14"/>
        <v>22874.268891300202</v>
      </c>
      <c r="Q108" s="147">
        <f t="shared" si="14"/>
        <v>0</v>
      </c>
      <c r="R108" s="147">
        <f t="shared" si="14"/>
        <v>0</v>
      </c>
      <c r="S108" s="147">
        <f t="shared" si="14"/>
        <v>5961.9800558552924</v>
      </c>
      <c r="T108" s="147">
        <f t="shared" si="14"/>
        <v>28851.063949069237</v>
      </c>
      <c r="U108" s="147">
        <f t="shared" si="14"/>
        <v>58996.582811381908</v>
      </c>
      <c r="V108" s="147">
        <f t="shared" si="14"/>
        <v>24515.630008085536</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161</v>
      </c>
      <c r="G109" s="61" t="s">
        <v>278</v>
      </c>
      <c r="H109" s="168">
        <f t="shared" si="10"/>
        <v>765512.64239331917</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38418.121867437199</v>
      </c>
      <c r="T109" s="168">
        <f t="shared" si="15"/>
        <v>189096.52096629661</v>
      </c>
      <c r="U109" s="168">
        <f t="shared" si="15"/>
        <v>367731.76931141294</v>
      </c>
      <c r="V109" s="168">
        <f t="shared" si="15"/>
        <v>170266.23024817239</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162</v>
      </c>
      <c r="G110" s="61" t="s">
        <v>278</v>
      </c>
      <c r="H110" s="168">
        <f t="shared" si="10"/>
        <v>3780.8111227905833</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1324.8135058622929</v>
      </c>
      <c r="T110" s="168">
        <f t="shared" si="16"/>
        <v>176.68749695788935</v>
      </c>
      <c r="U110" s="168">
        <f t="shared" si="16"/>
        <v>2186.5130926839697</v>
      </c>
      <c r="V110" s="168">
        <f t="shared" si="16"/>
        <v>92.79702728643116</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163</v>
      </c>
      <c r="G111" s="143" t="s">
        <v>278</v>
      </c>
      <c r="H111" s="147">
        <f t="shared" si="10"/>
        <v>1444.230215196648</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150.37035697728578</v>
      </c>
      <c r="T111" s="147">
        <f t="shared" si="17"/>
        <v>595.38684145397769</v>
      </c>
      <c r="U111" s="147">
        <f t="shared" si="17"/>
        <v>411.94497598016227</v>
      </c>
      <c r="V111" s="147">
        <f t="shared" si="17"/>
        <v>272.65373656263387</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13.874304222588302</v>
      </c>
      <c r="AK111" s="147">
        <f t="shared" si="17"/>
        <v>0</v>
      </c>
      <c r="AL111" s="147">
        <f t="shared" si="17"/>
        <v>0</v>
      </c>
      <c r="AM111" s="147">
        <f t="shared" si="17"/>
        <v>0</v>
      </c>
      <c r="AN111" s="147">
        <f t="shared" si="17"/>
        <v>0</v>
      </c>
      <c r="AO111" s="147">
        <f t="shared" si="17"/>
        <v>0</v>
      </c>
    </row>
    <row r="112" spans="5:41" x14ac:dyDescent="0.25">
      <c r="E112" s="94"/>
      <c r="F112" s="145" t="s">
        <v>102</v>
      </c>
      <c r="G112" s="356" t="s">
        <v>278</v>
      </c>
      <c r="H112" s="146">
        <f>SUM(H105:H111)</f>
        <v>3045600.8818953228</v>
      </c>
      <c r="I112" s="145"/>
      <c r="J112" s="146">
        <f t="shared" ref="J112" si="18">SUM(J105:J111)</f>
        <v>1931706.6652549584</v>
      </c>
      <c r="K112" s="146">
        <f t="shared" ref="K112:AO112" si="19">SUM(K105:K111)</f>
        <v>0</v>
      </c>
      <c r="L112" s="146">
        <f t="shared" si="19"/>
        <v>18433.655477547647</v>
      </c>
      <c r="M112" s="146">
        <f t="shared" si="19"/>
        <v>10531.40041880444</v>
      </c>
      <c r="N112" s="146">
        <f t="shared" si="19"/>
        <v>9110.1348495423754</v>
      </c>
      <c r="O112" s="146">
        <f t="shared" si="19"/>
        <v>19434.342711702913</v>
      </c>
      <c r="P112" s="146">
        <f t="shared" si="19"/>
        <v>59547.874840671866</v>
      </c>
      <c r="Q112" s="146">
        <f t="shared" si="19"/>
        <v>0</v>
      </c>
      <c r="R112" s="146">
        <f t="shared" si="19"/>
        <v>0</v>
      </c>
      <c r="S112" s="146">
        <f t="shared" si="19"/>
        <v>53107.289755157763</v>
      </c>
      <c r="T112" s="146">
        <f t="shared" si="19"/>
        <v>251920.84121606068</v>
      </c>
      <c r="U112" s="146">
        <f t="shared" si="19"/>
        <v>494016.17100353917</v>
      </c>
      <c r="V112" s="146">
        <f t="shared" si="19"/>
        <v>237622.08509346843</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2768.2557054540603</v>
      </c>
      <c r="AH112" s="146">
        <f t="shared" si="19"/>
        <v>-41185.193021088162</v>
      </c>
      <c r="AI112" s="146">
        <f t="shared" si="19"/>
        <v>0</v>
      </c>
      <c r="AJ112" s="146">
        <f t="shared" si="19"/>
        <v>-1412.6414104962369</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724</v>
      </c>
      <c r="G114" s="61"/>
      <c r="H114" s="355" t="s">
        <v>503</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157</v>
      </c>
      <c r="G115" s="143" t="s">
        <v>278</v>
      </c>
      <c r="H115" s="147">
        <f t="shared" ref="H115:H121" si="20">SUM(J115:AO115)</f>
        <v>2400811.7102791853</v>
      </c>
      <c r="I115" s="95"/>
      <c r="J115" s="147">
        <f t="shared" ref="J115:AO115" si="21">J44 * thousand * J73 / hundred</f>
        <v>1597763.4878748732</v>
      </c>
      <c r="K115" s="147">
        <f t="shared" si="21"/>
        <v>0</v>
      </c>
      <c r="L115" s="147">
        <f t="shared" si="21"/>
        <v>7492.7011101911348</v>
      </c>
      <c r="M115" s="147">
        <f t="shared" si="21"/>
        <v>21864.345634503901</v>
      </c>
      <c r="N115" s="147">
        <f t="shared" si="21"/>
        <v>22633.567866802412</v>
      </c>
      <c r="O115" s="147">
        <f t="shared" si="21"/>
        <v>20884.363141381622</v>
      </c>
      <c r="P115" s="147">
        <f t="shared" si="21"/>
        <v>53889.421328732889</v>
      </c>
      <c r="Q115" s="147">
        <f t="shared" si="21"/>
        <v>0</v>
      </c>
      <c r="R115" s="147">
        <f t="shared" si="21"/>
        <v>619.38256706950494</v>
      </c>
      <c r="S115" s="147">
        <f t="shared" si="21"/>
        <v>32714.995083054528</v>
      </c>
      <c r="T115" s="147">
        <f t="shared" si="21"/>
        <v>79003.71494660656</v>
      </c>
      <c r="U115" s="147">
        <f t="shared" si="21"/>
        <v>59677.411683734128</v>
      </c>
      <c r="V115" s="147">
        <f t="shared" si="21"/>
        <v>353835.06692203501</v>
      </c>
      <c r="W115" s="147">
        <f t="shared" si="21"/>
        <v>0</v>
      </c>
      <c r="X115" s="147">
        <f t="shared" si="21"/>
        <v>0</v>
      </c>
      <c r="Y115" s="147">
        <f t="shared" si="21"/>
        <v>59.833649380494897</v>
      </c>
      <c r="Z115" s="147">
        <f t="shared" si="21"/>
        <v>3619.6936677506192</v>
      </c>
      <c r="AA115" s="147">
        <f t="shared" si="21"/>
        <v>155097.14338761411</v>
      </c>
      <c r="AB115" s="147">
        <f t="shared" si="21"/>
        <v>0</v>
      </c>
      <c r="AC115" s="147">
        <f t="shared" si="21"/>
        <v>727.20237867441324</v>
      </c>
      <c r="AD115" s="147">
        <f t="shared" si="21"/>
        <v>13922.999692485841</v>
      </c>
      <c r="AE115" s="147">
        <f t="shared" si="21"/>
        <v>45465.336009758888</v>
      </c>
      <c r="AF115" s="147">
        <f t="shared" si="21"/>
        <v>44.962112639771192</v>
      </c>
      <c r="AG115" s="147">
        <f t="shared" si="21"/>
        <v>5382.6677484599859</v>
      </c>
      <c r="AH115" s="147">
        <f t="shared" si="21"/>
        <v>-71295.693564827219</v>
      </c>
      <c r="AI115" s="147">
        <f t="shared" si="21"/>
        <v>0</v>
      </c>
      <c r="AJ115" s="147">
        <f t="shared" si="21"/>
        <v>-2590.8929617373883</v>
      </c>
      <c r="AK115" s="147">
        <f t="shared" si="21"/>
        <v>0</v>
      </c>
      <c r="AL115" s="147">
        <f t="shared" si="21"/>
        <v>0</v>
      </c>
      <c r="AM115" s="147">
        <f t="shared" si="21"/>
        <v>0</v>
      </c>
      <c r="AN115" s="147">
        <f t="shared" si="21"/>
        <v>0</v>
      </c>
      <c r="AO115" s="147">
        <f t="shared" si="21"/>
        <v>0</v>
      </c>
    </row>
    <row r="116" spans="3:43" x14ac:dyDescent="0.25">
      <c r="C116" s="105"/>
      <c r="F116" t="s">
        <v>158</v>
      </c>
      <c r="G116" s="61" t="s">
        <v>278</v>
      </c>
      <c r="H116" s="168">
        <f t="shared" si="20"/>
        <v>1020194.3860424046</v>
      </c>
      <c r="J116" s="168">
        <f t="shared" ref="J116:AO116" si="22">J45 * thousand * J74 / hundred</f>
        <v>671002.37713900488</v>
      </c>
      <c r="K116" s="168">
        <f t="shared" si="22"/>
        <v>0</v>
      </c>
      <c r="L116" s="168">
        <f t="shared" si="22"/>
        <v>5154.1145062944506</v>
      </c>
      <c r="M116" s="168">
        <f t="shared" si="22"/>
        <v>14999.058030396151</v>
      </c>
      <c r="N116" s="168">
        <f t="shared" si="22"/>
        <v>15549.82327425601</v>
      </c>
      <c r="O116" s="168">
        <f t="shared" si="22"/>
        <v>14158.553954116851</v>
      </c>
      <c r="P116" s="168">
        <f t="shared" si="22"/>
        <v>34542.37754096491</v>
      </c>
      <c r="Q116" s="168">
        <f t="shared" si="22"/>
        <v>0</v>
      </c>
      <c r="R116" s="168">
        <f t="shared" si="22"/>
        <v>410.74664361943695</v>
      </c>
      <c r="S116" s="168">
        <f t="shared" si="22"/>
        <v>15222.279575900948</v>
      </c>
      <c r="T116" s="168">
        <f t="shared" si="22"/>
        <v>38031.888491950223</v>
      </c>
      <c r="U116" s="168">
        <f t="shared" si="22"/>
        <v>27816.732731006163</v>
      </c>
      <c r="V116" s="168">
        <f t="shared" si="22"/>
        <v>168668.75598814548</v>
      </c>
      <c r="W116" s="168">
        <f t="shared" si="22"/>
        <v>0</v>
      </c>
      <c r="X116" s="168">
        <f t="shared" si="22"/>
        <v>0</v>
      </c>
      <c r="Y116" s="168">
        <f t="shared" si="22"/>
        <v>18.494031275476246</v>
      </c>
      <c r="Z116" s="168">
        <f t="shared" si="22"/>
        <v>1011.7863525747631</v>
      </c>
      <c r="AA116" s="168">
        <f t="shared" si="22"/>
        <v>53154.424301926811</v>
      </c>
      <c r="AB116" s="168">
        <f t="shared" si="22"/>
        <v>0</v>
      </c>
      <c r="AC116" s="168">
        <f t="shared" si="22"/>
        <v>393.07289157043022</v>
      </c>
      <c r="AD116" s="168">
        <f t="shared" si="22"/>
        <v>4203.8763583278687</v>
      </c>
      <c r="AE116" s="168">
        <f t="shared" si="22"/>
        <v>11313.086112595038</v>
      </c>
      <c r="AF116" s="168">
        <f t="shared" si="22"/>
        <v>20.212114133896605</v>
      </c>
      <c r="AG116" s="168">
        <f t="shared" si="22"/>
        <v>2480.5110735905487</v>
      </c>
      <c r="AH116" s="168">
        <f t="shared" si="22"/>
        <v>-55535.82931916738</v>
      </c>
      <c r="AI116" s="168">
        <f t="shared" si="22"/>
        <v>0</v>
      </c>
      <c r="AJ116" s="168">
        <f t="shared" si="22"/>
        <v>-2421.9557500781311</v>
      </c>
      <c r="AK116" s="168">
        <f t="shared" si="22"/>
        <v>0</v>
      </c>
      <c r="AL116" s="168">
        <f t="shared" si="22"/>
        <v>0</v>
      </c>
      <c r="AM116" s="168">
        <f t="shared" si="22"/>
        <v>0</v>
      </c>
      <c r="AN116" s="168">
        <f t="shared" si="22"/>
        <v>0</v>
      </c>
      <c r="AO116" s="168">
        <f t="shared" si="22"/>
        <v>0</v>
      </c>
    </row>
    <row r="117" spans="3:43" x14ac:dyDescent="0.25">
      <c r="C117" s="105"/>
      <c r="F117" t="s">
        <v>159</v>
      </c>
      <c r="G117" s="61" t="s">
        <v>278</v>
      </c>
      <c r="H117" s="168">
        <f t="shared" si="20"/>
        <v>109501.61955173127</v>
      </c>
      <c r="J117" s="168">
        <f t="shared" ref="J117:AO117" si="23">J46 * thousand * J75 / hundred</f>
        <v>71654.036957106771</v>
      </c>
      <c r="K117" s="168">
        <f t="shared" si="23"/>
        <v>0</v>
      </c>
      <c r="L117" s="168">
        <f t="shared" si="23"/>
        <v>375.67169412461016</v>
      </c>
      <c r="M117" s="168">
        <f t="shared" si="23"/>
        <v>1099.6847693655429</v>
      </c>
      <c r="N117" s="168">
        <f t="shared" si="23"/>
        <v>1163.8825438026258</v>
      </c>
      <c r="O117" s="168">
        <f t="shared" si="23"/>
        <v>1066.8210982791045</v>
      </c>
      <c r="P117" s="168">
        <f t="shared" si="23"/>
        <v>2624.4097622454215</v>
      </c>
      <c r="Q117" s="168">
        <f t="shared" si="23"/>
        <v>0</v>
      </c>
      <c r="R117" s="168">
        <f t="shared" si="23"/>
        <v>27.628198038740141</v>
      </c>
      <c r="S117" s="168">
        <f t="shared" si="23"/>
        <v>1277.6445196525033</v>
      </c>
      <c r="T117" s="168">
        <f t="shared" si="23"/>
        <v>3424.9931004183022</v>
      </c>
      <c r="U117" s="168">
        <f t="shared" si="23"/>
        <v>2596.72413140453</v>
      </c>
      <c r="V117" s="168">
        <f t="shared" si="23"/>
        <v>15765.783442152566</v>
      </c>
      <c r="W117" s="168">
        <f t="shared" si="23"/>
        <v>0</v>
      </c>
      <c r="X117" s="168">
        <f t="shared" si="23"/>
        <v>0</v>
      </c>
      <c r="Y117" s="168">
        <f t="shared" si="23"/>
        <v>2.7280036278495037</v>
      </c>
      <c r="Z117" s="168">
        <f t="shared" si="23"/>
        <v>134.86083475211902</v>
      </c>
      <c r="AA117" s="168">
        <f t="shared" si="23"/>
        <v>4291.749506155229</v>
      </c>
      <c r="AB117" s="168">
        <f t="shared" si="23"/>
        <v>0</v>
      </c>
      <c r="AC117" s="168">
        <f t="shared" si="23"/>
        <v>25.922108823956549</v>
      </c>
      <c r="AD117" s="168">
        <f t="shared" si="23"/>
        <v>392.51021324309482</v>
      </c>
      <c r="AE117" s="168">
        <f t="shared" si="23"/>
        <v>1534.799485474834</v>
      </c>
      <c r="AF117" s="168">
        <f t="shared" si="23"/>
        <v>4.5313898828664296</v>
      </c>
      <c r="AG117" s="168">
        <f t="shared" si="23"/>
        <v>4536.6158039311213</v>
      </c>
      <c r="AH117" s="168">
        <f t="shared" si="23"/>
        <v>-2290.9929830194851</v>
      </c>
      <c r="AI117" s="168">
        <f t="shared" si="23"/>
        <v>0</v>
      </c>
      <c r="AJ117" s="168">
        <f t="shared" si="23"/>
        <v>-208.38502773103954</v>
      </c>
      <c r="AK117" s="168">
        <f t="shared" si="23"/>
        <v>0</v>
      </c>
      <c r="AL117" s="168">
        <f t="shared" si="23"/>
        <v>0</v>
      </c>
      <c r="AM117" s="168">
        <f t="shared" si="23"/>
        <v>0</v>
      </c>
      <c r="AN117" s="168">
        <f t="shared" si="23"/>
        <v>0</v>
      </c>
      <c r="AO117" s="168">
        <f t="shared" si="23"/>
        <v>0</v>
      </c>
    </row>
    <row r="118" spans="3:43" x14ac:dyDescent="0.25">
      <c r="C118" s="105"/>
      <c r="F118" s="95" t="s">
        <v>160</v>
      </c>
      <c r="G118" s="143" t="s">
        <v>278</v>
      </c>
      <c r="H118" s="147">
        <f t="shared" si="20"/>
        <v>2524306.9177290862</v>
      </c>
      <c r="I118" s="95"/>
      <c r="J118" s="147">
        <f t="shared" ref="J118:AO118" si="24" xml:space="preserve"> J47 * J76 * days_in_year / hundred</f>
        <v>1799724.551210253</v>
      </c>
      <c r="K118" s="147">
        <f t="shared" si="24"/>
        <v>0</v>
      </c>
      <c r="L118" s="147">
        <f t="shared" si="24"/>
        <v>4503.2902642538902</v>
      </c>
      <c r="M118" s="147">
        <f t="shared" si="24"/>
        <v>20334.366150508893</v>
      </c>
      <c r="N118" s="147">
        <f t="shared" si="24"/>
        <v>20130.060219355702</v>
      </c>
      <c r="O118" s="147">
        <f t="shared" si="24"/>
        <v>18545.090173346747</v>
      </c>
      <c r="P118" s="147">
        <f t="shared" si="24"/>
        <v>26556.38476376429</v>
      </c>
      <c r="Q118" s="147">
        <f t="shared" si="24"/>
        <v>0</v>
      </c>
      <c r="R118" s="147">
        <f t="shared" si="24"/>
        <v>107.23239480416578</v>
      </c>
      <c r="S118" s="147">
        <f t="shared" si="24"/>
        <v>15719.657665513303</v>
      </c>
      <c r="T118" s="147">
        <f t="shared" si="24"/>
        <v>56664.419319647626</v>
      </c>
      <c r="U118" s="147">
        <f t="shared" si="24"/>
        <v>43707.218645896362</v>
      </c>
      <c r="V118" s="147">
        <f t="shared" si="24"/>
        <v>215123.98664586447</v>
      </c>
      <c r="W118" s="147">
        <f t="shared" si="24"/>
        <v>0</v>
      </c>
      <c r="X118" s="147">
        <f t="shared" si="24"/>
        <v>0</v>
      </c>
      <c r="Y118" s="147">
        <f t="shared" si="24"/>
        <v>765.95911481607163</v>
      </c>
      <c r="Z118" s="147">
        <f t="shared" si="24"/>
        <v>1189.0097250193485</v>
      </c>
      <c r="AA118" s="147">
        <f t="shared" si="24"/>
        <v>74703.306745065784</v>
      </c>
      <c r="AB118" s="147">
        <f t="shared" si="24"/>
        <v>0</v>
      </c>
      <c r="AC118" s="147">
        <f t="shared" si="24"/>
        <v>3990.1738487655361</v>
      </c>
      <c r="AD118" s="147">
        <f t="shared" si="24"/>
        <v>25539.793441969538</v>
      </c>
      <c r="AE118" s="147">
        <f t="shared" si="24"/>
        <v>55762.679536498385</v>
      </c>
      <c r="AF118" s="147">
        <f t="shared" si="24"/>
        <v>141239.73786374371</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161</v>
      </c>
      <c r="G119" s="61" t="s">
        <v>278</v>
      </c>
      <c r="H119" s="168">
        <f t="shared" si="20"/>
        <v>4778201.0141782882</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14504.592349826627</v>
      </c>
      <c r="S119" s="168">
        <f t="shared" si="25"/>
        <v>83401.406011503146</v>
      </c>
      <c r="T119" s="168">
        <f t="shared" si="25"/>
        <v>362735.68034858094</v>
      </c>
      <c r="U119" s="168">
        <f t="shared" si="25"/>
        <v>289463.31466137344</v>
      </c>
      <c r="V119" s="168">
        <f t="shared" si="25"/>
        <v>2340291.8013239433</v>
      </c>
      <c r="W119" s="168">
        <f t="shared" si="25"/>
        <v>0</v>
      </c>
      <c r="X119" s="168">
        <f t="shared" si="25"/>
        <v>0</v>
      </c>
      <c r="Y119" s="168">
        <f t="shared" si="25"/>
        <v>4988.0465332216672</v>
      </c>
      <c r="Z119" s="168">
        <f t="shared" si="25"/>
        <v>7356.471505830521</v>
      </c>
      <c r="AA119" s="168">
        <f t="shared" si="25"/>
        <v>912346.00763041538</v>
      </c>
      <c r="AB119" s="168">
        <f t="shared" si="25"/>
        <v>0</v>
      </c>
      <c r="AC119" s="168">
        <f t="shared" si="25"/>
        <v>16367.0497332674</v>
      </c>
      <c r="AD119" s="168">
        <f t="shared" si="25"/>
        <v>98202.298399604391</v>
      </c>
      <c r="AE119" s="168">
        <f t="shared" si="25"/>
        <v>163670.49733267401</v>
      </c>
      <c r="AF119" s="168">
        <f t="shared" si="25"/>
        <v>484873.84834804683</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162</v>
      </c>
      <c r="G120" s="61" t="s">
        <v>278</v>
      </c>
      <c r="H120" s="168">
        <f t="shared" si="20"/>
        <v>10757.963950355026</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2229.4554223646892</v>
      </c>
      <c r="T120" s="168">
        <f t="shared" si="26"/>
        <v>5004.552270104462</v>
      </c>
      <c r="U120" s="168">
        <f t="shared" si="26"/>
        <v>680.35093647381927</v>
      </c>
      <c r="V120" s="168">
        <f t="shared" si="26"/>
        <v>2843.6053214120552</v>
      </c>
      <c r="W120" s="168">
        <f t="shared" si="26"/>
        <v>0</v>
      </c>
      <c r="X120" s="168">
        <f t="shared" si="26"/>
        <v>0</v>
      </c>
      <c r="Y120" s="168">
        <f t="shared" si="26"/>
        <v>0</v>
      </c>
      <c r="Z120" s="168">
        <f t="shared" si="26"/>
        <v>0</v>
      </c>
      <c r="AA120" s="168">
        <f t="shared" si="26"/>
        <v>0</v>
      </c>
      <c r="AB120" s="168">
        <f t="shared" si="26"/>
        <v>0</v>
      </c>
      <c r="AC120" s="168">
        <f t="shared" si="26"/>
        <v>0</v>
      </c>
      <c r="AD120" s="168">
        <f t="shared" si="26"/>
        <v>0</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163</v>
      </c>
      <c r="G121" s="143" t="s">
        <v>278</v>
      </c>
      <c r="H121" s="147">
        <f t="shared" si="20"/>
        <v>11146.394301593087</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0.87718045938211997</v>
      </c>
      <c r="S121" s="147">
        <f t="shared" si="27"/>
        <v>380.0030923481408</v>
      </c>
      <c r="T121" s="147">
        <f t="shared" si="27"/>
        <v>1716.0270428876981</v>
      </c>
      <c r="U121" s="147">
        <f t="shared" si="27"/>
        <v>950.57636157197749</v>
      </c>
      <c r="V121" s="147">
        <f t="shared" si="27"/>
        <v>6829.8448574917365</v>
      </c>
      <c r="W121" s="147">
        <f t="shared" si="27"/>
        <v>0</v>
      </c>
      <c r="X121" s="147">
        <f t="shared" si="27"/>
        <v>0</v>
      </c>
      <c r="Y121" s="147">
        <f t="shared" si="27"/>
        <v>0</v>
      </c>
      <c r="Z121" s="147">
        <f t="shared" si="27"/>
        <v>1.0812775515209099</v>
      </c>
      <c r="AA121" s="147">
        <f t="shared" si="27"/>
        <v>729.1100830007224</v>
      </c>
      <c r="AB121" s="147">
        <f t="shared" si="27"/>
        <v>0</v>
      </c>
      <c r="AC121" s="147">
        <f t="shared" si="27"/>
        <v>51.330457548009583</v>
      </c>
      <c r="AD121" s="147">
        <f t="shared" si="27"/>
        <v>2.5447003439737976</v>
      </c>
      <c r="AE121" s="147">
        <f t="shared" si="27"/>
        <v>250.62689861259869</v>
      </c>
      <c r="AF121" s="147">
        <f t="shared" si="27"/>
        <v>4.8571299577121581</v>
      </c>
      <c r="AG121" s="147">
        <f t="shared" si="27"/>
        <v>0</v>
      </c>
      <c r="AH121" s="147">
        <f t="shared" si="27"/>
        <v>0</v>
      </c>
      <c r="AI121" s="147">
        <f t="shared" si="27"/>
        <v>0</v>
      </c>
      <c r="AJ121" s="147">
        <f t="shared" si="27"/>
        <v>229.51521981961724</v>
      </c>
      <c r="AK121" s="147">
        <f t="shared" si="27"/>
        <v>0</v>
      </c>
      <c r="AL121" s="147">
        <f t="shared" si="27"/>
        <v>0</v>
      </c>
      <c r="AM121" s="147">
        <f t="shared" si="27"/>
        <v>0</v>
      </c>
      <c r="AN121" s="147">
        <f t="shared" si="27"/>
        <v>0</v>
      </c>
      <c r="AO121" s="147">
        <f t="shared" si="27"/>
        <v>0</v>
      </c>
    </row>
    <row r="122" spans="3:43" x14ac:dyDescent="0.25">
      <c r="C122" s="105"/>
      <c r="F122" s="145" t="s">
        <v>102</v>
      </c>
      <c r="G122" s="356" t="s">
        <v>278</v>
      </c>
      <c r="H122" s="146">
        <f>SUM(H115:H121)</f>
        <v>10854920.006032642</v>
      </c>
      <c r="I122" s="145"/>
      <c r="J122" s="146">
        <f t="shared" ref="J122" si="28">SUM(J115:J121)</f>
        <v>4140144.4531812374</v>
      </c>
      <c r="K122" s="146">
        <f t="shared" ref="K122:AO122" si="29">SUM(K115:K121)</f>
        <v>0</v>
      </c>
      <c r="L122" s="146">
        <f t="shared" si="29"/>
        <v>17525.777574864085</v>
      </c>
      <c r="M122" s="146">
        <f t="shared" si="29"/>
        <v>58297.454584774488</v>
      </c>
      <c r="N122" s="146">
        <f t="shared" si="29"/>
        <v>59477.33390421675</v>
      </c>
      <c r="O122" s="146">
        <f t="shared" si="29"/>
        <v>54654.828367124326</v>
      </c>
      <c r="P122" s="146">
        <f t="shared" si="29"/>
        <v>117612.59339570752</v>
      </c>
      <c r="Q122" s="146">
        <f t="shared" si="29"/>
        <v>0</v>
      </c>
      <c r="R122" s="146">
        <f t="shared" si="29"/>
        <v>15670.459333817857</v>
      </c>
      <c r="S122" s="146">
        <f t="shared" si="29"/>
        <v>150945.44137033727</v>
      </c>
      <c r="T122" s="146">
        <f t="shared" si="29"/>
        <v>546581.27552019584</v>
      </c>
      <c r="U122" s="146">
        <f t="shared" si="29"/>
        <v>424892.32915146038</v>
      </c>
      <c r="V122" s="146">
        <f t="shared" si="29"/>
        <v>3103358.8445010446</v>
      </c>
      <c r="W122" s="146">
        <f t="shared" si="29"/>
        <v>0</v>
      </c>
      <c r="X122" s="146">
        <f t="shared" si="29"/>
        <v>0</v>
      </c>
      <c r="Y122" s="146">
        <f t="shared" si="29"/>
        <v>5835.0613323215593</v>
      </c>
      <c r="Z122" s="146">
        <f t="shared" si="29"/>
        <v>13312.903363478892</v>
      </c>
      <c r="AA122" s="146">
        <f t="shared" si="29"/>
        <v>1200321.7416541781</v>
      </c>
      <c r="AB122" s="146">
        <f t="shared" si="29"/>
        <v>0</v>
      </c>
      <c r="AC122" s="146">
        <f t="shared" si="29"/>
        <v>21554.751418649746</v>
      </c>
      <c r="AD122" s="146">
        <f t="shared" si="29"/>
        <v>142264.0228059747</v>
      </c>
      <c r="AE122" s="146">
        <f t="shared" si="29"/>
        <v>277997.02537561377</v>
      </c>
      <c r="AF122" s="146">
        <f t="shared" si="29"/>
        <v>626188.14895840478</v>
      </c>
      <c r="AG122" s="146">
        <f t="shared" si="29"/>
        <v>12399.794625981656</v>
      </c>
      <c r="AH122" s="146">
        <f t="shared" si="29"/>
        <v>-129122.51586701408</v>
      </c>
      <c r="AI122" s="146">
        <f t="shared" si="29"/>
        <v>0</v>
      </c>
      <c r="AJ122" s="146">
        <f t="shared" si="29"/>
        <v>-4991.7185197269409</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control'!$H$42:$H$65,MATCH($A$1,'Version control'!$F$42:$F$65,0),1)&amp;"-E: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695</v>
      </c>
      <c r="G126" s="61" t="s">
        <v>278</v>
      </c>
      <c r="H126" s="306">
        <f>H83</f>
        <v>488464679.24631959</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725</v>
      </c>
      <c r="G128" s="61" t="s">
        <v>278</v>
      </c>
      <c r="H128" s="316">
        <f>H85</f>
        <v>431354076.13726324</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846</v>
      </c>
      <c r="G129" s="61" t="s">
        <v>278</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847</v>
      </c>
      <c r="G130" s="61" t="s">
        <v>278</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962</v>
      </c>
      <c r="G131" s="61" t="s">
        <v>278</v>
      </c>
      <c r="H131" s="316">
        <f>H88</f>
        <v>57110603.109056354</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726</v>
      </c>
      <c r="F132" s="96"/>
      <c r="G132" s="144" t="s">
        <v>278</v>
      </c>
      <c r="H132" s="317">
        <f>SUM(H102,H112,H122) - SUM(H128:H129, H131)</f>
        <v>-6602.4971430897713</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727</v>
      </c>
      <c r="F133" s="145"/>
      <c r="G133" s="356" t="s">
        <v>278</v>
      </c>
      <c r="H133" s="317">
        <f>SUM(H128:H132)</f>
        <v>488458076.7491765</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728</v>
      </c>
      <c r="G135" s="61" t="s">
        <v>278</v>
      </c>
      <c r="H135" s="358">
        <f>H133 - H126</f>
        <v>-6602.4971430897713</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728</v>
      </c>
      <c r="G136" s="61" t="s">
        <v>168</v>
      </c>
      <c r="H136" s="359">
        <f>(H133 - H126) / H126</f>
        <v>-1.3516836372441802E-5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control'!$H$42:$H$65,MATCH($A$1,'Version control'!$F$42:$F$65,0),1)&amp;"-F: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729</v>
      </c>
      <c r="G140" s="61" t="s">
        <v>730</v>
      </c>
      <c r="H140" t="s">
        <v>731</v>
      </c>
      <c r="J140" s="307">
        <f t="shared" ref="J140:AO140" si="30" xml:space="preserve"> IF( J25 &lt;&gt; 0, J102 / J25, 0)</f>
        <v>170.85608472453507</v>
      </c>
      <c r="K140" s="307">
        <f t="shared" si="30"/>
        <v>0</v>
      </c>
      <c r="L140" s="307">
        <f t="shared" si="30"/>
        <v>432.43892371110923</v>
      </c>
      <c r="M140" s="307">
        <f t="shared" si="30"/>
        <v>144.64739212350386</v>
      </c>
      <c r="N140" s="307">
        <f t="shared" si="30"/>
        <v>374.38014394446253</v>
      </c>
      <c r="O140" s="307">
        <f t="shared" si="30"/>
        <v>683.52930918298057</v>
      </c>
      <c r="P140" s="307">
        <f t="shared" si="30"/>
        <v>1558.5707252058353</v>
      </c>
      <c r="Q140" s="307">
        <f t="shared" si="30"/>
        <v>0</v>
      </c>
      <c r="R140" s="307">
        <f t="shared" si="30"/>
        <v>2194.2070423325949</v>
      </c>
      <c r="S140" s="307">
        <f t="shared" si="30"/>
        <v>4140.0565571731604</v>
      </c>
      <c r="T140" s="307">
        <f t="shared" si="30"/>
        <v>9143.3745688910876</v>
      </c>
      <c r="U140" s="307">
        <f t="shared" si="30"/>
        <v>14536.983700685851</v>
      </c>
      <c r="V140" s="307">
        <f t="shared" si="30"/>
        <v>27949.770805203101</v>
      </c>
      <c r="W140" s="307">
        <f t="shared" si="30"/>
        <v>3821.2951427804292</v>
      </c>
      <c r="X140" s="307">
        <f t="shared" si="30"/>
        <v>3793.1333355063534</v>
      </c>
      <c r="Y140" s="307">
        <f t="shared" si="30"/>
        <v>7778.7979231228637</v>
      </c>
      <c r="Z140" s="307">
        <f t="shared" si="30"/>
        <v>12669.38263311554</v>
      </c>
      <c r="AA140" s="307">
        <f t="shared" si="30"/>
        <v>27092.082453968585</v>
      </c>
      <c r="AB140" s="307">
        <f t="shared" si="30"/>
        <v>9555.5254030217384</v>
      </c>
      <c r="AC140" s="307">
        <f t="shared" si="30"/>
        <v>18764.933119462428</v>
      </c>
      <c r="AD140" s="307">
        <f t="shared" si="30"/>
        <v>46047.184131898131</v>
      </c>
      <c r="AE140" s="307">
        <f t="shared" si="30"/>
        <v>95710.982505511725</v>
      </c>
      <c r="AF140" s="307">
        <f t="shared" si="30"/>
        <v>218626.36587874169</v>
      </c>
      <c r="AG140" s="307">
        <f t="shared" si="30"/>
        <v>2880.6848773050147</v>
      </c>
      <c r="AH140" s="307">
        <f t="shared" si="30"/>
        <v>0</v>
      </c>
      <c r="AI140" s="307">
        <f t="shared" si="30"/>
        <v>0</v>
      </c>
      <c r="AJ140" s="307">
        <f t="shared" si="30"/>
        <v>0</v>
      </c>
      <c r="AK140" s="307">
        <f t="shared" si="30"/>
        <v>0</v>
      </c>
      <c r="AL140" s="307">
        <f t="shared" si="30"/>
        <v>0</v>
      </c>
      <c r="AM140" s="307">
        <f t="shared" si="30"/>
        <v>0</v>
      </c>
      <c r="AN140" s="307">
        <f t="shared" si="30"/>
        <v>-18899.021551593149</v>
      </c>
      <c r="AO140" s="307">
        <f t="shared" si="30"/>
        <v>0</v>
      </c>
    </row>
    <row r="141" spans="3:43" x14ac:dyDescent="0.25">
      <c r="E141" t="s">
        <v>732</v>
      </c>
      <c r="G141" s="61" t="s">
        <v>730</v>
      </c>
      <c r="H141" t="s">
        <v>406</v>
      </c>
      <c r="J141" s="168">
        <f t="shared" ref="J141:AO141" si="31" xml:space="preserve"> IF( J36 &lt;&gt; 0, J112 / J36, 0)</f>
        <v>90.803360307806599</v>
      </c>
      <c r="K141" s="168">
        <f t="shared" si="31"/>
        <v>0</v>
      </c>
      <c r="L141" s="168">
        <f t="shared" si="31"/>
        <v>142.02997801137303</v>
      </c>
      <c r="M141" s="168">
        <f t="shared" si="31"/>
        <v>106.43521154355884</v>
      </c>
      <c r="N141" s="168">
        <f t="shared" si="31"/>
        <v>157.54412736789021</v>
      </c>
      <c r="O141" s="168">
        <f t="shared" si="31"/>
        <v>186.71308957002816</v>
      </c>
      <c r="P141" s="168">
        <f t="shared" si="31"/>
        <v>477.73213993595601</v>
      </c>
      <c r="Q141" s="168">
        <f t="shared" si="31"/>
        <v>0</v>
      </c>
      <c r="R141" s="168">
        <f t="shared" si="31"/>
        <v>0</v>
      </c>
      <c r="S141" s="168">
        <f t="shared" si="31"/>
        <v>2755.197950259862</v>
      </c>
      <c r="T141" s="168">
        <f t="shared" si="31"/>
        <v>4559.1677247346743</v>
      </c>
      <c r="U141" s="168">
        <f t="shared" si="31"/>
        <v>6744.6006001265287</v>
      </c>
      <c r="V141" s="168">
        <f t="shared" si="31"/>
        <v>16810.63213058536</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34.194446753900586</v>
      </c>
      <c r="AH141" s="168">
        <f t="shared" si="31"/>
        <v>0</v>
      </c>
      <c r="AI141" s="168">
        <f t="shared" si="31"/>
        <v>0</v>
      </c>
      <c r="AJ141" s="168">
        <f t="shared" si="31"/>
        <v>-1099.3142570244129</v>
      </c>
      <c r="AK141" s="168">
        <f t="shared" si="31"/>
        <v>0</v>
      </c>
      <c r="AL141" s="168">
        <f t="shared" si="31"/>
        <v>0</v>
      </c>
      <c r="AM141" s="168">
        <f t="shared" si="31"/>
        <v>0</v>
      </c>
      <c r="AN141" s="168">
        <f t="shared" si="31"/>
        <v>0</v>
      </c>
      <c r="AO141" s="168">
        <f t="shared" si="31"/>
        <v>0</v>
      </c>
    </row>
    <row r="142" spans="3:43" x14ac:dyDescent="0.25">
      <c r="E142" t="s">
        <v>733</v>
      </c>
      <c r="G142" s="61" t="s">
        <v>730</v>
      </c>
      <c r="H142" t="s">
        <v>407</v>
      </c>
      <c r="J142" s="168">
        <f t="shared" ref="J142:AO142" si="32" xml:space="preserve"> IF( J47 &lt;&gt; 0, J122 / J47, 0)</f>
        <v>59.779033234846899</v>
      </c>
      <c r="K142" s="168">
        <f t="shared" si="32"/>
        <v>0</v>
      </c>
      <c r="L142" s="168">
        <f t="shared" si="32"/>
        <v>109.10815447053271</v>
      </c>
      <c r="M142" s="168">
        <f t="shared" si="32"/>
        <v>94.122289297970838</v>
      </c>
      <c r="N142" s="168">
        <f t="shared" si="32"/>
        <v>140.25794782199205</v>
      </c>
      <c r="O142" s="168">
        <f t="shared" si="32"/>
        <v>197.82446604216923</v>
      </c>
      <c r="P142" s="168">
        <f t="shared" si="32"/>
        <v>544.79670463616355</v>
      </c>
      <c r="Q142" s="168">
        <f t="shared" si="32"/>
        <v>0</v>
      </c>
      <c r="R142" s="168">
        <f t="shared" si="32"/>
        <v>4064.904990936041</v>
      </c>
      <c r="S142" s="168">
        <f t="shared" si="32"/>
        <v>1990.9388317625555</v>
      </c>
      <c r="T142" s="168">
        <f t="shared" si="32"/>
        <v>3375.7799696088387</v>
      </c>
      <c r="U142" s="168">
        <f t="shared" si="32"/>
        <v>5248.4162126660613</v>
      </c>
      <c r="V142" s="168">
        <f t="shared" si="32"/>
        <v>16771.018251272806</v>
      </c>
      <c r="W142" s="168">
        <f t="shared" si="32"/>
        <v>0</v>
      </c>
      <c r="X142" s="168">
        <f t="shared" si="32"/>
        <v>0</v>
      </c>
      <c r="Y142" s="168">
        <f t="shared" si="32"/>
        <v>4540.8311448123468</v>
      </c>
      <c r="Z142" s="168">
        <f t="shared" si="32"/>
        <v>10360.070405071558</v>
      </c>
      <c r="AA142" s="168">
        <f t="shared" si="32"/>
        <v>32209.916724513554</v>
      </c>
      <c r="AB142" s="168">
        <f t="shared" si="32"/>
        <v>0</v>
      </c>
      <c r="AC142" s="168">
        <f t="shared" si="32"/>
        <v>16773.85737461501</v>
      </c>
      <c r="AD142" s="168">
        <f t="shared" si="32"/>
        <v>36903.177119170912</v>
      </c>
      <c r="AE142" s="168">
        <f t="shared" si="32"/>
        <v>72112.212657099677</v>
      </c>
      <c r="AF142" s="168">
        <f t="shared" si="32"/>
        <v>121824.53993895835</v>
      </c>
      <c r="AG142" s="168">
        <f t="shared" si="32"/>
        <v>56.101693670144336</v>
      </c>
      <c r="AH142" s="168">
        <f t="shared" si="32"/>
        <v>0</v>
      </c>
      <c r="AI142" s="168">
        <f t="shared" si="32"/>
        <v>0</v>
      </c>
      <c r="AJ142" s="168">
        <f t="shared" si="32"/>
        <v>-554.93481876429007</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control'!$H$42:$H$65,MATCH($A$1,'Version control'!$F$42:$F$65,0),1)&amp;"-G: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734</v>
      </c>
      <c r="G146" s="61" t="s">
        <v>270</v>
      </c>
      <c r="H146" s="268" t="s">
        <v>731</v>
      </c>
      <c r="I146" s="268"/>
      <c r="J146" s="269">
        <f t="shared" ref="J146:AO146" si="33" xml:space="preserve"> IF( SUM(J$22:J$24) &lt;&gt; 0, J$102 / SUM(J$22:J$24) * hundred / thousand, 0)</f>
        <v>4.7954333424654108</v>
      </c>
      <c r="K146" s="269">
        <f t="shared" si="33"/>
        <v>0.44226332025877307</v>
      </c>
      <c r="L146" s="269">
        <f t="shared" si="33"/>
        <v>2.911926394244154</v>
      </c>
      <c r="M146" s="269">
        <f t="shared" si="33"/>
        <v>6.1460343730796181</v>
      </c>
      <c r="N146" s="269">
        <f t="shared" si="33"/>
        <v>3.8778338738160762</v>
      </c>
      <c r="O146" s="269">
        <f t="shared" si="33"/>
        <v>3.50761009249252</v>
      </c>
      <c r="P146" s="269">
        <f t="shared" si="33"/>
        <v>3.2958793685575518</v>
      </c>
      <c r="Q146" s="269">
        <f t="shared" si="33"/>
        <v>0.46637822675385049</v>
      </c>
      <c r="R146" s="269">
        <f t="shared" si="33"/>
        <v>7.8274045018436125</v>
      </c>
      <c r="S146" s="269">
        <f t="shared" si="33"/>
        <v>4.722292745979531</v>
      </c>
      <c r="T146" s="269">
        <f t="shared" si="33"/>
        <v>5.8224695265759818</v>
      </c>
      <c r="U146" s="269">
        <f t="shared" si="33"/>
        <v>6.0232389257241801</v>
      </c>
      <c r="V146" s="269">
        <f t="shared" si="33"/>
        <v>6.3021659604047997</v>
      </c>
      <c r="W146" s="269">
        <f t="shared" si="33"/>
        <v>5.6250530282000266</v>
      </c>
      <c r="X146" s="269">
        <f t="shared" si="33"/>
        <v>3.2434981868462751</v>
      </c>
      <c r="Y146" s="269">
        <f t="shared" si="33"/>
        <v>3.8797761140868463</v>
      </c>
      <c r="Z146" s="269">
        <f t="shared" si="33"/>
        <v>3.89710958978675</v>
      </c>
      <c r="AA146" s="269">
        <f t="shared" si="33"/>
        <v>3.8837869103542437</v>
      </c>
      <c r="AB146" s="269">
        <f t="shared" si="33"/>
        <v>8.6637825029799611</v>
      </c>
      <c r="AC146" s="269">
        <f t="shared" si="33"/>
        <v>2.8659342558632837</v>
      </c>
      <c r="AD146" s="269">
        <f t="shared" si="33"/>
        <v>3.0412481976990327</v>
      </c>
      <c r="AE146" s="269">
        <f t="shared" si="33"/>
        <v>2.7958592125491091</v>
      </c>
      <c r="AF146" s="269">
        <f t="shared" si="33"/>
        <v>3.2093784770191114</v>
      </c>
      <c r="AG146" s="269">
        <f t="shared" si="33"/>
        <v>4.8342433468275088</v>
      </c>
      <c r="AH146" s="269">
        <f t="shared" si="33"/>
        <v>-1.7679020653738078</v>
      </c>
      <c r="AI146" s="269">
        <f t="shared" si="33"/>
        <v>-1.2041335825194106</v>
      </c>
      <c r="AJ146" s="269">
        <f t="shared" si="33"/>
        <v>-1.5702393893379307</v>
      </c>
      <c r="AK146" s="269">
        <f t="shared" si="33"/>
        <v>0</v>
      </c>
      <c r="AL146" s="269">
        <f t="shared" si="33"/>
        <v>0</v>
      </c>
      <c r="AM146" s="269">
        <f t="shared" si="33"/>
        <v>0</v>
      </c>
      <c r="AN146" s="269">
        <f t="shared" si="33"/>
        <v>-0.96557886475259969</v>
      </c>
      <c r="AO146" s="269">
        <f t="shared" si="33"/>
        <v>0</v>
      </c>
      <c r="AP146" s="268"/>
      <c r="AQ146" s="268"/>
    </row>
    <row r="147" spans="2:43" x14ac:dyDescent="0.25">
      <c r="E147" t="s">
        <v>735</v>
      </c>
      <c r="G147" s="61" t="s">
        <v>270</v>
      </c>
      <c r="H147" s="268" t="s">
        <v>406</v>
      </c>
      <c r="I147" s="268"/>
      <c r="J147" s="282">
        <f t="shared" ref="J147:AO147" si="34" xml:space="preserve"> IF( SUM(J$33:J$35) &lt;&gt; 0, J$112 / SUM(J$33:J$35) * hundred / thousand, 0)</f>
        <v>3.2310675631673207</v>
      </c>
      <c r="K147" s="282">
        <f t="shared" si="34"/>
        <v>0</v>
      </c>
      <c r="L147" s="282">
        <f t="shared" si="34"/>
        <v>2.2637137262651348</v>
      </c>
      <c r="M147" s="282">
        <f t="shared" si="34"/>
        <v>3.0642504951175238</v>
      </c>
      <c r="N147" s="282">
        <f t="shared" si="34"/>
        <v>2.8925472034236548</v>
      </c>
      <c r="O147" s="282">
        <f t="shared" si="34"/>
        <v>3.5557013700625402</v>
      </c>
      <c r="P147" s="282">
        <f t="shared" si="34"/>
        <v>2.5959236531570928</v>
      </c>
      <c r="Q147" s="282">
        <f t="shared" si="34"/>
        <v>0</v>
      </c>
      <c r="R147" s="282">
        <f t="shared" si="34"/>
        <v>0</v>
      </c>
      <c r="S147" s="282">
        <f t="shared" si="34"/>
        <v>6.8462054327784552</v>
      </c>
      <c r="T147" s="282">
        <f t="shared" si="34"/>
        <v>8.0367820884585086</v>
      </c>
      <c r="U147" s="282">
        <f t="shared" si="34"/>
        <v>9.2008943643754382</v>
      </c>
      <c r="V147" s="282">
        <f t="shared" si="34"/>
        <v>5.9621938322688415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2.0455844061377748</v>
      </c>
      <c r="AH147" s="282">
        <f t="shared" si="34"/>
        <v>-1.8235087357885758</v>
      </c>
      <c r="AI147" s="282">
        <f t="shared" si="34"/>
        <v>0</v>
      </c>
      <c r="AJ147" s="282">
        <f t="shared" si="34"/>
        <v>-1.760641339689786</v>
      </c>
      <c r="AK147" s="282">
        <f t="shared" si="34"/>
        <v>0</v>
      </c>
      <c r="AL147" s="282">
        <f t="shared" si="34"/>
        <v>0</v>
      </c>
      <c r="AM147" s="282">
        <f t="shared" si="34"/>
        <v>0</v>
      </c>
      <c r="AN147" s="282">
        <f t="shared" si="34"/>
        <v>0</v>
      </c>
      <c r="AO147" s="282">
        <f t="shared" si="34"/>
        <v>0</v>
      </c>
      <c r="AP147" s="268"/>
      <c r="AQ147" s="268"/>
    </row>
    <row r="148" spans="2:43" x14ac:dyDescent="0.25">
      <c r="E148" t="s">
        <v>736</v>
      </c>
      <c r="G148" s="61" t="s">
        <v>270</v>
      </c>
      <c r="H148" s="268" t="s">
        <v>407</v>
      </c>
      <c r="I148" s="268"/>
      <c r="J148" s="282">
        <f t="shared" ref="J148:AO148" si="35" xml:space="preserve"> IF( SUM(J$44:J$46) &lt;&gt; 0, J$122 / SUM(J$44:J$46) * hundred / thousand, 0)</f>
        <v>2.1949031555163945</v>
      </c>
      <c r="K148" s="282">
        <f t="shared" si="35"/>
        <v>0</v>
      </c>
      <c r="L148" s="282">
        <f t="shared" si="35"/>
        <v>1.4476398550804286</v>
      </c>
      <c r="M148" s="282">
        <f t="shared" si="35"/>
        <v>1.6505642656148318</v>
      </c>
      <c r="N148" s="282">
        <f t="shared" si="35"/>
        <v>1.6110397594476267</v>
      </c>
      <c r="O148" s="282">
        <f t="shared" si="35"/>
        <v>1.6201700650179325</v>
      </c>
      <c r="P148" s="282">
        <f t="shared" si="35"/>
        <v>1.4191452480274651</v>
      </c>
      <c r="Q148" s="282">
        <f t="shared" si="35"/>
        <v>0</v>
      </c>
      <c r="R148" s="282">
        <f t="shared" si="35"/>
        <v>9.3909254300490108</v>
      </c>
      <c r="S148" s="282">
        <f t="shared" si="35"/>
        <v>2.1813742359057566</v>
      </c>
      <c r="T148" s="282">
        <f t="shared" si="35"/>
        <v>3.0752923596324009</v>
      </c>
      <c r="U148" s="282">
        <f t="shared" si="35"/>
        <v>3.2094815992905725</v>
      </c>
      <c r="V148" s="282">
        <f t="shared" si="35"/>
        <v>3.8700456592954047</v>
      </c>
      <c r="W148" s="282">
        <f t="shared" si="35"/>
        <v>0</v>
      </c>
      <c r="X148" s="282">
        <f t="shared" si="35"/>
        <v>0</v>
      </c>
      <c r="Y148" s="282">
        <f t="shared" si="35"/>
        <v>42.705098889426374</v>
      </c>
      <c r="Z148" s="282">
        <f t="shared" si="35"/>
        <v>1.8652000612842572</v>
      </c>
      <c r="AA148" s="282">
        <f t="shared" si="35"/>
        <v>4.0784999110115452</v>
      </c>
      <c r="AB148" s="282">
        <f t="shared" si="35"/>
        <v>0</v>
      </c>
      <c r="AC148" s="282">
        <f t="shared" si="35"/>
        <v>7.855447795154312</v>
      </c>
      <c r="AD148" s="282">
        <f t="shared" si="35"/>
        <v>4.1098845774112718</v>
      </c>
      <c r="AE148" s="282">
        <f t="shared" si="35"/>
        <v>2.4782136991829584</v>
      </c>
      <c r="AF148" s="282">
        <f t="shared" si="35"/>
        <v>2401.1469720810596</v>
      </c>
      <c r="AG148" s="282">
        <f t="shared" si="35"/>
        <v>1.7208501601300252</v>
      </c>
      <c r="AH148" s="282">
        <f t="shared" si="35"/>
        <v>-1.8670576858329846</v>
      </c>
      <c r="AI148" s="282">
        <f t="shared" si="35"/>
        <v>0</v>
      </c>
      <c r="AJ148" s="282">
        <f t="shared" si="35"/>
        <v>-1.2869932347412383</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737</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control'!$H$42:$H$65,MATCH($A$1,'Version control'!$F$42:$F$65,0),1)&amp;"-H: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738</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157</v>
      </c>
      <c r="G155" s="95" t="s">
        <v>270</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158</v>
      </c>
      <c r="G156" t="s">
        <v>270</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159</v>
      </c>
      <c r="G157" t="s">
        <v>270</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160</v>
      </c>
      <c r="G158" t="s">
        <v>271</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161</v>
      </c>
      <c r="G159" t="s">
        <v>272</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162</v>
      </c>
      <c r="G160" t="s">
        <v>272</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163</v>
      </c>
      <c r="G161" s="96" t="s">
        <v>273</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control'!$H$42:$H$65,MATCH($A$1,'Version control'!$F$42:$F$65,0),1)&amp;"-I: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739</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740</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741</v>
      </c>
      <c r="F168" s="145"/>
      <c r="G168" s="145" t="s">
        <v>278</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742</v>
      </c>
      <c r="G170" t="s">
        <v>278</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743</v>
      </c>
      <c r="G172" s="61" t="s">
        <v>168</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744</v>
      </c>
      <c r="G174" s="61" t="s">
        <v>270</v>
      </c>
      <c r="H174" s="268"/>
      <c r="I174" s="268"/>
      <c r="J174" s="269">
        <f t="shared" ref="J174:AO174" si="39" xml:space="preserve"> IF( SUM(J22:J24) = 0, "-", (J102 - J170) / SUM(J22:J24)/ ten)</f>
        <v>4.7954333424654099</v>
      </c>
      <c r="K174" s="269">
        <f t="shared" si="39"/>
        <v>0.44226332025877307</v>
      </c>
      <c r="L174" s="269">
        <f t="shared" si="39"/>
        <v>2.911926394244154</v>
      </c>
      <c r="M174" s="269">
        <f t="shared" si="39"/>
        <v>6.1460343730796181</v>
      </c>
      <c r="N174" s="269">
        <f t="shared" si="39"/>
        <v>3.8778338738160762</v>
      </c>
      <c r="O174" s="269">
        <f t="shared" si="39"/>
        <v>3.50761009249252</v>
      </c>
      <c r="P174" s="269">
        <f t="shared" si="39"/>
        <v>3.2958793685575523</v>
      </c>
      <c r="Q174" s="269">
        <f t="shared" si="39"/>
        <v>0.46637822675385043</v>
      </c>
      <c r="R174" s="269">
        <f t="shared" si="39"/>
        <v>7.8274045018436125</v>
      </c>
      <c r="S174" s="269">
        <f t="shared" si="39"/>
        <v>4.722292745979531</v>
      </c>
      <c r="T174" s="269">
        <f t="shared" si="39"/>
        <v>5.8224695265759818</v>
      </c>
      <c r="U174" s="269">
        <f t="shared" si="39"/>
        <v>6.023238925724181</v>
      </c>
      <c r="V174" s="269">
        <f t="shared" si="39"/>
        <v>6.3021659604048006</v>
      </c>
      <c r="W174" s="269">
        <f t="shared" si="39"/>
        <v>5.6250530282000266</v>
      </c>
      <c r="X174" s="269">
        <f t="shared" si="39"/>
        <v>3.2434981868462751</v>
      </c>
      <c r="Y174" s="269">
        <f t="shared" si="39"/>
        <v>3.8797761140868467</v>
      </c>
      <c r="Z174" s="269">
        <f t="shared" si="39"/>
        <v>3.89710958978675</v>
      </c>
      <c r="AA174" s="269">
        <f t="shared" si="39"/>
        <v>3.8837869103542437</v>
      </c>
      <c r="AB174" s="269">
        <f t="shared" si="39"/>
        <v>8.6637825029799593</v>
      </c>
      <c r="AC174" s="269">
        <f t="shared" si="39"/>
        <v>2.8659342558632841</v>
      </c>
      <c r="AD174" s="269">
        <f t="shared" si="39"/>
        <v>3.0412481976990327</v>
      </c>
      <c r="AE174" s="269">
        <f t="shared" si="39"/>
        <v>2.7958592125491091</v>
      </c>
      <c r="AF174" s="269">
        <f t="shared" si="39"/>
        <v>3.2093784770191114</v>
      </c>
      <c r="AG174" s="269">
        <f t="shared" si="39"/>
        <v>4.8342433468275088</v>
      </c>
      <c r="AH174" s="269">
        <f t="shared" si="39"/>
        <v>-1.7679020653738078</v>
      </c>
      <c r="AI174" s="269">
        <f t="shared" si="39"/>
        <v>-1.2041335825194106</v>
      </c>
      <c r="AJ174" s="269">
        <f t="shared" si="39"/>
        <v>-1.5702393893379309</v>
      </c>
      <c r="AK174" s="269" t="str">
        <f t="shared" si="39"/>
        <v>-</v>
      </c>
      <c r="AL174" s="269" t="str">
        <f t="shared" si="39"/>
        <v>-</v>
      </c>
      <c r="AM174" s="269" t="str">
        <f t="shared" si="39"/>
        <v>-</v>
      </c>
      <c r="AN174" s="269">
        <f t="shared" si="39"/>
        <v>-0.96557886475259969</v>
      </c>
      <c r="AO174" s="269" t="str">
        <f t="shared" si="39"/>
        <v>-</v>
      </c>
      <c r="AP174" s="268"/>
      <c r="AQ174" s="268"/>
    </row>
    <row r="175" spans="2:43" x14ac:dyDescent="0.25">
      <c r="C175" s="105"/>
      <c r="D175" s="2"/>
      <c r="E175" s="2"/>
      <c r="G175" s="61"/>
    </row>
    <row r="176" spans="2:43" x14ac:dyDescent="0.25">
      <c r="B176" s="85" t="s">
        <v>745</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control'!$H$42:$H$65,MATCH($A$1,'Version control'!$F$42:$F$65,0),1)&amp;"-J: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746</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747</v>
      </c>
    </row>
    <row r="182" spans="3:43" x14ac:dyDescent="0.25">
      <c r="E182" s="94"/>
      <c r="F182" s="95" t="s">
        <v>157</v>
      </c>
      <c r="G182" s="143" t="s">
        <v>748</v>
      </c>
      <c r="H182" s="364"/>
      <c r="I182" s="95"/>
      <c r="J182" s="147">
        <f t="shared" ref="J182:AO182" si="40" xml:space="preserve"> IF( J$25 &lt;&gt; 0, J$22 * thousand * J64 / hundred / J$25, 0)</f>
        <v>42.579959020875229</v>
      </c>
      <c r="K182" s="147">
        <f t="shared" si="40"/>
        <v>0</v>
      </c>
      <c r="L182" s="147">
        <f t="shared" si="40"/>
        <v>124.55136609164708</v>
      </c>
      <c r="M182" s="147">
        <f t="shared" si="40"/>
        <v>21.402195354393953</v>
      </c>
      <c r="N182" s="147">
        <f t="shared" si="40"/>
        <v>87.794297391474473</v>
      </c>
      <c r="O182" s="147">
        <f t="shared" si="40"/>
        <v>177.21012467223997</v>
      </c>
      <c r="P182" s="147">
        <f t="shared" si="40"/>
        <v>430.02916154449065</v>
      </c>
      <c r="Q182" s="147">
        <f t="shared" si="40"/>
        <v>0</v>
      </c>
      <c r="R182" s="147">
        <f t="shared" si="40"/>
        <v>166.28537759383178</v>
      </c>
      <c r="S182" s="147">
        <f t="shared" si="40"/>
        <v>548.4495179831149</v>
      </c>
      <c r="T182" s="147">
        <f t="shared" si="40"/>
        <v>982.38693688769001</v>
      </c>
      <c r="U182" s="147">
        <f t="shared" si="40"/>
        <v>1509.8281011996803</v>
      </c>
      <c r="V182" s="147">
        <f t="shared" si="40"/>
        <v>2774.4168081274065</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774.94699256097147</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158</v>
      </c>
      <c r="G183" s="61" t="s">
        <v>748</v>
      </c>
      <c r="H183" s="250"/>
      <c r="J183" s="168">
        <f t="shared" ref="J183:AO183" si="41" xml:space="preserve"> IF( J$25 &lt;&gt; 0, J$23 * thousand * J65 / hundred / J$25, 0)</f>
        <v>18.009752231944685</v>
      </c>
      <c r="K183" s="168">
        <f t="shared" si="41"/>
        <v>0</v>
      </c>
      <c r="L183" s="168">
        <f t="shared" si="41"/>
        <v>82.245994301709985</v>
      </c>
      <c r="M183" s="168">
        <f t="shared" si="41"/>
        <v>14.379866669074261</v>
      </c>
      <c r="N183" s="168">
        <f t="shared" si="41"/>
        <v>58.987887452175237</v>
      </c>
      <c r="O183" s="168">
        <f t="shared" si="41"/>
        <v>119.06526050252469</v>
      </c>
      <c r="P183" s="168">
        <f t="shared" si="41"/>
        <v>288.93120095523398</v>
      </c>
      <c r="Q183" s="168">
        <f t="shared" si="41"/>
        <v>0</v>
      </c>
      <c r="R183" s="168">
        <f t="shared" si="41"/>
        <v>77.138775950531794</v>
      </c>
      <c r="S183" s="168">
        <f t="shared" si="41"/>
        <v>277.9947489849996</v>
      </c>
      <c r="T183" s="168">
        <f t="shared" si="41"/>
        <v>497.94630311744379</v>
      </c>
      <c r="U183" s="168">
        <f t="shared" si="41"/>
        <v>765.29246583534393</v>
      </c>
      <c r="V183" s="168">
        <f t="shared" si="41"/>
        <v>1406.2794821872512</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451.35701908862512</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159</v>
      </c>
      <c r="G184" s="61" t="s">
        <v>748</v>
      </c>
      <c r="H184" s="250"/>
      <c r="J184" s="168">
        <f t="shared" ref="J184:AO184" si="42" xml:space="preserve"> IF( J$25 &lt;&gt; 0, J$24 * thousand * J66 / hundred / J$25, 0)</f>
        <v>2.1223408366409453</v>
      </c>
      <c r="K184" s="168">
        <f t="shared" si="42"/>
        <v>0</v>
      </c>
      <c r="L184" s="168">
        <f t="shared" si="42"/>
        <v>8.1416467701359316</v>
      </c>
      <c r="M184" s="168">
        <f t="shared" si="42"/>
        <v>1.1445818866793589</v>
      </c>
      <c r="N184" s="168">
        <f t="shared" si="42"/>
        <v>4.695208172996705</v>
      </c>
      <c r="O184" s="168">
        <f t="shared" si="42"/>
        <v>9.4771351946563165</v>
      </c>
      <c r="P184" s="168">
        <f t="shared" si="42"/>
        <v>22.997808444295167</v>
      </c>
      <c r="Q184" s="168">
        <f t="shared" si="42"/>
        <v>0</v>
      </c>
      <c r="R184" s="168">
        <f t="shared" si="42"/>
        <v>9.4829790251189294</v>
      </c>
      <c r="S184" s="168">
        <f t="shared" si="42"/>
        <v>25.727867254072159</v>
      </c>
      <c r="T184" s="168">
        <f t="shared" si="42"/>
        <v>46.083950984818216</v>
      </c>
      <c r="U184" s="168">
        <f t="shared" si="42"/>
        <v>70.826312523679007</v>
      </c>
      <c r="V184" s="168">
        <f t="shared" si="42"/>
        <v>130.14840018359916</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484.08809182033991</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160</v>
      </c>
      <c r="G185" s="143" t="s">
        <v>748</v>
      </c>
      <c r="H185" s="364"/>
      <c r="I185" s="95"/>
      <c r="J185" s="147">
        <f t="shared" ref="J185:AO185" si="43" xml:space="preserve"> IF( J$25 &lt;&gt; 0, J$25 * J67 * days_in_year / hundred / J$25, 0)</f>
        <v>38.759399999999999</v>
      </c>
      <c r="K185" s="147">
        <f t="shared" si="43"/>
        <v>0</v>
      </c>
      <c r="L185" s="147">
        <f t="shared" si="43"/>
        <v>41.833799999999997</v>
      </c>
      <c r="M185" s="147">
        <f t="shared" si="43"/>
        <v>48.970800000000004</v>
      </c>
      <c r="N185" s="147">
        <f t="shared" si="43"/>
        <v>70.857599999999991</v>
      </c>
      <c r="O185" s="147">
        <f t="shared" si="43"/>
        <v>100.13759999999999</v>
      </c>
      <c r="P185" s="147">
        <f t="shared" si="43"/>
        <v>183.51239999999999</v>
      </c>
      <c r="Q185" s="147">
        <f t="shared" si="43"/>
        <v>0</v>
      </c>
      <c r="R185" s="147">
        <f t="shared" si="43"/>
        <v>41.467799999999997</v>
      </c>
      <c r="S185" s="147">
        <f t="shared" si="43"/>
        <v>309.30660000000006</v>
      </c>
      <c r="T185" s="147">
        <f t="shared" si="43"/>
        <v>522.13559999999995</v>
      </c>
      <c r="U185" s="147">
        <f t="shared" si="43"/>
        <v>805.45619999999997</v>
      </c>
      <c r="V185" s="147">
        <f t="shared" si="43"/>
        <v>1734.3642000000002</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161</v>
      </c>
      <c r="G186" s="61" t="s">
        <v>748</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920.89991326542997</v>
      </c>
      <c r="S186" s="168">
        <f t="shared" si="44"/>
        <v>1247.7089790414934</v>
      </c>
      <c r="T186" s="168">
        <f t="shared" si="44"/>
        <v>3260.8407483321107</v>
      </c>
      <c r="U186" s="168">
        <f t="shared" si="44"/>
        <v>5287.7301509702775</v>
      </c>
      <c r="V186" s="168">
        <f t="shared" si="44"/>
        <v>10182.378105059499</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162</v>
      </c>
      <c r="G187" s="61" t="s">
        <v>748</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78.582128126604218</v>
      </c>
      <c r="S187" s="168">
        <f t="shared" si="45"/>
        <v>39.419176277440187</v>
      </c>
      <c r="T187" s="168">
        <f t="shared" si="45"/>
        <v>103.02054279509099</v>
      </c>
      <c r="U187" s="168">
        <f t="shared" si="45"/>
        <v>167.0565576026851</v>
      </c>
      <c r="V187" s="168">
        <f t="shared" si="45"/>
        <v>321.69437279776076</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163</v>
      </c>
      <c r="G188" s="143" t="s">
        <v>748</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9.5246966626243346</v>
      </c>
      <c r="S188" s="147">
        <f t="shared" si="46"/>
        <v>10.323928375406688</v>
      </c>
      <c r="T188" s="147">
        <f t="shared" si="46"/>
        <v>18.492298818422746</v>
      </c>
      <c r="U188" s="147">
        <f t="shared" si="46"/>
        <v>28.420769213697564</v>
      </c>
      <c r="V188" s="147">
        <f t="shared" si="46"/>
        <v>52.225190234397488</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102</v>
      </c>
      <c r="G189" s="356" t="s">
        <v>748</v>
      </c>
      <c r="H189" s="365"/>
      <c r="I189" s="145"/>
      <c r="J189" s="146">
        <f t="shared" ref="J189" si="47">SUM(J182:J188)</f>
        <v>101.47145208946085</v>
      </c>
      <c r="K189" s="146">
        <f t="shared" ref="K189:AO189" si="48">SUM(K182:K188)</f>
        <v>0</v>
      </c>
      <c r="L189" s="146">
        <f t="shared" si="48"/>
        <v>256.77280716349298</v>
      </c>
      <c r="M189" s="146">
        <f t="shared" si="48"/>
        <v>85.897443910147587</v>
      </c>
      <c r="N189" s="146">
        <f t="shared" si="48"/>
        <v>222.33499301664639</v>
      </c>
      <c r="O189" s="146">
        <f t="shared" si="48"/>
        <v>405.89012036942097</v>
      </c>
      <c r="P189" s="146">
        <f t="shared" si="48"/>
        <v>925.47057094401976</v>
      </c>
      <c r="Q189" s="146">
        <f t="shared" si="48"/>
        <v>0</v>
      </c>
      <c r="R189" s="146">
        <f t="shared" si="48"/>
        <v>1303.381670624141</v>
      </c>
      <c r="S189" s="146">
        <f t="shared" si="48"/>
        <v>2458.9308179165268</v>
      </c>
      <c r="T189" s="146">
        <f t="shared" si="48"/>
        <v>5430.9063809355766</v>
      </c>
      <c r="U189" s="146">
        <f t="shared" si="48"/>
        <v>8634.6105573453624</v>
      </c>
      <c r="V189" s="146">
        <f t="shared" si="48"/>
        <v>16601.50655858991</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1710.3921034699365</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749</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750</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157</v>
      </c>
      <c r="G193" s="143" t="s">
        <v>748</v>
      </c>
      <c r="H193" s="364"/>
      <c r="I193" s="95"/>
      <c r="J193" s="147">
        <f t="shared" ref="J193:AO193" si="49" xml:space="preserve"> IF( J$25 &lt;&gt; 0, J$22 * thousand * J73 / hundred / J$25,0)</f>
        <v>28.539103891188041</v>
      </c>
      <c r="K193" s="147">
        <f t="shared" si="49"/>
        <v>0</v>
      </c>
      <c r="L193" s="147">
        <f t="shared" si="49"/>
        <v>83.481663228975052</v>
      </c>
      <c r="M193" s="147">
        <f t="shared" si="49"/>
        <v>14.345012190565392</v>
      </c>
      <c r="N193" s="147">
        <f t="shared" si="49"/>
        <v>58.844910322915204</v>
      </c>
      <c r="O193" s="147">
        <f t="shared" si="49"/>
        <v>118.77666550655964</v>
      </c>
      <c r="P193" s="147">
        <f t="shared" si="49"/>
        <v>288.23087830510156</v>
      </c>
      <c r="Q193" s="147">
        <f t="shared" si="49"/>
        <v>0</v>
      </c>
      <c r="R193" s="147">
        <f t="shared" si="49"/>
        <v>111.47400012893634</v>
      </c>
      <c r="S193" s="147">
        <f t="shared" si="49"/>
        <v>367.66829725521632</v>
      </c>
      <c r="T193" s="147">
        <f t="shared" si="49"/>
        <v>658.57024299980264</v>
      </c>
      <c r="U193" s="147">
        <f t="shared" si="49"/>
        <v>1012.155009557786</v>
      </c>
      <c r="V193" s="147">
        <f t="shared" si="49"/>
        <v>1859.90701108039</v>
      </c>
      <c r="W193" s="147">
        <f t="shared" si="49"/>
        <v>238.24597348046763</v>
      </c>
      <c r="X193" s="147">
        <f t="shared" si="49"/>
        <v>516.00342161379581</v>
      </c>
      <c r="Y193" s="147">
        <f t="shared" si="49"/>
        <v>884.65504048459638</v>
      </c>
      <c r="Z193" s="147">
        <f t="shared" si="49"/>
        <v>1434.4353048427811</v>
      </c>
      <c r="AA193" s="147">
        <f t="shared" si="49"/>
        <v>3077.9044018049158</v>
      </c>
      <c r="AB193" s="147">
        <f t="shared" si="49"/>
        <v>174.50366617010883</v>
      </c>
      <c r="AC193" s="147">
        <f t="shared" si="49"/>
        <v>2586.9108741925506</v>
      </c>
      <c r="AD193" s="147">
        <f t="shared" si="49"/>
        <v>5982.0753892403609</v>
      </c>
      <c r="AE193" s="147">
        <f t="shared" si="49"/>
        <v>13525.307419448756</v>
      </c>
      <c r="AF193" s="147">
        <f t="shared" si="49"/>
        <v>26914.249186900855</v>
      </c>
      <c r="AG193" s="147">
        <f t="shared" si="49"/>
        <v>519.43723622833784</v>
      </c>
      <c r="AH193" s="147">
        <f t="shared" si="49"/>
        <v>0</v>
      </c>
      <c r="AI193" s="147">
        <f t="shared" si="49"/>
        <v>0</v>
      </c>
      <c r="AJ193" s="147">
        <f t="shared" si="49"/>
        <v>0</v>
      </c>
      <c r="AK193" s="147">
        <f t="shared" si="49"/>
        <v>0</v>
      </c>
      <c r="AL193" s="147">
        <f t="shared" si="49"/>
        <v>0</v>
      </c>
      <c r="AM193" s="147">
        <f t="shared" si="49"/>
        <v>0</v>
      </c>
      <c r="AN193" s="147">
        <f t="shared" si="49"/>
        <v>-14811.054570795517</v>
      </c>
      <c r="AO193" s="147">
        <f t="shared" si="49"/>
        <v>0</v>
      </c>
    </row>
    <row r="194" spans="3:43" x14ac:dyDescent="0.25">
      <c r="C194" s="105"/>
      <c r="F194" t="s">
        <v>158</v>
      </c>
      <c r="G194" s="61" t="s">
        <v>748</v>
      </c>
      <c r="H194" s="250"/>
      <c r="J194" s="168">
        <f t="shared" ref="J194:AO194" si="50" xml:space="preserve"> IF( J$25 &lt;&gt; 0, J$23 * thousand * J74 / hundred / J$25, 0)</f>
        <v>12.066384288401844</v>
      </c>
      <c r="K194" s="168">
        <f t="shared" si="50"/>
        <v>0</v>
      </c>
      <c r="L194" s="168">
        <f t="shared" si="50"/>
        <v>55.133466018733372</v>
      </c>
      <c r="M194" s="168">
        <f t="shared" si="50"/>
        <v>9.6395197977056863</v>
      </c>
      <c r="N194" s="168">
        <f t="shared" si="50"/>
        <v>39.542432625120014</v>
      </c>
      <c r="O194" s="168">
        <f t="shared" si="50"/>
        <v>79.815200115966007</v>
      </c>
      <c r="P194" s="168">
        <f t="shared" si="50"/>
        <v>193.68455187228517</v>
      </c>
      <c r="Q194" s="168">
        <f t="shared" si="50"/>
        <v>0</v>
      </c>
      <c r="R194" s="168">
        <f t="shared" si="50"/>
        <v>51.781328863874641</v>
      </c>
      <c r="S194" s="168">
        <f t="shared" si="50"/>
        <v>186.61091444922403</v>
      </c>
      <c r="T194" s="168">
        <f t="shared" si="50"/>
        <v>334.25888550280018</v>
      </c>
      <c r="U194" s="168">
        <f t="shared" si="50"/>
        <v>513.72167061450887</v>
      </c>
      <c r="V194" s="168">
        <f t="shared" si="50"/>
        <v>944.0002054006585</v>
      </c>
      <c r="W194" s="168">
        <f t="shared" si="50"/>
        <v>132.20885495394941</v>
      </c>
      <c r="X194" s="168">
        <f t="shared" si="50"/>
        <v>185.81056694532523</v>
      </c>
      <c r="Y194" s="168">
        <f t="shared" si="50"/>
        <v>318.56039657526117</v>
      </c>
      <c r="Z194" s="168">
        <f t="shared" si="50"/>
        <v>516.533856317556</v>
      </c>
      <c r="AA194" s="168">
        <f t="shared" si="50"/>
        <v>1108.3398635502242</v>
      </c>
      <c r="AB194" s="168">
        <f t="shared" si="50"/>
        <v>107.51229889845521</v>
      </c>
      <c r="AC194" s="168">
        <f t="shared" si="50"/>
        <v>679.87617525336066</v>
      </c>
      <c r="AD194" s="168">
        <f t="shared" si="50"/>
        <v>1572.1726543762136</v>
      </c>
      <c r="AE194" s="168">
        <f t="shared" si="50"/>
        <v>3554.6389978861989</v>
      </c>
      <c r="AF194" s="168">
        <f t="shared" si="50"/>
        <v>7073.4392048653272</v>
      </c>
      <c r="AG194" s="168">
        <f t="shared" si="50"/>
        <v>302.61436507078275</v>
      </c>
      <c r="AH194" s="168">
        <f t="shared" si="50"/>
        <v>0</v>
      </c>
      <c r="AI194" s="168">
        <f t="shared" si="50"/>
        <v>0</v>
      </c>
      <c r="AJ194" s="168">
        <f t="shared" si="50"/>
        <v>0</v>
      </c>
      <c r="AK194" s="168">
        <f t="shared" si="50"/>
        <v>0</v>
      </c>
      <c r="AL194" s="168">
        <f t="shared" si="50"/>
        <v>0</v>
      </c>
      <c r="AM194" s="168">
        <f t="shared" si="50"/>
        <v>0</v>
      </c>
      <c r="AN194" s="168">
        <f t="shared" si="50"/>
        <v>-4091.2345764662418</v>
      </c>
      <c r="AO194" s="168">
        <f t="shared" si="50"/>
        <v>0</v>
      </c>
    </row>
    <row r="195" spans="3:43" x14ac:dyDescent="0.25">
      <c r="C195" s="105"/>
      <c r="F195" t="s">
        <v>159</v>
      </c>
      <c r="G195" s="61" t="s">
        <v>748</v>
      </c>
      <c r="H195" s="250"/>
      <c r="J195" s="168">
        <f t="shared" ref="J195:AO195" si="51" xml:space="preserve"> IF( J$25 &lt;&gt; 0, J$24 * thousand * J75 / hundred / J$25, 0)</f>
        <v>1.4267837557250054</v>
      </c>
      <c r="K195" s="168">
        <f t="shared" si="51"/>
        <v>0</v>
      </c>
      <c r="L195" s="168">
        <f t="shared" si="51"/>
        <v>5.4745555868155407</v>
      </c>
      <c r="M195" s="168">
        <f t="shared" si="51"/>
        <v>0.76963264793956898</v>
      </c>
      <c r="N195" s="168">
        <f t="shared" si="51"/>
        <v>3.1571227370150261</v>
      </c>
      <c r="O195" s="168">
        <f t="shared" si="51"/>
        <v>6.372556423993041</v>
      </c>
      <c r="P195" s="168">
        <f t="shared" si="51"/>
        <v>15.464043609095025</v>
      </c>
      <c r="Q195" s="168">
        <f t="shared" si="51"/>
        <v>0</v>
      </c>
      <c r="R195" s="168">
        <f t="shared" si="51"/>
        <v>6.3219860167459538</v>
      </c>
      <c r="S195" s="168">
        <f t="shared" si="51"/>
        <v>17.151911502714771</v>
      </c>
      <c r="T195" s="168">
        <f t="shared" si="51"/>
        <v>30.722633989878805</v>
      </c>
      <c r="U195" s="168">
        <f t="shared" si="51"/>
        <v>47.217541682452669</v>
      </c>
      <c r="V195" s="168">
        <f t="shared" si="51"/>
        <v>86.765600122399434</v>
      </c>
      <c r="W195" s="168">
        <f t="shared" si="51"/>
        <v>9.5311662394401377</v>
      </c>
      <c r="X195" s="168">
        <f t="shared" si="51"/>
        <v>20.350005142425324</v>
      </c>
      <c r="Y195" s="168">
        <f t="shared" si="51"/>
        <v>34.888789238704341</v>
      </c>
      <c r="Z195" s="168">
        <f t="shared" si="51"/>
        <v>56.57087648514652</v>
      </c>
      <c r="AA195" s="168">
        <f t="shared" si="51"/>
        <v>121.38557184123323</v>
      </c>
      <c r="AB195" s="168">
        <f t="shared" si="51"/>
        <v>16.712548174488226</v>
      </c>
      <c r="AC195" s="168">
        <f t="shared" si="51"/>
        <v>87.641345386708821</v>
      </c>
      <c r="AD195" s="168">
        <f t="shared" si="51"/>
        <v>202.6653258711076</v>
      </c>
      <c r="AE195" s="168">
        <f t="shared" si="51"/>
        <v>458.22071059147481</v>
      </c>
      <c r="AF195" s="168">
        <f t="shared" si="51"/>
        <v>911.82152131521525</v>
      </c>
      <c r="AG195" s="168">
        <f t="shared" si="51"/>
        <v>324.70287858210702</v>
      </c>
      <c r="AH195" s="168">
        <f t="shared" si="51"/>
        <v>0</v>
      </c>
      <c r="AI195" s="168">
        <f t="shared" si="51"/>
        <v>0</v>
      </c>
      <c r="AJ195" s="168">
        <f t="shared" si="51"/>
        <v>0</v>
      </c>
      <c r="AK195" s="168">
        <f t="shared" si="51"/>
        <v>0</v>
      </c>
      <c r="AL195" s="168">
        <f t="shared" si="51"/>
        <v>0</v>
      </c>
      <c r="AM195" s="168">
        <f t="shared" si="51"/>
        <v>0</v>
      </c>
      <c r="AN195" s="168">
        <f t="shared" si="51"/>
        <v>-354.7539264389149</v>
      </c>
      <c r="AO195" s="168">
        <f t="shared" si="51"/>
        <v>0</v>
      </c>
    </row>
    <row r="196" spans="3:43" x14ac:dyDescent="0.25">
      <c r="C196" s="105"/>
      <c r="F196" s="95" t="s">
        <v>160</v>
      </c>
      <c r="G196" s="143" t="s">
        <v>748</v>
      </c>
      <c r="H196" s="364"/>
      <c r="I196" s="95"/>
      <c r="J196" s="147">
        <f t="shared" ref="J196:AO196" si="52" xml:space="preserve"> IF( J$25 &lt;&gt; 0, J$25 * J76 * days_in_year / hundred / J$25, 0)</f>
        <v>25.985999999999997</v>
      </c>
      <c r="K196" s="147">
        <f t="shared" si="52"/>
        <v>0</v>
      </c>
      <c r="L196" s="147">
        <f t="shared" si="52"/>
        <v>28.035600000000002</v>
      </c>
      <c r="M196" s="147">
        <f t="shared" si="52"/>
        <v>32.830199999999998</v>
      </c>
      <c r="N196" s="147">
        <f t="shared" si="52"/>
        <v>47.470199999999998</v>
      </c>
      <c r="O196" s="147">
        <f t="shared" si="52"/>
        <v>67.124400000000009</v>
      </c>
      <c r="P196" s="147">
        <f t="shared" si="52"/>
        <v>123.01259999999999</v>
      </c>
      <c r="Q196" s="147">
        <f t="shared" si="52"/>
        <v>0</v>
      </c>
      <c r="R196" s="147">
        <f t="shared" si="52"/>
        <v>27.815999999999999</v>
      </c>
      <c r="S196" s="147">
        <f t="shared" si="52"/>
        <v>207.339</v>
      </c>
      <c r="T196" s="147">
        <f t="shared" si="52"/>
        <v>349.9692</v>
      </c>
      <c r="U196" s="147">
        <f t="shared" si="52"/>
        <v>539.88659999999993</v>
      </c>
      <c r="V196" s="147">
        <f t="shared" si="52"/>
        <v>1162.5623999999998</v>
      </c>
      <c r="W196" s="147">
        <f t="shared" si="52"/>
        <v>37.624799999999993</v>
      </c>
      <c r="X196" s="147">
        <f t="shared" si="52"/>
        <v>348.798</v>
      </c>
      <c r="Y196" s="147">
        <f t="shared" si="52"/>
        <v>596.06760000000008</v>
      </c>
      <c r="Z196" s="147">
        <f t="shared" si="52"/>
        <v>925.28460000000007</v>
      </c>
      <c r="AA196" s="147">
        <f t="shared" si="52"/>
        <v>2004.6186</v>
      </c>
      <c r="AB196" s="147">
        <f t="shared" si="52"/>
        <v>412.59180000000003</v>
      </c>
      <c r="AC196" s="147">
        <f t="shared" si="52"/>
        <v>3105.1440000000002</v>
      </c>
      <c r="AD196" s="147">
        <f t="shared" si="52"/>
        <v>6625.0026000000007</v>
      </c>
      <c r="AE196" s="147">
        <f t="shared" si="52"/>
        <v>14464.7958</v>
      </c>
      <c r="AF196" s="147">
        <f t="shared" si="52"/>
        <v>27478.108800000002</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161</v>
      </c>
      <c r="G197" s="61" t="s">
        <v>748</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617.13501358335202</v>
      </c>
      <c r="S197" s="168">
        <f t="shared" si="53"/>
        <v>836.14395727161366</v>
      </c>
      <c r="T197" s="168">
        <f t="shared" si="53"/>
        <v>2185.2309578131744</v>
      </c>
      <c r="U197" s="168">
        <f t="shared" si="53"/>
        <v>3543.5375457610462</v>
      </c>
      <c r="V197" s="168">
        <f t="shared" si="53"/>
        <v>6823.6536453723365</v>
      </c>
      <c r="W197" s="168">
        <f t="shared" si="53"/>
        <v>2047.0197836865002</v>
      </c>
      <c r="X197" s="168">
        <f t="shared" si="53"/>
        <v>1519.1376621580303</v>
      </c>
      <c r="Y197" s="168">
        <f t="shared" si="53"/>
        <v>3477.045318924007</v>
      </c>
      <c r="Z197" s="168">
        <f t="shared" si="53"/>
        <v>5717.1271965781643</v>
      </c>
      <c r="AA197" s="168">
        <f t="shared" si="53"/>
        <v>12185.010003135985</v>
      </c>
      <c r="AB197" s="168">
        <f t="shared" si="53"/>
        <v>5688.5436790340364</v>
      </c>
      <c r="AC197" s="168">
        <f t="shared" si="53"/>
        <v>8806.5022697294226</v>
      </c>
      <c r="AD197" s="168">
        <f t="shared" si="53"/>
        <v>23071.876556553954</v>
      </c>
      <c r="AE197" s="168">
        <f t="shared" si="53"/>
        <v>45849.074978607765</v>
      </c>
      <c r="AF197" s="168">
        <f t="shared" si="53"/>
        <v>115418.14111316729</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162</v>
      </c>
      <c r="G198" s="61" t="s">
        <v>748</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52.661295771935542</v>
      </c>
      <c r="S198" s="168">
        <f t="shared" si="54"/>
        <v>26.416501442769562</v>
      </c>
      <c r="T198" s="168">
        <f t="shared" si="54"/>
        <v>69.038538457205689</v>
      </c>
      <c r="U198" s="168">
        <f t="shared" si="54"/>
        <v>111.95185216138219</v>
      </c>
      <c r="V198" s="168">
        <f t="shared" si="54"/>
        <v>215.58136586447071</v>
      </c>
      <c r="W198" s="168">
        <f t="shared" si="54"/>
        <v>164.81651467176661</v>
      </c>
      <c r="X198" s="168">
        <f t="shared" si="54"/>
        <v>17.777777543460125</v>
      </c>
      <c r="Y198" s="168">
        <f t="shared" si="54"/>
        <v>40.690280893009714</v>
      </c>
      <c r="Z198" s="168">
        <f t="shared" si="54"/>
        <v>66.904940888668094</v>
      </c>
      <c r="AA198" s="168">
        <f t="shared" si="54"/>
        <v>142.59563342854801</v>
      </c>
      <c r="AB198" s="168">
        <f t="shared" si="54"/>
        <v>1403.2307311812951</v>
      </c>
      <c r="AC198" s="168">
        <f t="shared" si="54"/>
        <v>72.6009202611246</v>
      </c>
      <c r="AD198" s="168">
        <f t="shared" si="54"/>
        <v>190.20485305664366</v>
      </c>
      <c r="AE198" s="168">
        <f t="shared" si="54"/>
        <v>377.98037570601775</v>
      </c>
      <c r="AF198" s="168">
        <f t="shared" si="54"/>
        <v>951.50866972997926</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163</v>
      </c>
      <c r="G199" s="143" t="s">
        <v>748</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6.4132957528337187</v>
      </c>
      <c r="S199" s="147">
        <f t="shared" si="55"/>
        <v>6.9514451061071698</v>
      </c>
      <c r="T199" s="147">
        <f t="shared" si="55"/>
        <v>12.451481204404651</v>
      </c>
      <c r="U199" s="147">
        <f t="shared" si="55"/>
        <v>19.13665127055636</v>
      </c>
      <c r="V199" s="147">
        <f t="shared" si="55"/>
        <v>35.164961424494315</v>
      </c>
      <c r="W199" s="147">
        <f t="shared" si="55"/>
        <v>8.6684171000218946</v>
      </c>
      <c r="X199" s="147">
        <f t="shared" si="55"/>
        <v>10.181025366554918</v>
      </c>
      <c r="Y199" s="147">
        <f t="shared" si="55"/>
        <v>17.454720318822673</v>
      </c>
      <c r="Z199" s="147">
        <f t="shared" si="55"/>
        <v>28.302180980917431</v>
      </c>
      <c r="AA199" s="147">
        <f t="shared" si="55"/>
        <v>60.728711241106012</v>
      </c>
      <c r="AB199" s="147">
        <f t="shared" si="55"/>
        <v>25.057552768926833</v>
      </c>
      <c r="AC199" s="147">
        <f t="shared" si="55"/>
        <v>36.879215096210856</v>
      </c>
      <c r="AD199" s="147">
        <f t="shared" si="55"/>
        <v>85.280960856606484</v>
      </c>
      <c r="AE199" s="147">
        <f t="shared" si="55"/>
        <v>192.8178997353042</v>
      </c>
      <c r="AF199" s="147">
        <f t="shared" si="55"/>
        <v>383.69175947221095</v>
      </c>
      <c r="AG199" s="147">
        <f t="shared" si="55"/>
        <v>0</v>
      </c>
      <c r="AH199" s="147">
        <f t="shared" si="55"/>
        <v>0</v>
      </c>
      <c r="AI199" s="147">
        <f t="shared" si="55"/>
        <v>0</v>
      </c>
      <c r="AJ199" s="147">
        <f t="shared" si="55"/>
        <v>0</v>
      </c>
      <c r="AK199" s="147">
        <f t="shared" si="55"/>
        <v>0</v>
      </c>
      <c r="AL199" s="147">
        <f t="shared" si="55"/>
        <v>0</v>
      </c>
      <c r="AM199" s="147">
        <f t="shared" si="55"/>
        <v>0</v>
      </c>
      <c r="AN199" s="147">
        <f t="shared" si="55"/>
        <v>42.968722107524094</v>
      </c>
      <c r="AO199" s="147">
        <f t="shared" si="55"/>
        <v>0</v>
      </c>
    </row>
    <row r="200" spans="3:43" x14ac:dyDescent="0.25">
      <c r="C200" s="105"/>
      <c r="F200" s="145" t="s">
        <v>102</v>
      </c>
      <c r="G200" s="356" t="s">
        <v>748</v>
      </c>
      <c r="H200" s="365"/>
      <c r="I200" s="145"/>
      <c r="J200" s="146">
        <f t="shared" ref="J200" si="56">SUM(J193:J199)</f>
        <v>68.018271935314885</v>
      </c>
      <c r="K200" s="146">
        <f t="shared" ref="K200:AO200" si="57">SUM(K193:K199)</f>
        <v>0</v>
      </c>
      <c r="L200" s="146">
        <f t="shared" si="57"/>
        <v>172.12528483452394</v>
      </c>
      <c r="M200" s="146">
        <f t="shared" si="57"/>
        <v>57.584364636210651</v>
      </c>
      <c r="N200" s="146">
        <f t="shared" si="57"/>
        <v>149.01466568505023</v>
      </c>
      <c r="O200" s="146">
        <f t="shared" si="57"/>
        <v>272.08882204651866</v>
      </c>
      <c r="P200" s="146">
        <f t="shared" si="57"/>
        <v>620.39207378648177</v>
      </c>
      <c r="Q200" s="146">
        <f t="shared" si="57"/>
        <v>0</v>
      </c>
      <c r="R200" s="146">
        <f t="shared" si="57"/>
        <v>873.60292011767831</v>
      </c>
      <c r="S200" s="146">
        <f t="shared" si="57"/>
        <v>1648.2820270276457</v>
      </c>
      <c r="T200" s="146">
        <f t="shared" si="57"/>
        <v>3640.2419399672658</v>
      </c>
      <c r="U200" s="146">
        <f t="shared" si="57"/>
        <v>5787.6068710477321</v>
      </c>
      <c r="V200" s="146">
        <f t="shared" si="57"/>
        <v>11127.635189264751</v>
      </c>
      <c r="W200" s="146">
        <f t="shared" si="57"/>
        <v>2638.115510132146</v>
      </c>
      <c r="X200" s="146">
        <f t="shared" si="57"/>
        <v>2618.0584587695917</v>
      </c>
      <c r="Y200" s="146">
        <f t="shared" si="57"/>
        <v>5369.3621464344014</v>
      </c>
      <c r="Z200" s="146">
        <f t="shared" si="57"/>
        <v>8745.1589560932334</v>
      </c>
      <c r="AA200" s="146">
        <f t="shared" si="57"/>
        <v>18700.58278500201</v>
      </c>
      <c r="AB200" s="146">
        <f t="shared" si="57"/>
        <v>7828.1522762273107</v>
      </c>
      <c r="AC200" s="146">
        <f t="shared" si="57"/>
        <v>15375.554799919377</v>
      </c>
      <c r="AD200" s="146">
        <f t="shared" si="57"/>
        <v>37729.278339954893</v>
      </c>
      <c r="AE200" s="146">
        <f t="shared" si="57"/>
        <v>78422.836181975523</v>
      </c>
      <c r="AF200" s="146">
        <f t="shared" si="57"/>
        <v>179130.96025545089</v>
      </c>
      <c r="AG200" s="146">
        <f t="shared" si="57"/>
        <v>1146.7544798812278</v>
      </c>
      <c r="AH200" s="146">
        <f t="shared" si="57"/>
        <v>0</v>
      </c>
      <c r="AI200" s="146">
        <f t="shared" si="57"/>
        <v>0</v>
      </c>
      <c r="AJ200" s="146">
        <f t="shared" si="57"/>
        <v>0</v>
      </c>
      <c r="AK200" s="146">
        <f t="shared" si="57"/>
        <v>0</v>
      </c>
      <c r="AL200" s="146">
        <f t="shared" si="57"/>
        <v>0</v>
      </c>
      <c r="AM200" s="146">
        <f t="shared" si="57"/>
        <v>0</v>
      </c>
      <c r="AN200" s="146">
        <f t="shared" si="57"/>
        <v>-19214.07435159315</v>
      </c>
      <c r="AO200" s="146">
        <f t="shared" si="57"/>
        <v>0</v>
      </c>
    </row>
    <row r="201" spans="3:43" x14ac:dyDescent="0.25">
      <c r="C201" s="105"/>
      <c r="D201" s="2"/>
      <c r="E201" s="2"/>
      <c r="G201" s="61"/>
    </row>
    <row r="202" spans="3:43" x14ac:dyDescent="0.25">
      <c r="C202" s="93" t="str">
        <f ca="1">INDEX('Version control'!$H$42:$H$65,MATCH($A$1,'Version control'!$F$42:$F$65,0),1)&amp;"-K: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751</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752</v>
      </c>
      <c r="G206" s="94" t="s">
        <v>168</v>
      </c>
      <c r="J206" s="158">
        <f>IF( AND( ISNUMBER(J$140), J$140 &lt;&gt; 0), ( J$140 - J189 ) / J$140, 0)</f>
        <v>0.40609986320908903</v>
      </c>
      <c r="K206" s="158">
        <f>IF( AND( ISNUMBER(K$140), K$140 &lt;&gt; 0), ( K$140 - K189 ) / K$140, 0)</f>
        <v>0</v>
      </c>
      <c r="L206" s="158">
        <f t="shared" ref="L206:AK206" si="58">IF( AND( ISNUMBER(L$140), L$140 &lt;&gt; 0), ( L$140 - L189 ) / L$140, 0)</f>
        <v>0.40622179668768665</v>
      </c>
      <c r="M206" s="158">
        <f t="shared" si="58"/>
        <v>0.40615974716774694</v>
      </c>
      <c r="N206" s="158">
        <f t="shared" si="58"/>
        <v>0.4061250399817446</v>
      </c>
      <c r="O206" s="158">
        <f t="shared" si="58"/>
        <v>0.40618476059998138</v>
      </c>
      <c r="P206" s="158">
        <f t="shared" si="58"/>
        <v>0.40620559851604043</v>
      </c>
      <c r="Q206" s="158">
        <f t="shared" si="58"/>
        <v>0</v>
      </c>
      <c r="R206" s="158">
        <f t="shared" si="58"/>
        <v>0.40598966028358224</v>
      </c>
      <c r="S206" s="158">
        <f t="shared" si="58"/>
        <v>0.40606347184892322</v>
      </c>
      <c r="T206" s="158">
        <f t="shared" si="58"/>
        <v>0.40602822951020817</v>
      </c>
      <c r="U206" s="158">
        <f t="shared" si="58"/>
        <v>0.40602461039163273</v>
      </c>
      <c r="V206" s="158">
        <f t="shared" si="58"/>
        <v>0.40602351717677088</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0.40625504825433373</v>
      </c>
      <c r="AH206" s="158">
        <f t="shared" si="58"/>
        <v>0</v>
      </c>
      <c r="AI206" s="366"/>
      <c r="AJ206" s="158">
        <f t="shared" si="58"/>
        <v>0</v>
      </c>
      <c r="AK206" s="158">
        <f t="shared" si="58"/>
        <v>0</v>
      </c>
      <c r="AL206" s="366"/>
      <c r="AM206" s="366"/>
      <c r="AN206" s="366"/>
      <c r="AO206" s="366"/>
    </row>
    <row r="207" spans="3:43" x14ac:dyDescent="0.25">
      <c r="C207" s="105"/>
      <c r="D207" s="2"/>
      <c r="E207" t="s">
        <v>753</v>
      </c>
      <c r="G207" s="94" t="s">
        <v>168</v>
      </c>
      <c r="J207" s="158">
        <f>IF( AND( ISNUMBER(J$140), J$140 &lt;&gt; 0), ( J$140 - J200 ) / J$140, 0)</f>
        <v>0.60189728071447834</v>
      </c>
      <c r="K207" s="158">
        <f>IF( AND( ISNUMBER(K$140), K$140 &lt;&gt; 0), ( K$140 - K200 ) / K$140, 0)</f>
        <v>0</v>
      </c>
      <c r="L207" s="158">
        <f t="shared" ref="L207:AO207" si="59">IF( AND( ISNUMBER(L$140), L$140 &lt;&gt; 0), ( L$140 - L200 ) / L$140, 0)</f>
        <v>0.60196625373734347</v>
      </c>
      <c r="M207" s="158">
        <f t="shared" si="59"/>
        <v>0.60189835578201401</v>
      </c>
      <c r="N207" s="158">
        <f t="shared" si="59"/>
        <v>0.60196963408626758</v>
      </c>
      <c r="O207" s="158">
        <f t="shared" si="59"/>
        <v>0.60193539853946398</v>
      </c>
      <c r="P207" s="158">
        <f t="shared" si="59"/>
        <v>0.60194807732927957</v>
      </c>
      <c r="Q207" s="158">
        <f t="shared" si="59"/>
        <v>0</v>
      </c>
      <c r="R207" s="158">
        <f t="shared" si="59"/>
        <v>0.6018593946408185</v>
      </c>
      <c r="S207" s="158">
        <f t="shared" si="59"/>
        <v>0.60186968359845394</v>
      </c>
      <c r="T207" s="158">
        <f t="shared" si="59"/>
        <v>0.60187106931475565</v>
      </c>
      <c r="U207" s="158">
        <f t="shared" si="59"/>
        <v>0.60187016851544828</v>
      </c>
      <c r="V207" s="158">
        <f t="shared" si="59"/>
        <v>0.60187025264646388</v>
      </c>
      <c r="W207" s="158">
        <f t="shared" si="59"/>
        <v>0.30962791107189502</v>
      </c>
      <c r="X207" s="158">
        <f t="shared" si="59"/>
        <v>0.30979002655594717</v>
      </c>
      <c r="Y207" s="158">
        <f t="shared" si="59"/>
        <v>0.30974397336204024</v>
      </c>
      <c r="Z207" s="158">
        <f t="shared" si="59"/>
        <v>0.30974071828607302</v>
      </c>
      <c r="AA207" s="158">
        <f t="shared" si="59"/>
        <v>0.3097399280112314</v>
      </c>
      <c r="AB207" s="158">
        <f t="shared" si="59"/>
        <v>0.18077217671863249</v>
      </c>
      <c r="AC207" s="158">
        <f t="shared" si="59"/>
        <v>0.18062298959262954</v>
      </c>
      <c r="AD207" s="158">
        <f t="shared" si="59"/>
        <v>0.18063875020277731</v>
      </c>
      <c r="AE207" s="158">
        <f t="shared" si="59"/>
        <v>0.1806286579760126</v>
      </c>
      <c r="AF207" s="158">
        <f t="shared" si="59"/>
        <v>0.18065252772484186</v>
      </c>
      <c r="AG207" s="158">
        <f t="shared" si="59"/>
        <v>0.60191602736011229</v>
      </c>
      <c r="AH207" s="158">
        <f t="shared" si="59"/>
        <v>0</v>
      </c>
      <c r="AI207" s="158">
        <f t="shared" si="59"/>
        <v>0</v>
      </c>
      <c r="AJ207" s="158">
        <f t="shared" si="59"/>
        <v>0</v>
      </c>
      <c r="AK207" s="158">
        <f t="shared" si="59"/>
        <v>0</v>
      </c>
      <c r="AL207" s="158">
        <f t="shared" si="59"/>
        <v>0</v>
      </c>
      <c r="AM207" s="158">
        <f t="shared" si="59"/>
        <v>0</v>
      </c>
      <c r="AN207" s="158">
        <f t="shared" si="59"/>
        <v>-1.6670323336048207E-2</v>
      </c>
      <c r="AO207" s="158">
        <f t="shared" si="59"/>
        <v>0</v>
      </c>
    </row>
    <row r="208" spans="3:43" x14ac:dyDescent="0.25">
      <c r="C208" s="105"/>
      <c r="D208" s="2"/>
      <c r="E208" s="2"/>
      <c r="F208" s="250"/>
      <c r="G208" s="250"/>
    </row>
    <row r="209" spans="2:43" x14ac:dyDescent="0.25">
      <c r="B209" s="85" t="s">
        <v>232</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233</v>
      </c>
      <c r="G211" s="6" t="s">
        <v>57</v>
      </c>
      <c r="H211" s="113">
        <f t="array" ref="H211">SUM(IF(ISERROR($H$13:$AP$207), 1))</f>
        <v>0</v>
      </c>
      <c r="I211" s="3"/>
    </row>
    <row r="212" spans="2:43" x14ac:dyDescent="0.25">
      <c r="F212" s="3"/>
      <c r="G212" s="3"/>
      <c r="H212" s="3"/>
      <c r="I212" s="3"/>
    </row>
    <row r="213" spans="2:43" x14ac:dyDescent="0.25">
      <c r="B213" s="85" t="s">
        <v>108</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A00-000000000000}">
      <formula1>0</formula1>
    </dataValidation>
    <dataValidation allowBlank="1" sqref="J168:AO168 J155:AO161 J170:AO170"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[enter DNO name] - [enter data version name]</v>
      </c>
    </row>
    <row r="3" spans="1:44" s="5" customFormat="1" x14ac:dyDescent="0.25">
      <c r="A3" s="5" t="str">
        <f>Cover!D2&amp;" - "&amp;Cover!D8&amp;" v"&amp;Cover!D10&amp;" - "&amp;Cover!D19</f>
        <v>CDCM charging model - Release for charge setting v11 - 2027/28</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143</v>
      </c>
      <c r="C5" s="90"/>
      <c r="D5" s="90"/>
      <c r="E5" s="90"/>
      <c r="F5" s="90"/>
      <c r="G5" s="91"/>
      <c r="H5" s="91" t="s">
        <v>754</v>
      </c>
      <c r="J5" s="92" t="s">
        <v>755</v>
      </c>
      <c r="K5" s="92" t="s">
        <v>756</v>
      </c>
      <c r="L5" s="92" t="s">
        <v>757</v>
      </c>
      <c r="M5" s="92" t="s">
        <v>758</v>
      </c>
      <c r="N5" s="92" t="s">
        <v>759</v>
      </c>
      <c r="O5" s="92" t="s">
        <v>760</v>
      </c>
      <c r="P5" s="92" t="s">
        <v>761</v>
      </c>
      <c r="R5" s="91" t="s">
        <v>146</v>
      </c>
    </row>
    <row r="7" spans="1:44"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762</v>
      </c>
    </row>
    <row r="11" spans="1:44" x14ac:dyDescent="0.25">
      <c r="B11" s="85" t="s">
        <v>98</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2027/28</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763</v>
      </c>
    </row>
    <row r="16" spans="1:44" x14ac:dyDescent="0.25">
      <c r="F16" s="95" t="s">
        <v>1116</v>
      </c>
      <c r="G16" s="95"/>
      <c r="H16" s="95" t="s">
        <v>731</v>
      </c>
      <c r="I16" s="95"/>
      <c r="J16" s="367">
        <f t="array" ref="J16:P47">TRANSPOSE(Rounding!J150:AO156)</f>
        <v>25.395</v>
      </c>
      <c r="K16" s="367">
        <v>2.0259999999999998</v>
      </c>
      <c r="L16" s="367">
        <v>0.2</v>
      </c>
      <c r="M16" s="368">
        <v>17.829999999999998</v>
      </c>
      <c r="N16" s="369">
        <v>0</v>
      </c>
      <c r="O16" s="369">
        <v>0</v>
      </c>
      <c r="P16" s="367">
        <v>0</v>
      </c>
    </row>
    <row r="17" spans="6:16" x14ac:dyDescent="0.25">
      <c r="F17" t="s">
        <v>786</v>
      </c>
      <c r="H17" t="s">
        <v>731</v>
      </c>
      <c r="J17" s="370">
        <v>25.395</v>
      </c>
      <c r="K17" s="370">
        <v>2.0259999999999998</v>
      </c>
      <c r="L17" s="370">
        <v>0.2</v>
      </c>
      <c r="M17" s="371">
        <v>0</v>
      </c>
      <c r="N17" s="372">
        <v>0</v>
      </c>
      <c r="O17" s="372">
        <v>0</v>
      </c>
      <c r="P17" s="370">
        <v>0</v>
      </c>
    </row>
    <row r="18" spans="6:16" x14ac:dyDescent="0.25">
      <c r="F18" t="s">
        <v>1117</v>
      </c>
      <c r="H18" t="s">
        <v>731</v>
      </c>
      <c r="J18" s="370">
        <v>24.844000000000001</v>
      </c>
      <c r="K18" s="370">
        <v>1.982</v>
      </c>
      <c r="L18" s="370">
        <v>0.19600000000000001</v>
      </c>
      <c r="M18" s="371">
        <v>19.25</v>
      </c>
      <c r="N18" s="372">
        <v>0</v>
      </c>
      <c r="O18" s="372">
        <v>0</v>
      </c>
      <c r="P18" s="370">
        <v>0</v>
      </c>
    </row>
    <row r="19" spans="6:16" x14ac:dyDescent="0.25">
      <c r="F19" t="s">
        <v>1118</v>
      </c>
      <c r="H19" t="s">
        <v>731</v>
      </c>
      <c r="J19" s="370">
        <v>24.844000000000001</v>
      </c>
      <c r="K19" s="370">
        <v>1.982</v>
      </c>
      <c r="L19" s="370">
        <v>0.19600000000000001</v>
      </c>
      <c r="M19" s="371">
        <v>22.53</v>
      </c>
      <c r="N19" s="372">
        <v>0</v>
      </c>
      <c r="O19" s="372">
        <v>0</v>
      </c>
      <c r="P19" s="370">
        <v>0</v>
      </c>
    </row>
    <row r="20" spans="6:16" x14ac:dyDescent="0.25">
      <c r="F20" t="s">
        <v>1119</v>
      </c>
      <c r="H20" t="s">
        <v>731</v>
      </c>
      <c r="J20" s="370">
        <v>24.844000000000001</v>
      </c>
      <c r="K20" s="370">
        <v>1.982</v>
      </c>
      <c r="L20" s="370">
        <v>0.19600000000000001</v>
      </c>
      <c r="M20" s="371">
        <v>32.590000000000003</v>
      </c>
      <c r="N20" s="372">
        <v>0</v>
      </c>
      <c r="O20" s="372">
        <v>0</v>
      </c>
      <c r="P20" s="370">
        <v>0</v>
      </c>
    </row>
    <row r="21" spans="6:16" x14ac:dyDescent="0.25">
      <c r="F21" t="s">
        <v>1120</v>
      </c>
      <c r="H21" t="s">
        <v>731</v>
      </c>
      <c r="J21" s="370">
        <v>24.844000000000001</v>
      </c>
      <c r="K21" s="370">
        <v>1.982</v>
      </c>
      <c r="L21" s="370">
        <v>0.19600000000000001</v>
      </c>
      <c r="M21" s="371">
        <v>46.07</v>
      </c>
      <c r="N21" s="372">
        <v>0</v>
      </c>
      <c r="O21" s="372">
        <v>0</v>
      </c>
      <c r="P21" s="370">
        <v>0</v>
      </c>
    </row>
    <row r="22" spans="6:16" x14ac:dyDescent="0.25">
      <c r="F22" t="s">
        <v>1121</v>
      </c>
      <c r="H22" t="s">
        <v>731</v>
      </c>
      <c r="J22" s="370">
        <v>24.844000000000001</v>
      </c>
      <c r="K22" s="370">
        <v>1.982</v>
      </c>
      <c r="L22" s="370">
        <v>0.19600000000000001</v>
      </c>
      <c r="M22" s="371">
        <v>84.44</v>
      </c>
      <c r="N22" s="372">
        <v>0</v>
      </c>
      <c r="O22" s="372">
        <v>0</v>
      </c>
      <c r="P22" s="370">
        <v>0</v>
      </c>
    </row>
    <row r="23" spans="6:16" x14ac:dyDescent="0.25">
      <c r="F23" t="s">
        <v>787</v>
      </c>
      <c r="H23" t="s">
        <v>731</v>
      </c>
      <c r="J23" s="370">
        <v>24.844000000000001</v>
      </c>
      <c r="K23" s="370">
        <v>1.982</v>
      </c>
      <c r="L23" s="370">
        <v>0.19600000000000001</v>
      </c>
      <c r="M23" s="371">
        <v>0</v>
      </c>
      <c r="N23" s="372">
        <v>0</v>
      </c>
      <c r="O23" s="372">
        <v>0</v>
      </c>
      <c r="P23" s="370">
        <v>0</v>
      </c>
    </row>
    <row r="24" spans="6:16" x14ac:dyDescent="0.25">
      <c r="F24" t="s">
        <v>863</v>
      </c>
      <c r="H24" t="s">
        <v>731</v>
      </c>
      <c r="J24" s="370">
        <v>15.429</v>
      </c>
      <c r="K24" s="370">
        <v>1.097</v>
      </c>
      <c r="L24" s="370">
        <v>0.111</v>
      </c>
      <c r="M24" s="371">
        <v>19.09</v>
      </c>
      <c r="N24" s="372">
        <v>12.91</v>
      </c>
      <c r="O24" s="372">
        <v>12.91</v>
      </c>
      <c r="P24" s="370">
        <v>0.253</v>
      </c>
    </row>
    <row r="25" spans="6:16" x14ac:dyDescent="0.25">
      <c r="F25" t="s">
        <v>864</v>
      </c>
      <c r="H25" t="s">
        <v>731</v>
      </c>
      <c r="J25" s="370">
        <v>15.429</v>
      </c>
      <c r="K25" s="370">
        <v>1.097</v>
      </c>
      <c r="L25" s="370">
        <v>0.111</v>
      </c>
      <c r="M25" s="371">
        <v>142.31</v>
      </c>
      <c r="N25" s="372">
        <v>12.91</v>
      </c>
      <c r="O25" s="372">
        <v>12.91</v>
      </c>
      <c r="P25" s="370">
        <v>0.253</v>
      </c>
    </row>
    <row r="26" spans="6:16" x14ac:dyDescent="0.25">
      <c r="F26" t="s">
        <v>865</v>
      </c>
      <c r="H26" t="s">
        <v>731</v>
      </c>
      <c r="J26" s="370">
        <v>15.429</v>
      </c>
      <c r="K26" s="370">
        <v>1.097</v>
      </c>
      <c r="L26" s="370">
        <v>0.111</v>
      </c>
      <c r="M26" s="371">
        <v>240.23</v>
      </c>
      <c r="N26" s="372">
        <v>12.91</v>
      </c>
      <c r="O26" s="372">
        <v>12.91</v>
      </c>
      <c r="P26" s="370">
        <v>0.253</v>
      </c>
    </row>
    <row r="27" spans="6:16" x14ac:dyDescent="0.25">
      <c r="F27" t="s">
        <v>866</v>
      </c>
      <c r="H27" t="s">
        <v>731</v>
      </c>
      <c r="J27" s="370">
        <v>15.429</v>
      </c>
      <c r="K27" s="370">
        <v>1.097</v>
      </c>
      <c r="L27" s="370">
        <v>0.111</v>
      </c>
      <c r="M27" s="371">
        <v>370.59</v>
      </c>
      <c r="N27" s="372">
        <v>12.91</v>
      </c>
      <c r="O27" s="372">
        <v>12.91</v>
      </c>
      <c r="P27" s="370">
        <v>0.253</v>
      </c>
    </row>
    <row r="28" spans="6:16" x14ac:dyDescent="0.25">
      <c r="F28" t="s">
        <v>867</v>
      </c>
      <c r="H28" t="s">
        <v>731</v>
      </c>
      <c r="J28" s="370">
        <v>15.429</v>
      </c>
      <c r="K28" s="370">
        <v>1.097</v>
      </c>
      <c r="L28" s="370">
        <v>0.111</v>
      </c>
      <c r="M28" s="371">
        <v>797.99</v>
      </c>
      <c r="N28" s="372">
        <v>12.91</v>
      </c>
      <c r="O28" s="372">
        <v>12.91</v>
      </c>
      <c r="P28" s="370">
        <v>0.253</v>
      </c>
    </row>
    <row r="29" spans="6:16" x14ac:dyDescent="0.25">
      <c r="F29" t="s">
        <v>868</v>
      </c>
      <c r="H29" t="s">
        <v>731</v>
      </c>
      <c r="J29" s="370">
        <v>9.8209999999999997</v>
      </c>
      <c r="K29" s="370">
        <v>0.496</v>
      </c>
      <c r="L29" s="370">
        <v>5.3999999999999999E-2</v>
      </c>
      <c r="M29" s="371">
        <v>14.9</v>
      </c>
      <c r="N29" s="372">
        <v>11.05</v>
      </c>
      <c r="O29" s="372">
        <v>11.05</v>
      </c>
      <c r="P29" s="370">
        <v>0.13900000000000001</v>
      </c>
    </row>
    <row r="30" spans="6:16" x14ac:dyDescent="0.25">
      <c r="F30" t="s">
        <v>869</v>
      </c>
      <c r="H30" t="s">
        <v>731</v>
      </c>
      <c r="J30" s="370">
        <v>9.8209999999999997</v>
      </c>
      <c r="K30" s="370">
        <v>0.496</v>
      </c>
      <c r="L30" s="370">
        <v>5.3999999999999999E-2</v>
      </c>
      <c r="M30" s="371">
        <v>138.12</v>
      </c>
      <c r="N30" s="372">
        <v>11.05</v>
      </c>
      <c r="O30" s="372">
        <v>11.05</v>
      </c>
      <c r="P30" s="370">
        <v>0.13900000000000001</v>
      </c>
    </row>
    <row r="31" spans="6:16" x14ac:dyDescent="0.25">
      <c r="F31" t="s">
        <v>870</v>
      </c>
      <c r="H31" t="s">
        <v>731</v>
      </c>
      <c r="J31" s="373">
        <v>9.8209999999999997</v>
      </c>
      <c r="K31" s="373">
        <v>0.496</v>
      </c>
      <c r="L31" s="373">
        <v>5.3999999999999999E-2</v>
      </c>
      <c r="M31" s="374">
        <v>236.04</v>
      </c>
      <c r="N31" s="375">
        <v>11.05</v>
      </c>
      <c r="O31" s="375">
        <v>11.05</v>
      </c>
      <c r="P31" s="373">
        <v>0.13900000000000001</v>
      </c>
    </row>
    <row r="32" spans="6:16" x14ac:dyDescent="0.25">
      <c r="F32" t="s">
        <v>871</v>
      </c>
      <c r="H32" t="s">
        <v>731</v>
      </c>
      <c r="J32" s="373">
        <v>9.8209999999999997</v>
      </c>
      <c r="K32" s="373">
        <v>0.496</v>
      </c>
      <c r="L32" s="373">
        <v>5.3999999999999999E-2</v>
      </c>
      <c r="M32" s="374">
        <v>366.41</v>
      </c>
      <c r="N32" s="375">
        <v>11.05</v>
      </c>
      <c r="O32" s="375">
        <v>11.05</v>
      </c>
      <c r="P32" s="373">
        <v>0.13900000000000001</v>
      </c>
    </row>
    <row r="33" spans="6:16" x14ac:dyDescent="0.25">
      <c r="F33" t="s">
        <v>872</v>
      </c>
      <c r="H33" t="s">
        <v>731</v>
      </c>
      <c r="J33" s="373">
        <v>9.8209999999999997</v>
      </c>
      <c r="K33" s="373">
        <v>0.496</v>
      </c>
      <c r="L33" s="373">
        <v>5.3999999999999999E-2</v>
      </c>
      <c r="M33" s="374">
        <v>793.8</v>
      </c>
      <c r="N33" s="375">
        <v>11.05</v>
      </c>
      <c r="O33" s="375">
        <v>11.05</v>
      </c>
      <c r="P33" s="373">
        <v>0.13900000000000001</v>
      </c>
    </row>
    <row r="34" spans="6:16" x14ac:dyDescent="0.25">
      <c r="F34" t="s">
        <v>873</v>
      </c>
      <c r="H34" t="s">
        <v>731</v>
      </c>
      <c r="J34" s="373">
        <v>7.5</v>
      </c>
      <c r="K34" s="373">
        <v>0.28799999999999998</v>
      </c>
      <c r="L34" s="373">
        <v>3.3000000000000002E-2</v>
      </c>
      <c r="M34" s="374">
        <v>137.54</v>
      </c>
      <c r="N34" s="375">
        <v>10.62</v>
      </c>
      <c r="O34" s="375">
        <v>10.62</v>
      </c>
      <c r="P34" s="373">
        <v>9.7000000000000003E-2</v>
      </c>
    </row>
    <row r="35" spans="6:16" x14ac:dyDescent="0.25">
      <c r="F35" t="s">
        <v>874</v>
      </c>
      <c r="H35" t="s">
        <v>731</v>
      </c>
      <c r="J35" s="373">
        <v>7.5</v>
      </c>
      <c r="K35" s="373">
        <v>0.28799999999999998</v>
      </c>
      <c r="L35" s="373">
        <v>3.3000000000000002E-2</v>
      </c>
      <c r="M35" s="374">
        <v>1035.0899999999999</v>
      </c>
      <c r="N35" s="375">
        <v>10.62</v>
      </c>
      <c r="O35" s="375">
        <v>10.62</v>
      </c>
      <c r="P35" s="373">
        <v>9.7000000000000003E-2</v>
      </c>
    </row>
    <row r="36" spans="6:16" x14ac:dyDescent="0.25">
      <c r="F36" t="s">
        <v>875</v>
      </c>
      <c r="H36" t="s">
        <v>731</v>
      </c>
      <c r="J36" s="373">
        <v>7.5</v>
      </c>
      <c r="K36" s="373">
        <v>0.28799999999999998</v>
      </c>
      <c r="L36" s="373">
        <v>3.3000000000000002E-2</v>
      </c>
      <c r="M36" s="374">
        <v>2208.42</v>
      </c>
      <c r="N36" s="375">
        <v>10.62</v>
      </c>
      <c r="O36" s="375">
        <v>10.62</v>
      </c>
      <c r="P36" s="373">
        <v>9.7000000000000003E-2</v>
      </c>
    </row>
    <row r="37" spans="6:16" x14ac:dyDescent="0.25">
      <c r="F37" t="s">
        <v>876</v>
      </c>
      <c r="H37" t="s">
        <v>731</v>
      </c>
      <c r="J37" s="373">
        <v>7.5</v>
      </c>
      <c r="K37" s="373">
        <v>0.28799999999999998</v>
      </c>
      <c r="L37" s="373">
        <v>3.3000000000000002E-2</v>
      </c>
      <c r="M37" s="374">
        <v>4821.8</v>
      </c>
      <c r="N37" s="375">
        <v>10.62</v>
      </c>
      <c r="O37" s="375">
        <v>10.62</v>
      </c>
      <c r="P37" s="373">
        <v>9.7000000000000003E-2</v>
      </c>
    </row>
    <row r="38" spans="6:16" x14ac:dyDescent="0.25">
      <c r="F38" t="s">
        <v>877</v>
      </c>
      <c r="H38" t="s">
        <v>731</v>
      </c>
      <c r="J38" s="373">
        <v>7.5</v>
      </c>
      <c r="K38" s="373">
        <v>0.28799999999999998</v>
      </c>
      <c r="L38" s="373">
        <v>3.3000000000000002E-2</v>
      </c>
      <c r="M38" s="374">
        <v>9159.74</v>
      </c>
      <c r="N38" s="375">
        <v>10.62</v>
      </c>
      <c r="O38" s="375">
        <v>10.62</v>
      </c>
      <c r="P38" s="373">
        <v>9.7000000000000003E-2</v>
      </c>
    </row>
    <row r="39" spans="6:16" x14ac:dyDescent="0.25">
      <c r="F39" t="s">
        <v>796</v>
      </c>
      <c r="H39" t="s">
        <v>731</v>
      </c>
      <c r="J39" s="373">
        <v>75.808000000000007</v>
      </c>
      <c r="K39" s="373">
        <v>4.1500000000000004</v>
      </c>
      <c r="L39" s="373">
        <v>2.0619999999999998</v>
      </c>
      <c r="M39" s="374">
        <v>0</v>
      </c>
      <c r="N39" s="375">
        <v>0</v>
      </c>
      <c r="O39" s="375">
        <v>0</v>
      </c>
      <c r="P39" s="373">
        <v>0</v>
      </c>
    </row>
    <row r="40" spans="6:16" x14ac:dyDescent="0.25">
      <c r="F40" t="s">
        <v>788</v>
      </c>
      <c r="H40" t="s">
        <v>731</v>
      </c>
      <c r="J40" s="373">
        <v>-15.28</v>
      </c>
      <c r="K40" s="373">
        <v>-1.2190000000000001</v>
      </c>
      <c r="L40" s="373">
        <v>-0.121</v>
      </c>
      <c r="M40" s="374">
        <v>0</v>
      </c>
      <c r="N40" s="375">
        <v>0</v>
      </c>
      <c r="O40" s="375">
        <v>0</v>
      </c>
      <c r="P40" s="373">
        <v>0</v>
      </c>
    </row>
    <row r="41" spans="6:16" x14ac:dyDescent="0.25">
      <c r="F41" t="s">
        <v>789</v>
      </c>
      <c r="H41" t="s">
        <v>731</v>
      </c>
      <c r="J41" s="373">
        <v>-13.109</v>
      </c>
      <c r="K41" s="373">
        <v>-0.97499999999999998</v>
      </c>
      <c r="L41" s="373">
        <v>-9.7000000000000003E-2</v>
      </c>
      <c r="M41" s="374">
        <v>0</v>
      </c>
      <c r="N41" s="375">
        <v>0</v>
      </c>
      <c r="O41" s="375">
        <v>0</v>
      </c>
      <c r="P41" s="373">
        <v>0</v>
      </c>
    </row>
    <row r="42" spans="6:16" x14ac:dyDescent="0.25">
      <c r="F42" t="s">
        <v>790</v>
      </c>
      <c r="H42" t="s">
        <v>731</v>
      </c>
      <c r="J42" s="373">
        <v>-15.28</v>
      </c>
      <c r="K42" s="373">
        <v>-1.2190000000000001</v>
      </c>
      <c r="L42" s="373">
        <v>-0.121</v>
      </c>
      <c r="M42" s="374">
        <v>0</v>
      </c>
      <c r="N42" s="375">
        <v>0</v>
      </c>
      <c r="O42" s="375">
        <v>0</v>
      </c>
      <c r="P42" s="373">
        <v>0.312</v>
      </c>
    </row>
    <row r="43" spans="6:16" x14ac:dyDescent="0.25">
      <c r="F43" t="s">
        <v>799</v>
      </c>
      <c r="H43" t="s">
        <v>731</v>
      </c>
      <c r="J43" s="373">
        <v>-15.28</v>
      </c>
      <c r="K43" s="373">
        <v>-1.2190000000000001</v>
      </c>
      <c r="L43" s="373">
        <v>-0.121</v>
      </c>
      <c r="M43" s="374">
        <v>0</v>
      </c>
      <c r="N43" s="375">
        <v>0</v>
      </c>
      <c r="O43" s="375">
        <v>0</v>
      </c>
      <c r="P43" s="373">
        <v>0</v>
      </c>
    </row>
    <row r="44" spans="6:16" x14ac:dyDescent="0.25">
      <c r="F44" t="s">
        <v>791</v>
      </c>
      <c r="H44" t="s">
        <v>731</v>
      </c>
      <c r="J44" s="373">
        <v>-13.109</v>
      </c>
      <c r="K44" s="373">
        <v>-0.97499999999999998</v>
      </c>
      <c r="L44" s="373">
        <v>-9.7000000000000003E-2</v>
      </c>
      <c r="M44" s="374">
        <v>0</v>
      </c>
      <c r="N44" s="375">
        <v>0</v>
      </c>
      <c r="O44" s="375">
        <v>0</v>
      </c>
      <c r="P44" s="373">
        <v>0.224</v>
      </c>
    </row>
    <row r="45" spans="6:16" x14ac:dyDescent="0.25">
      <c r="F45" t="s">
        <v>798</v>
      </c>
      <c r="H45" t="s">
        <v>731</v>
      </c>
      <c r="J45" s="373">
        <v>-13.109</v>
      </c>
      <c r="K45" s="373">
        <v>-0.97499999999999998</v>
      </c>
      <c r="L45" s="373">
        <v>-9.7000000000000003E-2</v>
      </c>
      <c r="M45" s="374">
        <v>0</v>
      </c>
      <c r="N45" s="375">
        <v>0</v>
      </c>
      <c r="O45" s="375">
        <v>0</v>
      </c>
      <c r="P45" s="373">
        <v>0</v>
      </c>
    </row>
    <row r="46" spans="6:16" x14ac:dyDescent="0.25">
      <c r="F46" t="s">
        <v>792</v>
      </c>
      <c r="H46" t="s">
        <v>731</v>
      </c>
      <c r="J46" s="373">
        <v>-8.1959999999999997</v>
      </c>
      <c r="K46" s="373">
        <v>-0.41399999999999998</v>
      </c>
      <c r="L46" s="373">
        <v>-4.4999999999999998E-2</v>
      </c>
      <c r="M46" s="374">
        <v>86.08</v>
      </c>
      <c r="N46" s="375">
        <v>0</v>
      </c>
      <c r="O46" s="375">
        <v>0</v>
      </c>
      <c r="P46" s="373">
        <v>0.187</v>
      </c>
    </row>
    <row r="47" spans="6:16" x14ac:dyDescent="0.25">
      <c r="F47" s="96" t="s">
        <v>797</v>
      </c>
      <c r="G47" s="96"/>
      <c r="H47" s="96" t="s">
        <v>731</v>
      </c>
      <c r="I47" s="96"/>
      <c r="J47" s="376">
        <v>-8.1959999999999997</v>
      </c>
      <c r="K47" s="376">
        <v>-0.41399999999999998</v>
      </c>
      <c r="L47" s="376">
        <v>-4.4999999999999998E-2</v>
      </c>
      <c r="M47" s="377">
        <v>86.08</v>
      </c>
      <c r="N47" s="378">
        <v>0</v>
      </c>
      <c r="O47" s="378">
        <v>0</v>
      </c>
      <c r="P47" s="376">
        <v>0</v>
      </c>
    </row>
    <row r="48" spans="6:16" x14ac:dyDescent="0.25">
      <c r="F48" s="2"/>
      <c r="J48" s="62"/>
      <c r="K48" s="62"/>
      <c r="L48" s="62"/>
      <c r="M48" s="379"/>
      <c r="N48" s="379"/>
      <c r="O48" s="379"/>
      <c r="P48" s="62"/>
    </row>
    <row r="49" spans="4:16" x14ac:dyDescent="0.25">
      <c r="D49" s="75"/>
      <c r="E49" s="75" t="s">
        <v>764</v>
      </c>
      <c r="F49" s="2"/>
      <c r="J49" s="62"/>
      <c r="K49" s="62"/>
      <c r="L49" s="62"/>
      <c r="M49" s="379"/>
      <c r="N49" s="379"/>
      <c r="O49" s="379"/>
      <c r="P49" s="62"/>
    </row>
    <row r="50" spans="4:16" x14ac:dyDescent="0.25">
      <c r="F50" s="95" t="s">
        <v>1116</v>
      </c>
      <c r="G50" s="95"/>
      <c r="H50" s="95" t="s">
        <v>406</v>
      </c>
      <c r="I50" s="95"/>
      <c r="J50" s="367">
        <f t="array" ref="J50:P81">TRANSPOSE(Rounding!J159:AO165)</f>
        <v>15.081</v>
      </c>
      <c r="K50" s="367">
        <v>1.2030000000000001</v>
      </c>
      <c r="L50" s="367">
        <v>0.11899999999999999</v>
      </c>
      <c r="M50" s="368">
        <v>10.59</v>
      </c>
      <c r="N50" s="369">
        <v>0</v>
      </c>
      <c r="O50" s="369">
        <v>0</v>
      </c>
      <c r="P50" s="367">
        <v>0</v>
      </c>
    </row>
    <row r="51" spans="4:16" x14ac:dyDescent="0.25">
      <c r="F51" t="s">
        <v>786</v>
      </c>
      <c r="H51" t="s">
        <v>406</v>
      </c>
      <c r="J51" s="370">
        <v>15.081</v>
      </c>
      <c r="K51" s="370">
        <v>1.2030000000000001</v>
      </c>
      <c r="L51" s="370">
        <v>0.11899999999999999</v>
      </c>
      <c r="M51" s="371">
        <v>0</v>
      </c>
      <c r="N51" s="372">
        <v>0</v>
      </c>
      <c r="O51" s="372">
        <v>0</v>
      </c>
      <c r="P51" s="370">
        <v>0</v>
      </c>
    </row>
    <row r="52" spans="4:16" x14ac:dyDescent="0.25">
      <c r="F52" t="s">
        <v>1117</v>
      </c>
      <c r="H52" t="s">
        <v>406</v>
      </c>
      <c r="J52" s="370">
        <v>14.754</v>
      </c>
      <c r="K52" s="370">
        <v>1.177</v>
      </c>
      <c r="L52" s="370">
        <v>0.11600000000000001</v>
      </c>
      <c r="M52" s="371">
        <v>11.43</v>
      </c>
      <c r="N52" s="372">
        <v>0</v>
      </c>
      <c r="O52" s="372">
        <v>0</v>
      </c>
      <c r="P52" s="370">
        <v>0</v>
      </c>
    </row>
    <row r="53" spans="4:16" x14ac:dyDescent="0.25">
      <c r="F53" t="s">
        <v>1118</v>
      </c>
      <c r="H53" t="s">
        <v>406</v>
      </c>
      <c r="J53" s="370">
        <v>14.754</v>
      </c>
      <c r="K53" s="370">
        <v>1.177</v>
      </c>
      <c r="L53" s="370">
        <v>0.11600000000000001</v>
      </c>
      <c r="M53" s="371">
        <v>13.38</v>
      </c>
      <c r="N53" s="372">
        <v>0</v>
      </c>
      <c r="O53" s="372">
        <v>0</v>
      </c>
      <c r="P53" s="370">
        <v>0</v>
      </c>
    </row>
    <row r="54" spans="4:16" x14ac:dyDescent="0.25">
      <c r="F54" t="s">
        <v>1119</v>
      </c>
      <c r="H54" t="s">
        <v>406</v>
      </c>
      <c r="J54" s="370">
        <v>14.754</v>
      </c>
      <c r="K54" s="370">
        <v>1.177</v>
      </c>
      <c r="L54" s="370">
        <v>0.11600000000000001</v>
      </c>
      <c r="M54" s="371">
        <v>19.36</v>
      </c>
      <c r="N54" s="372">
        <v>0</v>
      </c>
      <c r="O54" s="372">
        <v>0</v>
      </c>
      <c r="P54" s="370">
        <v>0</v>
      </c>
    </row>
    <row r="55" spans="4:16" x14ac:dyDescent="0.25">
      <c r="F55" t="s">
        <v>1120</v>
      </c>
      <c r="H55" t="s">
        <v>406</v>
      </c>
      <c r="J55" s="370">
        <v>14.754</v>
      </c>
      <c r="K55" s="370">
        <v>1.177</v>
      </c>
      <c r="L55" s="370">
        <v>0.11600000000000001</v>
      </c>
      <c r="M55" s="371">
        <v>27.36</v>
      </c>
      <c r="N55" s="372">
        <v>0</v>
      </c>
      <c r="O55" s="372">
        <v>0</v>
      </c>
      <c r="P55" s="370">
        <v>0</v>
      </c>
    </row>
    <row r="56" spans="4:16" x14ac:dyDescent="0.25">
      <c r="F56" t="s">
        <v>1121</v>
      </c>
      <c r="H56" t="s">
        <v>406</v>
      </c>
      <c r="J56" s="370">
        <v>14.754</v>
      </c>
      <c r="K56" s="370">
        <v>1.177</v>
      </c>
      <c r="L56" s="370">
        <v>0.11600000000000001</v>
      </c>
      <c r="M56" s="371">
        <v>50.14</v>
      </c>
      <c r="N56" s="372">
        <v>0</v>
      </c>
      <c r="O56" s="372">
        <v>0</v>
      </c>
      <c r="P56" s="370">
        <v>0</v>
      </c>
    </row>
    <row r="57" spans="4:16" x14ac:dyDescent="0.25">
      <c r="F57" t="s">
        <v>787</v>
      </c>
      <c r="H57" t="s">
        <v>406</v>
      </c>
      <c r="J57" s="370">
        <v>14.754</v>
      </c>
      <c r="K57" s="370">
        <v>1.177</v>
      </c>
      <c r="L57" s="370">
        <v>0.11600000000000001</v>
      </c>
      <c r="M57" s="371">
        <v>0</v>
      </c>
      <c r="N57" s="372">
        <v>0</v>
      </c>
      <c r="O57" s="372">
        <v>0</v>
      </c>
      <c r="P57" s="370">
        <v>0</v>
      </c>
    </row>
    <row r="58" spans="4:16" x14ac:dyDescent="0.25">
      <c r="F58" t="s">
        <v>863</v>
      </c>
      <c r="H58" t="s">
        <v>406</v>
      </c>
      <c r="J58" s="370">
        <v>9.1620000000000008</v>
      </c>
      <c r="K58" s="370">
        <v>0.65100000000000002</v>
      </c>
      <c r="L58" s="370">
        <v>6.6000000000000003E-2</v>
      </c>
      <c r="M58" s="371">
        <v>11.33</v>
      </c>
      <c r="N58" s="372">
        <v>7.67</v>
      </c>
      <c r="O58" s="372">
        <v>7.67</v>
      </c>
      <c r="P58" s="370">
        <v>0.15</v>
      </c>
    </row>
    <row r="59" spans="4:16" x14ac:dyDescent="0.25">
      <c r="F59" t="s">
        <v>864</v>
      </c>
      <c r="H59" t="s">
        <v>406</v>
      </c>
      <c r="J59" s="370">
        <v>9.1620000000000008</v>
      </c>
      <c r="K59" s="370">
        <v>0.65100000000000002</v>
      </c>
      <c r="L59" s="370">
        <v>6.6000000000000003E-2</v>
      </c>
      <c r="M59" s="371">
        <v>84.51</v>
      </c>
      <c r="N59" s="372">
        <v>7.67</v>
      </c>
      <c r="O59" s="372">
        <v>7.67</v>
      </c>
      <c r="P59" s="370">
        <v>0.15</v>
      </c>
    </row>
    <row r="60" spans="4:16" x14ac:dyDescent="0.25">
      <c r="F60" t="s">
        <v>865</v>
      </c>
      <c r="H60" t="s">
        <v>406</v>
      </c>
      <c r="J60" s="370">
        <v>9.1620000000000008</v>
      </c>
      <c r="K60" s="370">
        <v>0.65100000000000002</v>
      </c>
      <c r="L60" s="370">
        <v>6.6000000000000003E-2</v>
      </c>
      <c r="M60" s="371">
        <v>142.66</v>
      </c>
      <c r="N60" s="372">
        <v>7.67</v>
      </c>
      <c r="O60" s="372">
        <v>7.67</v>
      </c>
      <c r="P60" s="370">
        <v>0.15</v>
      </c>
    </row>
    <row r="61" spans="4:16" x14ac:dyDescent="0.25">
      <c r="F61" t="s">
        <v>866</v>
      </c>
      <c r="H61" t="s">
        <v>406</v>
      </c>
      <c r="J61" s="370">
        <v>9.1620000000000008</v>
      </c>
      <c r="K61" s="370">
        <v>0.65100000000000002</v>
      </c>
      <c r="L61" s="370">
        <v>6.6000000000000003E-2</v>
      </c>
      <c r="M61" s="371">
        <v>220.07</v>
      </c>
      <c r="N61" s="372">
        <v>7.67</v>
      </c>
      <c r="O61" s="372">
        <v>7.67</v>
      </c>
      <c r="P61" s="370">
        <v>0.15</v>
      </c>
    </row>
    <row r="62" spans="4:16" x14ac:dyDescent="0.25">
      <c r="F62" t="s">
        <v>867</v>
      </c>
      <c r="H62" t="s">
        <v>406</v>
      </c>
      <c r="J62" s="370">
        <v>9.1620000000000008</v>
      </c>
      <c r="K62" s="370">
        <v>0.65100000000000002</v>
      </c>
      <c r="L62" s="370">
        <v>6.6000000000000003E-2</v>
      </c>
      <c r="M62" s="371">
        <v>473.87</v>
      </c>
      <c r="N62" s="372">
        <v>7.67</v>
      </c>
      <c r="O62" s="372">
        <v>7.67</v>
      </c>
      <c r="P62" s="370">
        <v>0.15</v>
      </c>
    </row>
    <row r="63" spans="4:16" x14ac:dyDescent="0.25">
      <c r="F63" t="s">
        <v>868</v>
      </c>
      <c r="H63" t="s">
        <v>406</v>
      </c>
      <c r="J63" s="380">
        <v>0</v>
      </c>
      <c r="K63" s="380">
        <v>0</v>
      </c>
      <c r="L63" s="380">
        <v>0</v>
      </c>
      <c r="M63" s="381">
        <v>0</v>
      </c>
      <c r="N63" s="382">
        <v>0</v>
      </c>
      <c r="O63" s="382">
        <v>0</v>
      </c>
      <c r="P63" s="380">
        <v>0</v>
      </c>
    </row>
    <row r="64" spans="4:16" x14ac:dyDescent="0.25">
      <c r="F64" t="s">
        <v>869</v>
      </c>
      <c r="H64" t="s">
        <v>406</v>
      </c>
      <c r="J64" s="380">
        <v>0</v>
      </c>
      <c r="K64" s="380">
        <v>0</v>
      </c>
      <c r="L64" s="380">
        <v>0</v>
      </c>
      <c r="M64" s="381">
        <v>0</v>
      </c>
      <c r="N64" s="382">
        <v>0</v>
      </c>
      <c r="O64" s="382">
        <v>0</v>
      </c>
      <c r="P64" s="380">
        <v>0</v>
      </c>
    </row>
    <row r="65" spans="6:16" x14ac:dyDescent="0.25">
      <c r="F65" t="s">
        <v>870</v>
      </c>
      <c r="H65" t="s">
        <v>406</v>
      </c>
      <c r="J65" s="383">
        <v>0</v>
      </c>
      <c r="K65" s="383">
        <v>0</v>
      </c>
      <c r="L65" s="383">
        <v>0</v>
      </c>
      <c r="M65" s="384">
        <v>0</v>
      </c>
      <c r="N65" s="385">
        <v>0</v>
      </c>
      <c r="O65" s="385">
        <v>0</v>
      </c>
      <c r="P65" s="383">
        <v>0</v>
      </c>
    </row>
    <row r="66" spans="6:16" x14ac:dyDescent="0.25">
      <c r="F66" t="s">
        <v>871</v>
      </c>
      <c r="H66" t="s">
        <v>406</v>
      </c>
      <c r="J66" s="383">
        <v>0</v>
      </c>
      <c r="K66" s="383">
        <v>0</v>
      </c>
      <c r="L66" s="383">
        <v>0</v>
      </c>
      <c r="M66" s="384">
        <v>0</v>
      </c>
      <c r="N66" s="385">
        <v>0</v>
      </c>
      <c r="O66" s="385">
        <v>0</v>
      </c>
      <c r="P66" s="383">
        <v>0</v>
      </c>
    </row>
    <row r="67" spans="6:16" x14ac:dyDescent="0.25">
      <c r="F67" t="s">
        <v>872</v>
      </c>
      <c r="H67" t="s">
        <v>406</v>
      </c>
      <c r="J67" s="383">
        <v>0</v>
      </c>
      <c r="K67" s="383">
        <v>0</v>
      </c>
      <c r="L67" s="383">
        <v>0</v>
      </c>
      <c r="M67" s="384">
        <v>0</v>
      </c>
      <c r="N67" s="385">
        <v>0</v>
      </c>
      <c r="O67" s="385">
        <v>0</v>
      </c>
      <c r="P67" s="383">
        <v>0</v>
      </c>
    </row>
    <row r="68" spans="6:16" x14ac:dyDescent="0.25">
      <c r="F68" t="s">
        <v>873</v>
      </c>
      <c r="H68" t="s">
        <v>406</v>
      </c>
      <c r="J68" s="383">
        <v>0</v>
      </c>
      <c r="K68" s="383">
        <v>0</v>
      </c>
      <c r="L68" s="383">
        <v>0</v>
      </c>
      <c r="M68" s="384">
        <v>0</v>
      </c>
      <c r="N68" s="385">
        <v>0</v>
      </c>
      <c r="O68" s="385">
        <v>0</v>
      </c>
      <c r="P68" s="383">
        <v>0</v>
      </c>
    </row>
    <row r="69" spans="6:16" x14ac:dyDescent="0.25">
      <c r="F69" t="s">
        <v>874</v>
      </c>
      <c r="H69" t="s">
        <v>406</v>
      </c>
      <c r="J69" s="383">
        <v>0</v>
      </c>
      <c r="K69" s="383">
        <v>0</v>
      </c>
      <c r="L69" s="383">
        <v>0</v>
      </c>
      <c r="M69" s="384">
        <v>0</v>
      </c>
      <c r="N69" s="385">
        <v>0</v>
      </c>
      <c r="O69" s="385">
        <v>0</v>
      </c>
      <c r="P69" s="383">
        <v>0</v>
      </c>
    </row>
    <row r="70" spans="6:16" x14ac:dyDescent="0.25">
      <c r="F70" t="s">
        <v>875</v>
      </c>
      <c r="H70" t="s">
        <v>406</v>
      </c>
      <c r="J70" s="383">
        <v>0</v>
      </c>
      <c r="K70" s="383">
        <v>0</v>
      </c>
      <c r="L70" s="383">
        <v>0</v>
      </c>
      <c r="M70" s="384">
        <v>0</v>
      </c>
      <c r="N70" s="385">
        <v>0</v>
      </c>
      <c r="O70" s="385">
        <v>0</v>
      </c>
      <c r="P70" s="383">
        <v>0</v>
      </c>
    </row>
    <row r="71" spans="6:16" x14ac:dyDescent="0.25">
      <c r="F71" t="s">
        <v>876</v>
      </c>
      <c r="H71" t="s">
        <v>406</v>
      </c>
      <c r="J71" s="383">
        <v>0</v>
      </c>
      <c r="K71" s="383">
        <v>0</v>
      </c>
      <c r="L71" s="383">
        <v>0</v>
      </c>
      <c r="M71" s="384">
        <v>0</v>
      </c>
      <c r="N71" s="385">
        <v>0</v>
      </c>
      <c r="O71" s="385">
        <v>0</v>
      </c>
      <c r="P71" s="383">
        <v>0</v>
      </c>
    </row>
    <row r="72" spans="6:16" x14ac:dyDescent="0.25">
      <c r="F72" t="s">
        <v>877</v>
      </c>
      <c r="H72" t="s">
        <v>406</v>
      </c>
      <c r="J72" s="383">
        <v>0</v>
      </c>
      <c r="K72" s="383">
        <v>0</v>
      </c>
      <c r="L72" s="383">
        <v>0</v>
      </c>
      <c r="M72" s="384">
        <v>0</v>
      </c>
      <c r="N72" s="385">
        <v>0</v>
      </c>
      <c r="O72" s="385">
        <v>0</v>
      </c>
      <c r="P72" s="383">
        <v>0</v>
      </c>
    </row>
    <row r="73" spans="6:16" x14ac:dyDescent="0.25">
      <c r="F73" t="s">
        <v>796</v>
      </c>
      <c r="H73" t="s">
        <v>406</v>
      </c>
      <c r="J73" s="373">
        <v>45.018000000000001</v>
      </c>
      <c r="K73" s="373">
        <v>2.464</v>
      </c>
      <c r="L73" s="373">
        <v>1.224</v>
      </c>
      <c r="M73" s="374">
        <v>0</v>
      </c>
      <c r="N73" s="375">
        <v>0</v>
      </c>
      <c r="O73" s="375">
        <v>0</v>
      </c>
      <c r="P73" s="373">
        <v>0</v>
      </c>
    </row>
    <row r="74" spans="6:16" x14ac:dyDescent="0.25">
      <c r="F74" t="s">
        <v>788</v>
      </c>
      <c r="H74" t="s">
        <v>406</v>
      </c>
      <c r="J74" s="373">
        <v>-15.28</v>
      </c>
      <c r="K74" s="373">
        <v>-1.2190000000000001</v>
      </c>
      <c r="L74" s="373">
        <v>-0.121</v>
      </c>
      <c r="M74" s="374">
        <v>0</v>
      </c>
      <c r="N74" s="375">
        <v>0</v>
      </c>
      <c r="O74" s="375">
        <v>0</v>
      </c>
      <c r="P74" s="373">
        <v>0</v>
      </c>
    </row>
    <row r="75" spans="6:16" x14ac:dyDescent="0.25">
      <c r="F75" t="s">
        <v>789</v>
      </c>
      <c r="H75" t="s">
        <v>406</v>
      </c>
      <c r="J75" s="383">
        <v>0</v>
      </c>
      <c r="K75" s="383">
        <v>0</v>
      </c>
      <c r="L75" s="383">
        <v>0</v>
      </c>
      <c r="M75" s="384">
        <v>0</v>
      </c>
      <c r="N75" s="385">
        <v>0</v>
      </c>
      <c r="O75" s="385">
        <v>0</v>
      </c>
      <c r="P75" s="383">
        <v>0</v>
      </c>
    </row>
    <row r="76" spans="6:16" x14ac:dyDescent="0.25">
      <c r="F76" t="s">
        <v>790</v>
      </c>
      <c r="H76" t="s">
        <v>406</v>
      </c>
      <c r="J76" s="373">
        <v>-15.28</v>
      </c>
      <c r="K76" s="373">
        <v>-1.2190000000000001</v>
      </c>
      <c r="L76" s="373">
        <v>-0.121</v>
      </c>
      <c r="M76" s="374">
        <v>0</v>
      </c>
      <c r="N76" s="375">
        <v>0</v>
      </c>
      <c r="O76" s="375">
        <v>0</v>
      </c>
      <c r="P76" s="373">
        <v>0.312</v>
      </c>
    </row>
    <row r="77" spans="6:16" x14ac:dyDescent="0.25">
      <c r="F77" t="s">
        <v>799</v>
      </c>
      <c r="H77" t="s">
        <v>406</v>
      </c>
      <c r="J77" s="383">
        <v>0</v>
      </c>
      <c r="K77" s="383">
        <v>0</v>
      </c>
      <c r="L77" s="383">
        <v>0</v>
      </c>
      <c r="M77" s="384">
        <v>0</v>
      </c>
      <c r="N77" s="385">
        <v>0</v>
      </c>
      <c r="O77" s="385">
        <v>0</v>
      </c>
      <c r="P77" s="383">
        <v>0</v>
      </c>
    </row>
    <row r="78" spans="6:16" x14ac:dyDescent="0.25">
      <c r="F78" t="s">
        <v>791</v>
      </c>
      <c r="H78" t="s">
        <v>406</v>
      </c>
      <c r="J78" s="383">
        <v>0</v>
      </c>
      <c r="K78" s="383">
        <v>0</v>
      </c>
      <c r="L78" s="383">
        <v>0</v>
      </c>
      <c r="M78" s="384">
        <v>0</v>
      </c>
      <c r="N78" s="385">
        <v>0</v>
      </c>
      <c r="O78" s="385">
        <v>0</v>
      </c>
      <c r="P78" s="383">
        <v>0</v>
      </c>
    </row>
    <row r="79" spans="6:16" x14ac:dyDescent="0.25">
      <c r="F79" t="s">
        <v>798</v>
      </c>
      <c r="H79" t="s">
        <v>406</v>
      </c>
      <c r="J79" s="383">
        <v>0</v>
      </c>
      <c r="K79" s="383">
        <v>0</v>
      </c>
      <c r="L79" s="383">
        <v>0</v>
      </c>
      <c r="M79" s="384">
        <v>0</v>
      </c>
      <c r="N79" s="385">
        <v>0</v>
      </c>
      <c r="O79" s="385">
        <v>0</v>
      </c>
      <c r="P79" s="383">
        <v>0</v>
      </c>
    </row>
    <row r="80" spans="6:16" x14ac:dyDescent="0.25">
      <c r="F80" t="s">
        <v>792</v>
      </c>
      <c r="H80" t="s">
        <v>406</v>
      </c>
      <c r="J80" s="383">
        <v>0</v>
      </c>
      <c r="K80" s="383">
        <v>0</v>
      </c>
      <c r="L80" s="383">
        <v>0</v>
      </c>
      <c r="M80" s="384">
        <v>0</v>
      </c>
      <c r="N80" s="385">
        <v>0</v>
      </c>
      <c r="O80" s="385">
        <v>0</v>
      </c>
      <c r="P80" s="383">
        <v>0</v>
      </c>
    </row>
    <row r="81" spans="4:16" x14ac:dyDescent="0.25">
      <c r="F81" s="96" t="s">
        <v>797</v>
      </c>
      <c r="G81" s="96"/>
      <c r="H81" s="96" t="s">
        <v>406</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765</v>
      </c>
      <c r="M83" s="389"/>
      <c r="N83" s="389"/>
      <c r="O83" s="389"/>
    </row>
    <row r="84" spans="4:16" x14ac:dyDescent="0.25">
      <c r="F84" s="95" t="s">
        <v>1116</v>
      </c>
      <c r="G84" s="95"/>
      <c r="H84" s="95" t="s">
        <v>407</v>
      </c>
      <c r="I84" s="95"/>
      <c r="J84" s="367">
        <f t="array" ref="J84:P115">TRANSPOSE(Rounding!J168:AO174)</f>
        <v>10.108000000000001</v>
      </c>
      <c r="K84" s="367">
        <v>0.80600000000000005</v>
      </c>
      <c r="L84" s="367">
        <v>0.08</v>
      </c>
      <c r="M84" s="368">
        <v>7.1</v>
      </c>
      <c r="N84" s="369">
        <v>0</v>
      </c>
      <c r="O84" s="369">
        <v>0</v>
      </c>
      <c r="P84" s="367">
        <v>0</v>
      </c>
    </row>
    <row r="85" spans="4:16" x14ac:dyDescent="0.25">
      <c r="F85" t="s">
        <v>786</v>
      </c>
      <c r="H85" t="s">
        <v>407</v>
      </c>
      <c r="J85" s="370">
        <v>10.108000000000001</v>
      </c>
      <c r="K85" s="370">
        <v>0.80600000000000005</v>
      </c>
      <c r="L85" s="370">
        <v>0.08</v>
      </c>
      <c r="M85" s="371">
        <v>0</v>
      </c>
      <c r="N85" s="372">
        <v>0</v>
      </c>
      <c r="O85" s="372">
        <v>0</v>
      </c>
      <c r="P85" s="370">
        <v>0</v>
      </c>
    </row>
    <row r="86" spans="4:16" x14ac:dyDescent="0.25">
      <c r="F86" t="s">
        <v>1117</v>
      </c>
      <c r="H86" t="s">
        <v>407</v>
      </c>
      <c r="J86" s="370">
        <v>9.8889999999999993</v>
      </c>
      <c r="K86" s="370">
        <v>0.78900000000000003</v>
      </c>
      <c r="L86" s="370">
        <v>7.8E-2</v>
      </c>
      <c r="M86" s="371">
        <v>7.66</v>
      </c>
      <c r="N86" s="372">
        <v>0</v>
      </c>
      <c r="O86" s="372">
        <v>0</v>
      </c>
      <c r="P86" s="370">
        <v>0</v>
      </c>
    </row>
    <row r="87" spans="4:16" x14ac:dyDescent="0.25">
      <c r="F87" t="s">
        <v>1118</v>
      </c>
      <c r="H87" t="s">
        <v>407</v>
      </c>
      <c r="J87" s="370">
        <v>9.8889999999999993</v>
      </c>
      <c r="K87" s="370">
        <v>0.78900000000000003</v>
      </c>
      <c r="L87" s="370">
        <v>7.8E-2</v>
      </c>
      <c r="M87" s="371">
        <v>8.9700000000000006</v>
      </c>
      <c r="N87" s="372">
        <v>0</v>
      </c>
      <c r="O87" s="372">
        <v>0</v>
      </c>
      <c r="P87" s="370">
        <v>0</v>
      </c>
    </row>
    <row r="88" spans="4:16" x14ac:dyDescent="0.25">
      <c r="F88" t="s">
        <v>1119</v>
      </c>
      <c r="H88" t="s">
        <v>407</v>
      </c>
      <c r="J88" s="370">
        <v>9.8889999999999993</v>
      </c>
      <c r="K88" s="370">
        <v>0.78900000000000003</v>
      </c>
      <c r="L88" s="370">
        <v>7.8E-2</v>
      </c>
      <c r="M88" s="371">
        <v>12.97</v>
      </c>
      <c r="N88" s="372">
        <v>0</v>
      </c>
      <c r="O88" s="372">
        <v>0</v>
      </c>
      <c r="P88" s="370">
        <v>0</v>
      </c>
    </row>
    <row r="89" spans="4:16" x14ac:dyDescent="0.25">
      <c r="F89" t="s">
        <v>1120</v>
      </c>
      <c r="H89" t="s">
        <v>407</v>
      </c>
      <c r="J89" s="370">
        <v>9.8889999999999993</v>
      </c>
      <c r="K89" s="370">
        <v>0.78900000000000003</v>
      </c>
      <c r="L89" s="370">
        <v>7.8E-2</v>
      </c>
      <c r="M89" s="371">
        <v>18.34</v>
      </c>
      <c r="N89" s="372">
        <v>0</v>
      </c>
      <c r="O89" s="372">
        <v>0</v>
      </c>
      <c r="P89" s="370">
        <v>0</v>
      </c>
    </row>
    <row r="90" spans="4:16" x14ac:dyDescent="0.25">
      <c r="F90" t="s">
        <v>1121</v>
      </c>
      <c r="H90" t="s">
        <v>407</v>
      </c>
      <c r="J90" s="370">
        <v>9.8889999999999993</v>
      </c>
      <c r="K90" s="370">
        <v>0.78900000000000003</v>
      </c>
      <c r="L90" s="370">
        <v>7.8E-2</v>
      </c>
      <c r="M90" s="371">
        <v>33.61</v>
      </c>
      <c r="N90" s="372">
        <v>0</v>
      </c>
      <c r="O90" s="372">
        <v>0</v>
      </c>
      <c r="P90" s="370">
        <v>0</v>
      </c>
    </row>
    <row r="91" spans="4:16" x14ac:dyDescent="0.25">
      <c r="F91" t="s">
        <v>787</v>
      </c>
      <c r="H91" t="s">
        <v>407</v>
      </c>
      <c r="J91" s="370">
        <v>9.8889999999999993</v>
      </c>
      <c r="K91" s="370">
        <v>0.78900000000000003</v>
      </c>
      <c r="L91" s="370">
        <v>7.8E-2</v>
      </c>
      <c r="M91" s="371">
        <v>0</v>
      </c>
      <c r="N91" s="372">
        <v>0</v>
      </c>
      <c r="O91" s="372">
        <v>0</v>
      </c>
      <c r="P91" s="370">
        <v>0</v>
      </c>
    </row>
    <row r="92" spans="4:16" x14ac:dyDescent="0.25">
      <c r="F92" t="s">
        <v>863</v>
      </c>
      <c r="H92" t="s">
        <v>407</v>
      </c>
      <c r="J92" s="370">
        <v>6.1420000000000003</v>
      </c>
      <c r="K92" s="370">
        <v>0.437</v>
      </c>
      <c r="L92" s="370">
        <v>4.3999999999999997E-2</v>
      </c>
      <c r="M92" s="371">
        <v>7.6</v>
      </c>
      <c r="N92" s="372">
        <v>5.14</v>
      </c>
      <c r="O92" s="372">
        <v>5.14</v>
      </c>
      <c r="P92" s="370">
        <v>0.10100000000000001</v>
      </c>
    </row>
    <row r="93" spans="4:16" x14ac:dyDescent="0.25">
      <c r="F93" t="s">
        <v>864</v>
      </c>
      <c r="H93" t="s">
        <v>407</v>
      </c>
      <c r="J93" s="370">
        <v>6.1420000000000003</v>
      </c>
      <c r="K93" s="370">
        <v>0.437</v>
      </c>
      <c r="L93" s="370">
        <v>4.3999999999999997E-2</v>
      </c>
      <c r="M93" s="371">
        <v>56.65</v>
      </c>
      <c r="N93" s="372">
        <v>5.14</v>
      </c>
      <c r="O93" s="372">
        <v>5.14</v>
      </c>
      <c r="P93" s="370">
        <v>0.10100000000000001</v>
      </c>
    </row>
    <row r="94" spans="4:16" x14ac:dyDescent="0.25">
      <c r="F94" t="s">
        <v>865</v>
      </c>
      <c r="H94" t="s">
        <v>407</v>
      </c>
      <c r="J94" s="370">
        <v>6.1420000000000003</v>
      </c>
      <c r="K94" s="370">
        <v>0.437</v>
      </c>
      <c r="L94" s="370">
        <v>4.3999999999999997E-2</v>
      </c>
      <c r="M94" s="371">
        <v>95.62</v>
      </c>
      <c r="N94" s="372">
        <v>5.14</v>
      </c>
      <c r="O94" s="372">
        <v>5.14</v>
      </c>
      <c r="P94" s="370">
        <v>0.10100000000000001</v>
      </c>
    </row>
    <row r="95" spans="4:16" x14ac:dyDescent="0.25">
      <c r="F95" t="s">
        <v>866</v>
      </c>
      <c r="H95" t="s">
        <v>407</v>
      </c>
      <c r="J95" s="370">
        <v>6.1420000000000003</v>
      </c>
      <c r="K95" s="370">
        <v>0.437</v>
      </c>
      <c r="L95" s="370">
        <v>4.3999999999999997E-2</v>
      </c>
      <c r="M95" s="371">
        <v>147.51</v>
      </c>
      <c r="N95" s="372">
        <v>5.14</v>
      </c>
      <c r="O95" s="372">
        <v>5.14</v>
      </c>
      <c r="P95" s="370">
        <v>0.10100000000000001</v>
      </c>
    </row>
    <row r="96" spans="4:16" x14ac:dyDescent="0.25">
      <c r="F96" t="s">
        <v>867</v>
      </c>
      <c r="H96" t="s">
        <v>407</v>
      </c>
      <c r="J96" s="370">
        <v>6.1420000000000003</v>
      </c>
      <c r="K96" s="370">
        <v>0.437</v>
      </c>
      <c r="L96" s="370">
        <v>4.3999999999999997E-2</v>
      </c>
      <c r="M96" s="371">
        <v>317.64</v>
      </c>
      <c r="N96" s="372">
        <v>5.14</v>
      </c>
      <c r="O96" s="372">
        <v>5.14</v>
      </c>
      <c r="P96" s="370">
        <v>0.10100000000000001</v>
      </c>
    </row>
    <row r="97" spans="6:16" x14ac:dyDescent="0.25">
      <c r="F97" t="s">
        <v>868</v>
      </c>
      <c r="H97" t="s">
        <v>407</v>
      </c>
      <c r="J97" s="370">
        <v>6.7759999999999998</v>
      </c>
      <c r="K97" s="370">
        <v>0.34200000000000003</v>
      </c>
      <c r="L97" s="370">
        <v>3.6999999999999998E-2</v>
      </c>
      <c r="M97" s="371">
        <v>10.28</v>
      </c>
      <c r="N97" s="372">
        <v>7.63</v>
      </c>
      <c r="O97" s="372">
        <v>7.63</v>
      </c>
      <c r="P97" s="370">
        <v>9.6000000000000002E-2</v>
      </c>
    </row>
    <row r="98" spans="6:16" x14ac:dyDescent="0.25">
      <c r="F98" t="s">
        <v>869</v>
      </c>
      <c r="H98" t="s">
        <v>407</v>
      </c>
      <c r="J98" s="370">
        <v>6.7759999999999998</v>
      </c>
      <c r="K98" s="370">
        <v>0.34200000000000003</v>
      </c>
      <c r="L98" s="370">
        <v>3.6999999999999998E-2</v>
      </c>
      <c r="M98" s="371">
        <v>95.3</v>
      </c>
      <c r="N98" s="372">
        <v>7.63</v>
      </c>
      <c r="O98" s="372">
        <v>7.63</v>
      </c>
      <c r="P98" s="370">
        <v>9.6000000000000002E-2</v>
      </c>
    </row>
    <row r="99" spans="6:16" x14ac:dyDescent="0.25">
      <c r="F99" t="s">
        <v>870</v>
      </c>
      <c r="H99" t="s">
        <v>407</v>
      </c>
      <c r="J99" s="373">
        <v>6.7759999999999998</v>
      </c>
      <c r="K99" s="373">
        <v>0.34200000000000003</v>
      </c>
      <c r="L99" s="373">
        <v>3.6999999999999998E-2</v>
      </c>
      <c r="M99" s="374">
        <v>162.86000000000001</v>
      </c>
      <c r="N99" s="375">
        <v>7.63</v>
      </c>
      <c r="O99" s="375">
        <v>7.63</v>
      </c>
      <c r="P99" s="373">
        <v>9.6000000000000002E-2</v>
      </c>
    </row>
    <row r="100" spans="6:16" x14ac:dyDescent="0.25">
      <c r="F100" t="s">
        <v>871</v>
      </c>
      <c r="H100" t="s">
        <v>407</v>
      </c>
      <c r="J100" s="373">
        <v>6.7759999999999998</v>
      </c>
      <c r="K100" s="373">
        <v>0.34200000000000003</v>
      </c>
      <c r="L100" s="373">
        <v>3.6999999999999998E-2</v>
      </c>
      <c r="M100" s="374">
        <v>252.81</v>
      </c>
      <c r="N100" s="375">
        <v>7.63</v>
      </c>
      <c r="O100" s="375">
        <v>7.63</v>
      </c>
      <c r="P100" s="373">
        <v>9.6000000000000002E-2</v>
      </c>
    </row>
    <row r="101" spans="6:16" x14ac:dyDescent="0.25">
      <c r="F101" t="s">
        <v>872</v>
      </c>
      <c r="H101" t="s">
        <v>407</v>
      </c>
      <c r="J101" s="373">
        <v>6.7759999999999998</v>
      </c>
      <c r="K101" s="373">
        <v>0.34200000000000003</v>
      </c>
      <c r="L101" s="373">
        <v>3.6999999999999998E-2</v>
      </c>
      <c r="M101" s="374">
        <v>547.71</v>
      </c>
      <c r="N101" s="375">
        <v>7.63</v>
      </c>
      <c r="O101" s="375">
        <v>7.63</v>
      </c>
      <c r="P101" s="373">
        <v>9.6000000000000002E-2</v>
      </c>
    </row>
    <row r="102" spans="6:16" x14ac:dyDescent="0.25">
      <c r="F102" t="s">
        <v>873</v>
      </c>
      <c r="H102" t="s">
        <v>407</v>
      </c>
      <c r="J102" s="373">
        <v>6.1479999999999997</v>
      </c>
      <c r="K102" s="373">
        <v>0.23599999999999999</v>
      </c>
      <c r="L102" s="373">
        <v>2.7E-2</v>
      </c>
      <c r="M102" s="374">
        <v>112.73</v>
      </c>
      <c r="N102" s="375">
        <v>8.6999999999999993</v>
      </c>
      <c r="O102" s="375">
        <v>8.6999999999999993</v>
      </c>
      <c r="P102" s="373">
        <v>7.9000000000000001E-2</v>
      </c>
    </row>
    <row r="103" spans="6:16" x14ac:dyDescent="0.25">
      <c r="F103" t="s">
        <v>874</v>
      </c>
      <c r="H103" t="s">
        <v>407</v>
      </c>
      <c r="J103" s="373">
        <v>6.1479999999999997</v>
      </c>
      <c r="K103" s="373">
        <v>0.23599999999999999</v>
      </c>
      <c r="L103" s="373">
        <v>2.7E-2</v>
      </c>
      <c r="M103" s="374">
        <v>848.4</v>
      </c>
      <c r="N103" s="375">
        <v>8.6999999999999993</v>
      </c>
      <c r="O103" s="375">
        <v>8.6999999999999993</v>
      </c>
      <c r="P103" s="373">
        <v>7.9000000000000001E-2</v>
      </c>
    </row>
    <row r="104" spans="6:16" x14ac:dyDescent="0.25">
      <c r="F104" t="s">
        <v>875</v>
      </c>
      <c r="H104" t="s">
        <v>407</v>
      </c>
      <c r="J104" s="373">
        <v>6.1479999999999997</v>
      </c>
      <c r="K104" s="373">
        <v>0.23599999999999999</v>
      </c>
      <c r="L104" s="373">
        <v>2.7E-2</v>
      </c>
      <c r="M104" s="374">
        <v>1810.11</v>
      </c>
      <c r="N104" s="375">
        <v>8.6999999999999993</v>
      </c>
      <c r="O104" s="375">
        <v>8.6999999999999993</v>
      </c>
      <c r="P104" s="373">
        <v>7.9000000000000001E-2</v>
      </c>
    </row>
    <row r="105" spans="6:16" x14ac:dyDescent="0.25">
      <c r="F105" t="s">
        <v>876</v>
      </c>
      <c r="H105" t="s">
        <v>407</v>
      </c>
      <c r="J105" s="373">
        <v>6.1479999999999997</v>
      </c>
      <c r="K105" s="373">
        <v>0.23599999999999999</v>
      </c>
      <c r="L105" s="373">
        <v>2.7E-2</v>
      </c>
      <c r="M105" s="374">
        <v>3952.13</v>
      </c>
      <c r="N105" s="375">
        <v>8.6999999999999993</v>
      </c>
      <c r="O105" s="375">
        <v>8.6999999999999993</v>
      </c>
      <c r="P105" s="373">
        <v>7.9000000000000001E-2</v>
      </c>
    </row>
    <row r="106" spans="6:16" x14ac:dyDescent="0.25">
      <c r="F106" t="s">
        <v>877</v>
      </c>
      <c r="H106" t="s">
        <v>407</v>
      </c>
      <c r="J106" s="373">
        <v>6.1479999999999997</v>
      </c>
      <c r="K106" s="373">
        <v>0.23599999999999999</v>
      </c>
      <c r="L106" s="373">
        <v>2.7E-2</v>
      </c>
      <c r="M106" s="374">
        <v>7507.68</v>
      </c>
      <c r="N106" s="375">
        <v>8.6999999999999993</v>
      </c>
      <c r="O106" s="375">
        <v>8.6999999999999993</v>
      </c>
      <c r="P106" s="373">
        <v>7.9000000000000001E-2</v>
      </c>
    </row>
    <row r="107" spans="6:16" x14ac:dyDescent="0.25">
      <c r="F107" t="s">
        <v>796</v>
      </c>
      <c r="H107" t="s">
        <v>407</v>
      </c>
      <c r="J107" s="373">
        <v>30.175000000000001</v>
      </c>
      <c r="K107" s="373">
        <v>1.6519999999999999</v>
      </c>
      <c r="L107" s="373">
        <v>0.82099999999999995</v>
      </c>
      <c r="M107" s="374">
        <v>0</v>
      </c>
      <c r="N107" s="375">
        <v>0</v>
      </c>
      <c r="O107" s="375">
        <v>0</v>
      </c>
      <c r="P107" s="373">
        <v>0</v>
      </c>
    </row>
    <row r="108" spans="6:16" x14ac:dyDescent="0.25">
      <c r="F108" t="s">
        <v>788</v>
      </c>
      <c r="H108" t="s">
        <v>407</v>
      </c>
      <c r="J108" s="373">
        <v>-15.28</v>
      </c>
      <c r="K108" s="373">
        <v>-1.2190000000000001</v>
      </c>
      <c r="L108" s="373">
        <v>-0.121</v>
      </c>
      <c r="M108" s="374">
        <v>0</v>
      </c>
      <c r="N108" s="375">
        <v>0</v>
      </c>
      <c r="O108" s="375">
        <v>0</v>
      </c>
      <c r="P108" s="373">
        <v>0</v>
      </c>
    </row>
    <row r="109" spans="6:16" x14ac:dyDescent="0.25">
      <c r="F109" t="s">
        <v>789</v>
      </c>
      <c r="H109" t="s">
        <v>407</v>
      </c>
      <c r="J109" s="373">
        <v>-13.109</v>
      </c>
      <c r="K109" s="373">
        <v>-0.97499999999999998</v>
      </c>
      <c r="L109" s="373">
        <v>-9.7000000000000003E-2</v>
      </c>
      <c r="M109" s="374">
        <v>0</v>
      </c>
      <c r="N109" s="375">
        <v>0</v>
      </c>
      <c r="O109" s="375">
        <v>0</v>
      </c>
      <c r="P109" s="373">
        <v>0</v>
      </c>
    </row>
    <row r="110" spans="6:16" x14ac:dyDescent="0.25">
      <c r="F110" t="s">
        <v>790</v>
      </c>
      <c r="H110" t="s">
        <v>407</v>
      </c>
      <c r="J110" s="373">
        <v>-15.28</v>
      </c>
      <c r="K110" s="373">
        <v>-1.2190000000000001</v>
      </c>
      <c r="L110" s="373">
        <v>-0.121</v>
      </c>
      <c r="M110" s="374">
        <v>0</v>
      </c>
      <c r="N110" s="375">
        <v>0</v>
      </c>
      <c r="O110" s="375">
        <v>0</v>
      </c>
      <c r="P110" s="373">
        <v>0.312</v>
      </c>
    </row>
    <row r="111" spans="6:16" x14ac:dyDescent="0.25">
      <c r="F111" t="s">
        <v>799</v>
      </c>
      <c r="H111" t="s">
        <v>407</v>
      </c>
      <c r="J111" s="383">
        <v>0</v>
      </c>
      <c r="K111" s="383">
        <v>0</v>
      </c>
      <c r="L111" s="383">
        <v>0</v>
      </c>
      <c r="M111" s="384">
        <v>0</v>
      </c>
      <c r="N111" s="385">
        <v>0</v>
      </c>
      <c r="O111" s="385">
        <v>0</v>
      </c>
      <c r="P111" s="383">
        <v>0</v>
      </c>
    </row>
    <row r="112" spans="6:16" x14ac:dyDescent="0.25">
      <c r="F112" t="s">
        <v>791</v>
      </c>
      <c r="H112" t="s">
        <v>407</v>
      </c>
      <c r="J112" s="373">
        <v>-13.109</v>
      </c>
      <c r="K112" s="373">
        <v>-0.97499999999999998</v>
      </c>
      <c r="L112" s="373">
        <v>-9.7000000000000003E-2</v>
      </c>
      <c r="M112" s="374">
        <v>0</v>
      </c>
      <c r="N112" s="375">
        <v>0</v>
      </c>
      <c r="O112" s="375">
        <v>0</v>
      </c>
      <c r="P112" s="373">
        <v>0.224</v>
      </c>
    </row>
    <row r="113" spans="2:19" x14ac:dyDescent="0.25">
      <c r="F113" t="s">
        <v>798</v>
      </c>
      <c r="H113" t="s">
        <v>407</v>
      </c>
      <c r="J113" s="383">
        <v>0</v>
      </c>
      <c r="K113" s="383">
        <v>0</v>
      </c>
      <c r="L113" s="383">
        <v>0</v>
      </c>
      <c r="M113" s="384">
        <v>0</v>
      </c>
      <c r="N113" s="385">
        <v>0</v>
      </c>
      <c r="O113" s="385">
        <v>0</v>
      </c>
      <c r="P113" s="383">
        <v>0</v>
      </c>
    </row>
    <row r="114" spans="2:19" x14ac:dyDescent="0.25">
      <c r="F114" t="s">
        <v>792</v>
      </c>
      <c r="H114" t="s">
        <v>407</v>
      </c>
      <c r="J114" s="373">
        <v>-8.1959999999999997</v>
      </c>
      <c r="K114" s="373">
        <v>-0.41399999999999998</v>
      </c>
      <c r="L114" s="373">
        <v>-4.4999999999999998E-2</v>
      </c>
      <c r="M114" s="374">
        <v>0</v>
      </c>
      <c r="N114" s="375">
        <v>0</v>
      </c>
      <c r="O114" s="375">
        <v>0</v>
      </c>
      <c r="P114" s="373">
        <v>0.187</v>
      </c>
    </row>
    <row r="115" spans="2:19" x14ac:dyDescent="0.25">
      <c r="F115" s="96" t="s">
        <v>797</v>
      </c>
      <c r="G115" s="96"/>
      <c r="H115" s="96" t="s">
        <v>407</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232</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233</v>
      </c>
      <c r="G119" s="6" t="s">
        <v>57</v>
      </c>
      <c r="H119" s="113">
        <f t="array" ref="H119">SUM(IF(ISERROR(J16:P99), 1))</f>
        <v>0</v>
      </c>
      <c r="M119" s="389"/>
      <c r="N119" s="389"/>
      <c r="O119" s="389"/>
    </row>
    <row r="120" spans="2:19" x14ac:dyDescent="0.25">
      <c r="M120" s="389"/>
      <c r="N120" s="389"/>
      <c r="O120" s="389"/>
    </row>
    <row r="121" spans="2:19" x14ac:dyDescent="0.25">
      <c r="B121" s="85" t="s">
        <v>108</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KN86"/>
  <sheetViews>
    <sheetView showGridLines="0" zoomScale="80" zoomScaleNormal="80" workbookViewId="0">
      <pane xSplit="9" ySplit="5" topLeftCell="J42"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[enter DNO name] - [enter data version name]</v>
      </c>
    </row>
    <row r="3" spans="1:40" s="5" customFormat="1" x14ac:dyDescent="0.25">
      <c r="A3" s="5" t="str">
        <f>Cover!D2&amp;" - "&amp;Cover!D8&amp;" v"&amp;Cover!D10&amp;" - "&amp;Cover!D19</f>
        <v>CDCM charging model - Release for charge setting v11 - 2027/28</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143</v>
      </c>
      <c r="C5" s="90"/>
      <c r="D5" s="90"/>
      <c r="E5" s="90"/>
      <c r="F5" s="90"/>
      <c r="G5" s="91" t="s">
        <v>144</v>
      </c>
      <c r="H5" s="138" t="s">
        <v>145</v>
      </c>
      <c r="AN5" s="91" t="s">
        <v>146</v>
      </c>
    </row>
    <row r="7" spans="1:40" x14ac:dyDescent="0.25">
      <c r="B7" s="85" t="s">
        <v>12</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766</v>
      </c>
      <c r="E9"/>
    </row>
    <row r="10" spans="1:40" x14ac:dyDescent="0.25">
      <c r="C10" s="86" t="s">
        <v>767</v>
      </c>
      <c r="E10"/>
    </row>
    <row r="12" spans="1:40" x14ac:dyDescent="0.25">
      <c r="B12" s="85" t="s">
        <v>768</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control'!$H$42:$H$65,MATCH($A$1,'Version control'!$F$42:$F$65,0),1)&amp;"-A: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769</v>
      </c>
      <c r="E16"/>
    </row>
    <row r="17" spans="2:40" x14ac:dyDescent="0.25">
      <c r="D17" s="86"/>
      <c r="E17"/>
    </row>
    <row r="18" spans="2:40" x14ac:dyDescent="0.25">
      <c r="E18" s="75" t="s">
        <v>770</v>
      </c>
    </row>
    <row r="19" spans="2:40" x14ac:dyDescent="0.25">
      <c r="F19" s="98" t="s">
        <v>193</v>
      </c>
      <c r="G19" s="95" t="s">
        <v>278</v>
      </c>
      <c r="H19" s="392">
        <f t="array" ref="H19:H23">TRANSPOSE('Unit costs'!L108:P108)</f>
        <v>599153415.80517745</v>
      </c>
    </row>
    <row r="20" spans="2:40" x14ac:dyDescent="0.25">
      <c r="E20"/>
      <c r="F20" s="94" t="s">
        <v>194</v>
      </c>
      <c r="G20" t="s">
        <v>278</v>
      </c>
      <c r="H20" s="393">
        <v>85823620.934218392</v>
      </c>
    </row>
    <row r="21" spans="2:40" x14ac:dyDescent="0.25">
      <c r="E21"/>
      <c r="F21" s="94" t="s">
        <v>195</v>
      </c>
      <c r="G21" t="s">
        <v>278</v>
      </c>
      <c r="H21" s="393">
        <v>281957746.83943284</v>
      </c>
    </row>
    <row r="22" spans="2:40" x14ac:dyDescent="0.25">
      <c r="E22"/>
      <c r="F22" s="94" t="s">
        <v>196</v>
      </c>
      <c r="G22" t="s">
        <v>278</v>
      </c>
      <c r="H22" s="393">
        <v>268621139.51095968</v>
      </c>
    </row>
    <row r="23" spans="2:40" x14ac:dyDescent="0.25">
      <c r="E23"/>
      <c r="F23" s="101" t="s">
        <v>197</v>
      </c>
      <c r="G23" s="96" t="s">
        <v>278</v>
      </c>
      <c r="H23" s="394">
        <v>0</v>
      </c>
    </row>
    <row r="25" spans="2:40" x14ac:dyDescent="0.25">
      <c r="C25" s="93" t="str">
        <f ca="1">INDEX('Version control'!$H$42:$H$65,MATCH($A$1,'Version control'!$F$42:$F$65,0),1)&amp;"-B: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311</v>
      </c>
      <c r="G29" t="s">
        <v>278</v>
      </c>
      <c r="H29" s="395">
        <f>'General inputs'!H92</f>
        <v>14895057.34066906</v>
      </c>
    </row>
    <row r="30" spans="2:40" x14ac:dyDescent="0.25">
      <c r="D30" s="86"/>
      <c r="E30"/>
    </row>
    <row r="31" spans="2:40" x14ac:dyDescent="0.25">
      <c r="B31" s="85" t="s">
        <v>771</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control'!$H$42:$H$65,MATCH($A$1,'Version control'!$F$42:$F$65,0),1)&amp;"-C: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852</v>
      </c>
      <c r="E35"/>
    </row>
    <row r="37" spans="3:40" ht="45" x14ac:dyDescent="0.25">
      <c r="C37" s="123"/>
      <c r="E37" s="75" t="s">
        <v>772</v>
      </c>
      <c r="J37" s="309" t="s">
        <v>1116</v>
      </c>
      <c r="K37" s="309" t="s">
        <v>786</v>
      </c>
      <c r="L37" s="309" t="s">
        <v>1117</v>
      </c>
      <c r="M37" s="309" t="s">
        <v>1118</v>
      </c>
      <c r="N37" s="309" t="s">
        <v>1119</v>
      </c>
      <c r="O37" s="309" t="s">
        <v>1120</v>
      </c>
      <c r="P37" s="309" t="s">
        <v>1121</v>
      </c>
      <c r="Q37" s="309" t="s">
        <v>787</v>
      </c>
      <c r="R37" s="309" t="s">
        <v>863</v>
      </c>
      <c r="S37" s="309" t="s">
        <v>864</v>
      </c>
      <c r="T37" s="309" t="s">
        <v>865</v>
      </c>
      <c r="U37" s="309" t="s">
        <v>866</v>
      </c>
      <c r="V37" s="309" t="s">
        <v>867</v>
      </c>
      <c r="W37" s="309" t="s">
        <v>868</v>
      </c>
      <c r="X37" s="309" t="s">
        <v>869</v>
      </c>
      <c r="Y37" s="309" t="s">
        <v>870</v>
      </c>
      <c r="Z37" s="309" t="s">
        <v>871</v>
      </c>
      <c r="AA37" s="309" t="s">
        <v>872</v>
      </c>
      <c r="AB37" s="309" t="s">
        <v>873</v>
      </c>
      <c r="AC37" s="309" t="s">
        <v>874</v>
      </c>
      <c r="AD37" s="309" t="s">
        <v>875</v>
      </c>
      <c r="AE37" s="309" t="s">
        <v>876</v>
      </c>
      <c r="AF37" s="309" t="s">
        <v>877</v>
      </c>
      <c r="AG37" s="309" t="s">
        <v>796</v>
      </c>
      <c r="AH37" s="309" t="s">
        <v>788</v>
      </c>
      <c r="AI37" s="309" t="s">
        <v>789</v>
      </c>
      <c r="AJ37" s="309" t="s">
        <v>790</v>
      </c>
      <c r="AK37" s="309" t="s">
        <v>791</v>
      </c>
      <c r="AL37" s="309" t="s">
        <v>792</v>
      </c>
    </row>
    <row r="38" spans="3:40" x14ac:dyDescent="0.25">
      <c r="C38" s="123"/>
      <c r="D38"/>
      <c r="F38" s="396" t="s">
        <v>157</v>
      </c>
      <c r="G38" s="396" t="s">
        <v>270</v>
      </c>
      <c r="H38" s="266" t="s">
        <v>731</v>
      </c>
      <c r="I38" s="266"/>
      <c r="J38" s="397">
        <f>Rounding!J110</f>
        <v>25.395136853030557</v>
      </c>
      <c r="K38" s="397">
        <f>Rounding!K110</f>
        <v>25.395136853030557</v>
      </c>
      <c r="L38" s="397">
        <f>Rounding!L110</f>
        <v>24.844477123489018</v>
      </c>
      <c r="M38" s="397">
        <f>Rounding!M110</f>
        <v>24.844477123489018</v>
      </c>
      <c r="N38" s="397">
        <f>Rounding!N110</f>
        <v>24.844477123489018</v>
      </c>
      <c r="O38" s="397">
        <f>Rounding!O110</f>
        <v>24.844477123489018</v>
      </c>
      <c r="P38" s="397">
        <f>Rounding!P110</f>
        <v>24.844477123489018</v>
      </c>
      <c r="Q38" s="397">
        <f>Rounding!Q110</f>
        <v>24.844477123489018</v>
      </c>
      <c r="R38" s="397">
        <f>Rounding!R110</f>
        <v>15.429151116302295</v>
      </c>
      <c r="S38" s="397">
        <f>Rounding!S110</f>
        <v>15.429151116302295</v>
      </c>
      <c r="T38" s="397">
        <f>Rounding!T110</f>
        <v>15.429151116302295</v>
      </c>
      <c r="U38" s="397">
        <f>Rounding!U110</f>
        <v>15.429151116302295</v>
      </c>
      <c r="V38" s="397">
        <f>Rounding!V110</f>
        <v>15.429151116302295</v>
      </c>
      <c r="W38" s="397">
        <f>Rounding!W110</f>
        <v>9.8212748354902395</v>
      </c>
      <c r="X38" s="397">
        <f>Rounding!X110</f>
        <v>9.8212748354902395</v>
      </c>
      <c r="Y38" s="397">
        <f>Rounding!Y110</f>
        <v>9.8212748354902395</v>
      </c>
      <c r="Z38" s="397">
        <f>Rounding!Z110</f>
        <v>9.8212748354902395</v>
      </c>
      <c r="AA38" s="397">
        <f>Rounding!AA110</f>
        <v>9.8212748354902395</v>
      </c>
      <c r="AB38" s="397">
        <f>Rounding!AB110</f>
        <v>7.5003520676968254</v>
      </c>
      <c r="AC38" s="397">
        <f>Rounding!AC110</f>
        <v>7.5003520676968254</v>
      </c>
      <c r="AD38" s="397">
        <f>Rounding!AD110</f>
        <v>7.5003520676968254</v>
      </c>
      <c r="AE38" s="397">
        <f>Rounding!AE110</f>
        <v>7.5003520676968254</v>
      </c>
      <c r="AF38" s="397">
        <f>Rounding!AF110</f>
        <v>7.5003520676968254</v>
      </c>
      <c r="AG38" s="397">
        <f>Rounding!AG110</f>
        <v>75.808148615671129</v>
      </c>
      <c r="AH38" s="397">
        <f>Rounding!AH110</f>
        <v>-15.280425382806436</v>
      </c>
      <c r="AI38" s="397">
        <f>Rounding!AI110</f>
        <v>-13.108991883469402</v>
      </c>
      <c r="AJ38" s="397">
        <f>Rounding!AJ110</f>
        <v>-15.280425382806436</v>
      </c>
      <c r="AK38" s="397">
        <f>Rounding!AL110</f>
        <v>-13.108991883469402</v>
      </c>
      <c r="AL38" s="397">
        <f>Rounding!AN110</f>
        <v>-8.1964824270810812</v>
      </c>
    </row>
    <row r="39" spans="3:40" x14ac:dyDescent="0.25">
      <c r="C39" s="123"/>
      <c r="D39"/>
      <c r="F39" s="398" t="s">
        <v>158</v>
      </c>
      <c r="G39" s="398" t="s">
        <v>270</v>
      </c>
      <c r="H39" s="268" t="s">
        <v>731</v>
      </c>
      <c r="I39" s="268"/>
      <c r="J39" s="399">
        <f>Rounding!J111</f>
        <v>2.0255668188196898</v>
      </c>
      <c r="K39" s="399">
        <f>Rounding!K111</f>
        <v>2.0255668188196898</v>
      </c>
      <c r="L39" s="399">
        <f>Rounding!L111</f>
        <v>1.9816450993552617</v>
      </c>
      <c r="M39" s="399">
        <f>Rounding!M111</f>
        <v>1.9816450993552617</v>
      </c>
      <c r="N39" s="399">
        <f>Rounding!N111</f>
        <v>1.9816450993552617</v>
      </c>
      <c r="O39" s="399">
        <f>Rounding!O111</f>
        <v>1.9816450993552617</v>
      </c>
      <c r="P39" s="399">
        <f>Rounding!P111</f>
        <v>1.9816450993552617</v>
      </c>
      <c r="Q39" s="399">
        <f>Rounding!Q111</f>
        <v>1.9816450993552617</v>
      </c>
      <c r="R39" s="399">
        <f>Rounding!R111</f>
        <v>1.0970359548046356</v>
      </c>
      <c r="S39" s="399">
        <f>Rounding!S111</f>
        <v>1.0970359548046356</v>
      </c>
      <c r="T39" s="399">
        <f>Rounding!T111</f>
        <v>1.0970359548046356</v>
      </c>
      <c r="U39" s="399">
        <f>Rounding!U111</f>
        <v>1.0970359548046356</v>
      </c>
      <c r="V39" s="399">
        <f>Rounding!V111</f>
        <v>1.0970359548046356</v>
      </c>
      <c r="W39" s="399">
        <f>Rounding!W111</f>
        <v>0.49592572828189158</v>
      </c>
      <c r="X39" s="399">
        <f>Rounding!X111</f>
        <v>0.49592572828189158</v>
      </c>
      <c r="Y39" s="399">
        <f>Rounding!Y111</f>
        <v>0.49592572828189158</v>
      </c>
      <c r="Z39" s="399">
        <f>Rounding!Z111</f>
        <v>0.49592572828189158</v>
      </c>
      <c r="AA39" s="399">
        <f>Rounding!AA111</f>
        <v>0.49592572828189158</v>
      </c>
      <c r="AB39" s="399">
        <f>Rounding!AB111</f>
        <v>0.28752383061602405</v>
      </c>
      <c r="AC39" s="399">
        <f>Rounding!AC111</f>
        <v>0.28752383061602405</v>
      </c>
      <c r="AD39" s="399">
        <f>Rounding!AD111</f>
        <v>0.28752383061602405</v>
      </c>
      <c r="AE39" s="399">
        <f>Rounding!AE111</f>
        <v>0.28752383061602405</v>
      </c>
      <c r="AF39" s="399">
        <f>Rounding!AF111</f>
        <v>0.28752383061602405</v>
      </c>
      <c r="AG39" s="399">
        <f>Rounding!AG111</f>
        <v>4.1499071978827944</v>
      </c>
      <c r="AH39" s="399">
        <f>Rounding!AH111</f>
        <v>-1.2187972371241318</v>
      </c>
      <c r="AI39" s="399">
        <f>Rounding!AI111</f>
        <v>-0.97486597250895268</v>
      </c>
      <c r="AJ39" s="399">
        <f>Rounding!AJ111</f>
        <v>-1.2187972371241318</v>
      </c>
      <c r="AK39" s="399">
        <f>Rounding!AL111</f>
        <v>-0.97486597250895268</v>
      </c>
      <c r="AL39" s="399">
        <f>Rounding!AN111</f>
        <v>-0.41388176026916063</v>
      </c>
    </row>
    <row r="40" spans="3:40" x14ac:dyDescent="0.25">
      <c r="C40" s="123"/>
      <c r="D40"/>
      <c r="F40" s="398" t="s">
        <v>159</v>
      </c>
      <c r="G40" s="398" t="s">
        <v>270</v>
      </c>
      <c r="H40" s="268" t="s">
        <v>731</v>
      </c>
      <c r="I40" s="268"/>
      <c r="J40" s="399">
        <f>Rounding!J112</f>
        <v>0.20028453291725412</v>
      </c>
      <c r="K40" s="399">
        <f>Rounding!K112</f>
        <v>0.20028453291725412</v>
      </c>
      <c r="L40" s="399">
        <f>Rounding!L112</f>
        <v>0.19594162949579028</v>
      </c>
      <c r="M40" s="399">
        <f>Rounding!M112</f>
        <v>0.19594162949579028</v>
      </c>
      <c r="N40" s="399">
        <f>Rounding!N112</f>
        <v>0.19594162949579028</v>
      </c>
      <c r="O40" s="399">
        <f>Rounding!O112</f>
        <v>0.19594162949579028</v>
      </c>
      <c r="P40" s="399">
        <f>Rounding!P112</f>
        <v>0.19594162949579028</v>
      </c>
      <c r="Q40" s="399">
        <f>Rounding!Q112</f>
        <v>0.19594162949579028</v>
      </c>
      <c r="R40" s="399">
        <f>Rounding!R112</f>
        <v>0.11055342216280105</v>
      </c>
      <c r="S40" s="399">
        <f>Rounding!S112</f>
        <v>0.11055342216280105</v>
      </c>
      <c r="T40" s="399">
        <f>Rounding!T112</f>
        <v>0.11055342216280105</v>
      </c>
      <c r="U40" s="399">
        <f>Rounding!U112</f>
        <v>0.11055342216280105</v>
      </c>
      <c r="V40" s="399">
        <f>Rounding!V112</f>
        <v>0.11055342216280105</v>
      </c>
      <c r="W40" s="399">
        <f>Rounding!W112</f>
        <v>5.3511450595281604E-2</v>
      </c>
      <c r="X40" s="399">
        <f>Rounding!X112</f>
        <v>5.3511450595281604E-2</v>
      </c>
      <c r="Y40" s="399">
        <f>Rounding!Y112</f>
        <v>5.3511450595281604E-2</v>
      </c>
      <c r="Z40" s="399">
        <f>Rounding!Z112</f>
        <v>5.3511450595281604E-2</v>
      </c>
      <c r="AA40" s="399">
        <f>Rounding!AA112</f>
        <v>5.3511450595281604E-2</v>
      </c>
      <c r="AB40" s="399">
        <f>Rounding!AB112</f>
        <v>3.3267489359390272E-2</v>
      </c>
      <c r="AC40" s="399">
        <f>Rounding!AC112</f>
        <v>3.3267489359390272E-2</v>
      </c>
      <c r="AD40" s="399">
        <f>Rounding!AD112</f>
        <v>3.3267489359390272E-2</v>
      </c>
      <c r="AE40" s="399">
        <f>Rounding!AE112</f>
        <v>3.3267489359390272E-2</v>
      </c>
      <c r="AF40" s="399">
        <f>Rounding!AF112</f>
        <v>3.3267489359390272E-2</v>
      </c>
      <c r="AG40" s="399">
        <f>Rounding!AG112</f>
        <v>2.0619478137595015</v>
      </c>
      <c r="AH40" s="399">
        <f>Rounding!AH112</f>
        <v>-0.12051255633249795</v>
      </c>
      <c r="AI40" s="399">
        <f>Rounding!AI112</f>
        <v>-9.7494314339578544E-2</v>
      </c>
      <c r="AJ40" s="399">
        <f>Rounding!AJ112</f>
        <v>-0.12051255633249795</v>
      </c>
      <c r="AK40" s="399">
        <f>Rounding!AL112</f>
        <v>-9.7494314339578544E-2</v>
      </c>
      <c r="AL40" s="399">
        <f>Rounding!AN112</f>
        <v>-4.4658730337826823E-2</v>
      </c>
    </row>
    <row r="41" spans="3:40" x14ac:dyDescent="0.25">
      <c r="C41" s="123"/>
      <c r="D41"/>
      <c r="F41" s="398" t="s">
        <v>160</v>
      </c>
      <c r="G41" s="398" t="s">
        <v>271</v>
      </c>
      <c r="H41" t="s">
        <v>731</v>
      </c>
      <c r="J41" s="395">
        <f>Rounding!J113</f>
        <v>17.832724633851193</v>
      </c>
      <c r="K41" s="395">
        <f>Rounding!K113</f>
        <v>0</v>
      </c>
      <c r="L41" s="395">
        <f>Rounding!L113</f>
        <v>19.249864891018355</v>
      </c>
      <c r="M41" s="395">
        <f>Rounding!M113</f>
        <v>22.52550312183012</v>
      </c>
      <c r="N41" s="395">
        <f>Rounding!N113</f>
        <v>32.594370505587754</v>
      </c>
      <c r="O41" s="395">
        <f>Rounding!O113</f>
        <v>46.073312410732797</v>
      </c>
      <c r="P41" s="395">
        <f>Rounding!P113</f>
        <v>84.441735434522286</v>
      </c>
      <c r="Q41" s="395">
        <f>Rounding!Q113</f>
        <v>0</v>
      </c>
      <c r="R41" s="395">
        <f>Rounding!R113</f>
        <v>19.085920524154083</v>
      </c>
      <c r="S41" s="395">
        <f>Rounding!S113</f>
        <v>142.30754278406562</v>
      </c>
      <c r="T41" s="395">
        <f>Rounding!T113</f>
        <v>240.2298255838185</v>
      </c>
      <c r="U41" s="395">
        <f>Rounding!U113</f>
        <v>370.59448872538258</v>
      </c>
      <c r="V41" s="395">
        <f>Rounding!V113</f>
        <v>797.98910605694971</v>
      </c>
      <c r="W41" s="395">
        <f>Rounding!W113</f>
        <v>14.898612013947742</v>
      </c>
      <c r="X41" s="395">
        <f>Rounding!X113</f>
        <v>138.12023427385932</v>
      </c>
      <c r="Y41" s="395">
        <f>Rounding!Y113</f>
        <v>236.04251707361217</v>
      </c>
      <c r="Z41" s="395">
        <f>Rounding!Z113</f>
        <v>366.40718021517614</v>
      </c>
      <c r="AA41" s="395">
        <f>Rounding!AA113</f>
        <v>793.80179754674327</v>
      </c>
      <c r="AB41" s="395">
        <f>Rounding!AB113</f>
        <v>137.54153750078822</v>
      </c>
      <c r="AC41" s="395">
        <f>Rounding!AC113</f>
        <v>1035.0852624385132</v>
      </c>
      <c r="AD41" s="395">
        <f>Rounding!AD113</f>
        <v>2208.4202604876841</v>
      </c>
      <c r="AE41" s="395">
        <f>Rounding!AE113</f>
        <v>4821.7958930466075</v>
      </c>
      <c r="AF41" s="395">
        <f>Rounding!AF113</f>
        <v>9159.735314368123</v>
      </c>
      <c r="AG41" s="395">
        <f>Rounding!AG113</f>
        <v>0</v>
      </c>
      <c r="AH41" s="395">
        <f>Rounding!AH113</f>
        <v>0</v>
      </c>
      <c r="AI41" s="395">
        <f>Rounding!AI113</f>
        <v>0</v>
      </c>
      <c r="AJ41" s="395">
        <f>Rounding!AJ113</f>
        <v>0</v>
      </c>
      <c r="AK41" s="395">
        <f>Rounding!AL113</f>
        <v>0</v>
      </c>
      <c r="AL41" s="395">
        <f>Rounding!AN113</f>
        <v>86.079364905669735</v>
      </c>
    </row>
    <row r="42" spans="3:40" x14ac:dyDescent="0.25">
      <c r="C42" s="123"/>
      <c r="D42"/>
      <c r="F42" s="398" t="s">
        <v>161</v>
      </c>
      <c r="G42" s="398" t="s">
        <v>272</v>
      </c>
      <c r="H42" t="s">
        <v>731</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12.912493254799603</v>
      </c>
      <c r="S42" s="395">
        <f>Rounding!S114</f>
        <v>12.912493254799603</v>
      </c>
      <c r="T42" s="395">
        <f>Rounding!T114</f>
        <v>12.912493254799603</v>
      </c>
      <c r="U42" s="395">
        <f>Rounding!U114</f>
        <v>12.912493254799603</v>
      </c>
      <c r="V42" s="395">
        <f>Rounding!V114</f>
        <v>12.912493254799603</v>
      </c>
      <c r="W42" s="395">
        <f>Rounding!W114</f>
        <v>11.05458065371368</v>
      </c>
      <c r="X42" s="395">
        <f>Rounding!X114</f>
        <v>11.05458065371368</v>
      </c>
      <c r="Y42" s="395">
        <f>Rounding!Y114</f>
        <v>11.05458065371368</v>
      </c>
      <c r="Z42" s="395">
        <f>Rounding!Z114</f>
        <v>11.05458065371368</v>
      </c>
      <c r="AA42" s="395">
        <f>Rounding!AA114</f>
        <v>11.05458065371368</v>
      </c>
      <c r="AB42" s="395">
        <f>Rounding!AB114</f>
        <v>10.616443931280937</v>
      </c>
      <c r="AC42" s="395">
        <f>Rounding!AC114</f>
        <v>10.616443931280937</v>
      </c>
      <c r="AD42" s="395">
        <f>Rounding!AD114</f>
        <v>10.616443931280937</v>
      </c>
      <c r="AE42" s="395">
        <f>Rounding!AE114</f>
        <v>10.616443931280937</v>
      </c>
      <c r="AF42" s="395">
        <f>Rounding!AF114</f>
        <v>10.616443931280937</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162</v>
      </c>
      <c r="G43" s="398" t="s">
        <v>272</v>
      </c>
      <c r="H43" t="s">
        <v>731</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12.912493254799603</v>
      </c>
      <c r="S43" s="395">
        <f>Rounding!S115</f>
        <v>12.912493254799603</v>
      </c>
      <c r="T43" s="395">
        <f>Rounding!T115</f>
        <v>12.912493254799603</v>
      </c>
      <c r="U43" s="395">
        <f>Rounding!U115</f>
        <v>12.912493254799603</v>
      </c>
      <c r="V43" s="395">
        <f>Rounding!V115</f>
        <v>12.912493254799603</v>
      </c>
      <c r="W43" s="395">
        <f>Rounding!W115</f>
        <v>11.05458065371368</v>
      </c>
      <c r="X43" s="395">
        <f>Rounding!X115</f>
        <v>11.05458065371368</v>
      </c>
      <c r="Y43" s="395">
        <f>Rounding!Y115</f>
        <v>11.05458065371368</v>
      </c>
      <c r="Z43" s="395">
        <f>Rounding!Z115</f>
        <v>11.05458065371368</v>
      </c>
      <c r="AA43" s="395">
        <f>Rounding!AA115</f>
        <v>11.05458065371368</v>
      </c>
      <c r="AB43" s="395">
        <f>Rounding!AB115</f>
        <v>10.616443931280937</v>
      </c>
      <c r="AC43" s="395">
        <f>Rounding!AC115</f>
        <v>10.616443931280937</v>
      </c>
      <c r="AD43" s="395">
        <f>Rounding!AD115</f>
        <v>10.616443931280937</v>
      </c>
      <c r="AE43" s="395">
        <f>Rounding!AE115</f>
        <v>10.616443931280937</v>
      </c>
      <c r="AF43" s="395">
        <f>Rounding!AF115</f>
        <v>10.616443931280937</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163</v>
      </c>
      <c r="G44" s="400" t="s">
        <v>273</v>
      </c>
      <c r="H44" s="270" t="s">
        <v>731</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0.25264310707810089</v>
      </c>
      <c r="S44" s="401">
        <f>Rounding!S116</f>
        <v>0.25264310707810089</v>
      </c>
      <c r="T44" s="401">
        <f>Rounding!T116</f>
        <v>0.25264310707810089</v>
      </c>
      <c r="U44" s="401">
        <f>Rounding!U116</f>
        <v>0.25264310707810089</v>
      </c>
      <c r="V44" s="401">
        <f>Rounding!V116</f>
        <v>0.25264310707810089</v>
      </c>
      <c r="W44" s="401">
        <f>Rounding!W116</f>
        <v>0.13863470006128026</v>
      </c>
      <c r="X44" s="401">
        <f>Rounding!X116</f>
        <v>0.13863470006128026</v>
      </c>
      <c r="Y44" s="401">
        <f>Rounding!Y116</f>
        <v>0.13863470006128026</v>
      </c>
      <c r="Z44" s="401">
        <f>Rounding!Z116</f>
        <v>0.13863470006128026</v>
      </c>
      <c r="AA44" s="401">
        <f>Rounding!AA116</f>
        <v>0.13863470006128026</v>
      </c>
      <c r="AB44" s="401">
        <f>Rounding!AB116</f>
        <v>9.6603194796647043E-2</v>
      </c>
      <c r="AC44" s="401">
        <f>Rounding!AC116</f>
        <v>9.6603194796647043E-2</v>
      </c>
      <c r="AD44" s="401">
        <f>Rounding!AD116</f>
        <v>9.6603194796647043E-2</v>
      </c>
      <c r="AE44" s="401">
        <f>Rounding!AE116</f>
        <v>9.6603194796647043E-2</v>
      </c>
      <c r="AF44" s="401">
        <f>Rounding!AF116</f>
        <v>9.6603194796647043E-2</v>
      </c>
      <c r="AG44" s="401">
        <f>Rounding!AG116</f>
        <v>0</v>
      </c>
      <c r="AH44" s="401">
        <f>Rounding!AH116</f>
        <v>0</v>
      </c>
      <c r="AI44" s="401">
        <f>Rounding!AI116</f>
        <v>0</v>
      </c>
      <c r="AJ44" s="401">
        <f>Rounding!AJ116</f>
        <v>0.31225598745472138</v>
      </c>
      <c r="AK44" s="401">
        <f>Rounding!AL116</f>
        <v>0.22398663020284471</v>
      </c>
      <c r="AL44" s="401">
        <f>Rounding!AN116</f>
        <v>0.18734964255838274</v>
      </c>
    </row>
    <row r="45" spans="3:40" x14ac:dyDescent="0.25">
      <c r="D45"/>
      <c r="E45"/>
      <c r="F45" s="402"/>
    </row>
    <row r="46" spans="3:40" x14ac:dyDescent="0.25">
      <c r="D46" s="86" t="s">
        <v>851</v>
      </c>
      <c r="E46"/>
    </row>
    <row r="48" spans="3:40" ht="60" customHeight="1" x14ac:dyDescent="0.25">
      <c r="D48"/>
      <c r="E48"/>
      <c r="F48" s="402"/>
      <c r="J48" s="309" t="s">
        <v>1116</v>
      </c>
      <c r="K48" s="309" t="s">
        <v>786</v>
      </c>
      <c r="L48" s="309" t="s">
        <v>1117</v>
      </c>
      <c r="M48" s="309" t="s">
        <v>1118</v>
      </c>
      <c r="N48" s="309" t="s">
        <v>1119</v>
      </c>
      <c r="O48" s="309" t="s">
        <v>1120</v>
      </c>
      <c r="P48" s="309" t="s">
        <v>1121</v>
      </c>
      <c r="Q48" s="309" t="s">
        <v>787</v>
      </c>
      <c r="R48" s="309" t="s">
        <v>863</v>
      </c>
      <c r="S48" s="309" t="s">
        <v>864</v>
      </c>
      <c r="T48" s="309" t="s">
        <v>865</v>
      </c>
      <c r="U48" s="309" t="s">
        <v>866</v>
      </c>
      <c r="V48" s="309" t="s">
        <v>867</v>
      </c>
      <c r="W48" s="309" t="s">
        <v>868</v>
      </c>
      <c r="X48" s="309" t="s">
        <v>869</v>
      </c>
      <c r="Y48" s="309" t="s">
        <v>870</v>
      </c>
      <c r="Z48" s="309" t="s">
        <v>871</v>
      </c>
      <c r="AA48" s="309" t="s">
        <v>872</v>
      </c>
      <c r="AB48" s="309" t="s">
        <v>873</v>
      </c>
      <c r="AC48" s="309" t="s">
        <v>874</v>
      </c>
      <c r="AD48" s="309" t="s">
        <v>875</v>
      </c>
      <c r="AE48" s="309" t="s">
        <v>876</v>
      </c>
      <c r="AF48" s="309" t="s">
        <v>877</v>
      </c>
      <c r="AG48" s="309" t="s">
        <v>796</v>
      </c>
      <c r="AH48" s="309" t="s">
        <v>788</v>
      </c>
      <c r="AI48" s="309" t="s">
        <v>789</v>
      </c>
      <c r="AJ48" s="309" t="s">
        <v>790</v>
      </c>
      <c r="AK48" s="309" t="s">
        <v>791</v>
      </c>
      <c r="AL48" s="309" t="s">
        <v>792</v>
      </c>
    </row>
    <row r="49" spans="2:40" x14ac:dyDescent="0.25">
      <c r="D49"/>
      <c r="E49" t="s">
        <v>848</v>
      </c>
      <c r="F49" s="402"/>
      <c r="G49" t="s">
        <v>271</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control'!$H$42:$H$65,MATCH($A$1,'Version control'!$F$42:$F$65,0),1)&amp;"-D: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773</v>
      </c>
      <c r="E53"/>
    </row>
    <row r="55" spans="2:40" x14ac:dyDescent="0.25">
      <c r="D55"/>
      <c r="F55" s="2"/>
      <c r="G55" s="2"/>
      <c r="H55" s="2"/>
      <c r="I55" s="2"/>
      <c r="J55" s="107" t="s">
        <v>192</v>
      </c>
      <c r="K55" s="107" t="s">
        <v>193</v>
      </c>
      <c r="L55" s="107" t="s">
        <v>194</v>
      </c>
      <c r="M55" s="107" t="s">
        <v>195</v>
      </c>
      <c r="N55" s="107" t="s">
        <v>196</v>
      </c>
      <c r="O55" s="107" t="s">
        <v>197</v>
      </c>
      <c r="P55" s="107" t="s">
        <v>198</v>
      </c>
      <c r="Q55" s="107" t="s">
        <v>199</v>
      </c>
      <c r="R55" s="107" t="s">
        <v>200</v>
      </c>
      <c r="S55" s="107" t="s">
        <v>335</v>
      </c>
      <c r="T55" s="107" t="s">
        <v>336</v>
      </c>
    </row>
    <row r="56" spans="2:40" x14ac:dyDescent="0.25">
      <c r="D56"/>
      <c r="E56" s="403" t="s">
        <v>784</v>
      </c>
      <c r="F56" s="403"/>
      <c r="G56" s="101" t="s">
        <v>168</v>
      </c>
      <c r="H56" s="96"/>
      <c r="I56" s="96"/>
      <c r="J56" s="404"/>
      <c r="K56" s="405">
        <f t="array" ref="K56:O56">TRANSPOSE('System peak demand'!H227:H231)</f>
        <v>5.3682000000000007E-2</v>
      </c>
      <c r="L56" s="405">
        <v>5.3682000000000007E-2</v>
      </c>
      <c r="M56" s="405">
        <v>0.13270815000000002</v>
      </c>
      <c r="N56" s="405">
        <v>0.13270815000000002</v>
      </c>
      <c r="O56" s="405">
        <v>5.3682000000000007E-2</v>
      </c>
      <c r="P56" s="404"/>
      <c r="Q56" s="404"/>
      <c r="R56" s="404"/>
      <c r="S56" s="404"/>
      <c r="T56" s="404"/>
    </row>
    <row r="57" spans="2:40" x14ac:dyDescent="0.25">
      <c r="D57"/>
      <c r="E57" s="406" t="s">
        <v>785</v>
      </c>
      <c r="F57" s="406"/>
      <c r="G57" s="145" t="s">
        <v>478</v>
      </c>
      <c r="H57" s="145"/>
      <c r="I57" s="145"/>
      <c r="J57" s="407">
        <f t="array" ref="J57:O57">TRANSPOSE('System peak demand'!H154:H159)</f>
        <v>2303813.3696042835</v>
      </c>
      <c r="K57" s="407">
        <v>2268215.436934575</v>
      </c>
      <c r="L57" s="407">
        <v>2259187.7138024969</v>
      </c>
      <c r="M57" s="407">
        <v>2187237.2258020747</v>
      </c>
      <c r="N57" s="407">
        <v>2174345.8472610004</v>
      </c>
      <c r="O57" s="407">
        <v>0</v>
      </c>
      <c r="P57" s="238"/>
      <c r="Q57" s="238"/>
      <c r="R57" s="238"/>
      <c r="S57" s="238"/>
      <c r="T57" s="238"/>
    </row>
    <row r="58" spans="2:40" x14ac:dyDescent="0.25">
      <c r="D58"/>
      <c r="E58" s="406" t="s">
        <v>774</v>
      </c>
      <c r="F58" s="406"/>
      <c r="G58" s="145" t="s">
        <v>278</v>
      </c>
      <c r="H58" s="145"/>
      <c r="I58" s="145"/>
      <c r="J58" s="238"/>
      <c r="K58" s="407">
        <f>'Unit costs'!L108</f>
        <v>599153415.80517745</v>
      </c>
      <c r="L58" s="407">
        <f>'Unit costs'!M108</f>
        <v>85823620.934218392</v>
      </c>
      <c r="M58" s="407">
        <f>'Unit costs'!N108</f>
        <v>281957746.83943284</v>
      </c>
      <c r="N58" s="407">
        <f>'Unit costs'!O108</f>
        <v>268621139.51095968</v>
      </c>
      <c r="O58" s="407">
        <f>'Unit costs'!P108</f>
        <v>0</v>
      </c>
      <c r="P58" s="407">
        <f>'Unit costs'!Q108</f>
        <v>1283501891.3277338</v>
      </c>
      <c r="Q58" s="407">
        <f>'Unit costs'!R108</f>
        <v>470016729.29308248</v>
      </c>
      <c r="R58" s="407">
        <f>'Unit costs'!S108</f>
        <v>884601412.24121249</v>
      </c>
      <c r="S58" s="407">
        <f>'Unit costs'!T108</f>
        <v>578031660.27407515</v>
      </c>
      <c r="T58" s="407">
        <f>'Unit costs'!U108</f>
        <v>15199945.604441572</v>
      </c>
    </row>
    <row r="59" spans="2:40" x14ac:dyDescent="0.25">
      <c r="D59"/>
      <c r="E59" s="408" t="s">
        <v>351</v>
      </c>
      <c r="F59" s="408"/>
      <c r="G59" s="95" t="s">
        <v>284</v>
      </c>
      <c r="H59" s="95"/>
      <c r="I59" s="95"/>
      <c r="J59" s="392">
        <f>'Load &amp; loss characteristics'!K29</f>
        <v>1</v>
      </c>
      <c r="K59" s="392">
        <f>'Load &amp; loss characteristics'!L29</f>
        <v>1.0009999999999999</v>
      </c>
      <c r="L59" s="392">
        <f>'Load &amp; loss characteristics'!M29</f>
        <v>1.0049999999999999</v>
      </c>
      <c r="M59" s="392">
        <f>'Load &amp; loss characteristics'!N29</f>
        <v>1.012</v>
      </c>
      <c r="N59" s="392">
        <f>'Load &amp; loss characteristics'!O29</f>
        <v>1.018</v>
      </c>
      <c r="O59" s="392">
        <f>'Load &amp; loss characteristics'!P29</f>
        <v>1.018</v>
      </c>
      <c r="P59" s="117"/>
      <c r="Q59" s="117"/>
      <c r="R59" s="117"/>
      <c r="S59" s="117"/>
      <c r="T59" s="117"/>
    </row>
    <row r="60" spans="2:40" x14ac:dyDescent="0.25">
      <c r="D60"/>
      <c r="E60"/>
      <c r="F60" s="402"/>
    </row>
    <row r="61" spans="2:40" x14ac:dyDescent="0.25">
      <c r="B61" s="85" t="s">
        <v>775</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control'!$H$42:$H$65,MATCH($A$1,'Version control'!$F$42:$F$65,0),1)&amp;"-E: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776</v>
      </c>
      <c r="E65"/>
    </row>
    <row r="67" spans="3:40" ht="45" x14ac:dyDescent="0.25">
      <c r="F67" s="2"/>
      <c r="G67" s="2"/>
      <c r="H67" s="2"/>
      <c r="I67" s="2"/>
      <c r="J67" s="309" t="s">
        <v>1116</v>
      </c>
      <c r="K67" s="309" t="s">
        <v>786</v>
      </c>
      <c r="L67" s="309" t="s">
        <v>1117</v>
      </c>
      <c r="M67" s="309" t="s">
        <v>1118</v>
      </c>
      <c r="N67" s="309" t="s">
        <v>1119</v>
      </c>
      <c r="O67" s="309" t="s">
        <v>1120</v>
      </c>
      <c r="P67" s="309" t="s">
        <v>1121</v>
      </c>
      <c r="Q67" s="309" t="s">
        <v>787</v>
      </c>
      <c r="R67" s="309" t="s">
        <v>863</v>
      </c>
      <c r="S67" s="309" t="s">
        <v>864</v>
      </c>
      <c r="T67" s="309" t="s">
        <v>865</v>
      </c>
      <c r="U67" s="309" t="s">
        <v>866</v>
      </c>
      <c r="V67" s="309" t="s">
        <v>867</v>
      </c>
      <c r="W67" s="309" t="s">
        <v>868</v>
      </c>
      <c r="X67" s="309" t="s">
        <v>869</v>
      </c>
      <c r="Y67" s="309" t="s">
        <v>870</v>
      </c>
      <c r="Z67" s="309" t="s">
        <v>871</v>
      </c>
      <c r="AA67" s="309" t="s">
        <v>872</v>
      </c>
      <c r="AB67" s="309" t="s">
        <v>873</v>
      </c>
      <c r="AC67" s="309" t="s">
        <v>874</v>
      </c>
      <c r="AD67" s="309" t="s">
        <v>875</v>
      </c>
      <c r="AE67" s="309" t="s">
        <v>876</v>
      </c>
      <c r="AF67" s="309" t="s">
        <v>877</v>
      </c>
      <c r="AG67" s="309" t="s">
        <v>796</v>
      </c>
      <c r="AH67" s="309" t="s">
        <v>788</v>
      </c>
      <c r="AI67" s="309" t="s">
        <v>789</v>
      </c>
      <c r="AJ67" s="309" t="s">
        <v>790</v>
      </c>
      <c r="AK67" s="309" t="s">
        <v>791</v>
      </c>
      <c r="AL67" s="309" t="s">
        <v>792</v>
      </c>
    </row>
    <row r="68" spans="3:40" x14ac:dyDescent="0.25">
      <c r="C68" s="123"/>
      <c r="D68"/>
      <c r="E68" s="96" t="s">
        <v>729</v>
      </c>
      <c r="F68" s="96"/>
      <c r="G68" s="144" t="s">
        <v>278</v>
      </c>
      <c r="H68" s="96" t="s">
        <v>731</v>
      </c>
      <c r="I68" s="96"/>
      <c r="J68" s="394">
        <f>'Net revenue summary'!J140</f>
        <v>170.85608472453507</v>
      </c>
      <c r="K68" s="394">
        <f>'Net revenue summary'!K140</f>
        <v>0</v>
      </c>
      <c r="L68" s="394">
        <f>'Net revenue summary'!L140</f>
        <v>432.43892371110923</v>
      </c>
      <c r="M68" s="394">
        <f>'Net revenue summary'!M140</f>
        <v>144.64739212350386</v>
      </c>
      <c r="N68" s="394">
        <f>'Net revenue summary'!N140</f>
        <v>374.38014394446253</v>
      </c>
      <c r="O68" s="394">
        <f>'Net revenue summary'!O140</f>
        <v>683.52930918298057</v>
      </c>
      <c r="P68" s="394">
        <f>'Net revenue summary'!P140</f>
        <v>1558.5707252058353</v>
      </c>
      <c r="Q68" s="394">
        <f>'Net revenue summary'!Q140</f>
        <v>0</v>
      </c>
      <c r="R68" s="394">
        <f>'Net revenue summary'!R140</f>
        <v>2194.2070423325949</v>
      </c>
      <c r="S68" s="394">
        <f>'Net revenue summary'!S140</f>
        <v>4140.0565571731604</v>
      </c>
      <c r="T68" s="394">
        <f>'Net revenue summary'!T140</f>
        <v>9143.3745688910876</v>
      </c>
      <c r="U68" s="394">
        <f>'Net revenue summary'!U140</f>
        <v>14536.983700685851</v>
      </c>
      <c r="V68" s="394">
        <f>'Net revenue summary'!V140</f>
        <v>27949.770805203101</v>
      </c>
      <c r="W68" s="394">
        <f>'Net revenue summary'!W140</f>
        <v>3821.2951427804292</v>
      </c>
      <c r="X68" s="394">
        <f>'Net revenue summary'!X140</f>
        <v>3793.1333355063534</v>
      </c>
      <c r="Y68" s="394">
        <f>'Net revenue summary'!Y140</f>
        <v>7778.7979231228637</v>
      </c>
      <c r="Z68" s="394">
        <f>'Net revenue summary'!Z140</f>
        <v>12669.38263311554</v>
      </c>
      <c r="AA68" s="394">
        <f>'Net revenue summary'!AA140</f>
        <v>27092.082453968585</v>
      </c>
      <c r="AB68" s="394">
        <f>'Net revenue summary'!AB140</f>
        <v>9555.5254030217384</v>
      </c>
      <c r="AC68" s="394">
        <f>'Net revenue summary'!AC140</f>
        <v>18764.933119462428</v>
      </c>
      <c r="AD68" s="394">
        <f>'Net revenue summary'!AD140</f>
        <v>46047.184131898131</v>
      </c>
      <c r="AE68" s="394">
        <f>'Net revenue summary'!AE140</f>
        <v>95710.982505511725</v>
      </c>
      <c r="AF68" s="394">
        <f>'Net revenue summary'!AF140</f>
        <v>218626.36587874169</v>
      </c>
      <c r="AG68" s="394">
        <f>'Net revenue summary'!AG140</f>
        <v>2880.6848773050147</v>
      </c>
      <c r="AH68" s="394">
        <f>'Net revenue summary'!AH140</f>
        <v>0</v>
      </c>
      <c r="AI68" s="394">
        <f>'Net revenue summary'!AI140</f>
        <v>0</v>
      </c>
      <c r="AJ68" s="394">
        <f>'Net revenue summary'!AJ140</f>
        <v>0</v>
      </c>
      <c r="AK68" s="394">
        <f>'Net revenue summary'!AL140</f>
        <v>0</v>
      </c>
      <c r="AL68" s="394">
        <f>'Net revenue summary'!AN140</f>
        <v>-18899.021551593149</v>
      </c>
    </row>
    <row r="69" spans="3:40" x14ac:dyDescent="0.25">
      <c r="C69" s="123"/>
      <c r="D69"/>
      <c r="E69" s="145" t="s">
        <v>734</v>
      </c>
      <c r="F69" s="145"/>
      <c r="G69" s="356" t="s">
        <v>270</v>
      </c>
      <c r="H69" s="409" t="s">
        <v>731</v>
      </c>
      <c r="I69" s="409"/>
      <c r="J69" s="410">
        <f>'Net revenue summary'!J146</f>
        <v>4.7954333424654108</v>
      </c>
      <c r="K69" s="410">
        <f>'Net revenue summary'!K146</f>
        <v>0.44226332025877307</v>
      </c>
      <c r="L69" s="410">
        <f>'Net revenue summary'!L146</f>
        <v>2.911926394244154</v>
      </c>
      <c r="M69" s="410">
        <f>'Net revenue summary'!M146</f>
        <v>6.1460343730796181</v>
      </c>
      <c r="N69" s="410">
        <f>'Net revenue summary'!N146</f>
        <v>3.8778338738160762</v>
      </c>
      <c r="O69" s="410">
        <f>'Net revenue summary'!O146</f>
        <v>3.50761009249252</v>
      </c>
      <c r="P69" s="410">
        <f>'Net revenue summary'!P146</f>
        <v>3.2958793685575518</v>
      </c>
      <c r="Q69" s="410">
        <f>'Net revenue summary'!Q146</f>
        <v>0.46637822675385049</v>
      </c>
      <c r="R69" s="410">
        <f>'Net revenue summary'!R146</f>
        <v>7.8274045018436125</v>
      </c>
      <c r="S69" s="410">
        <f>'Net revenue summary'!S146</f>
        <v>4.722292745979531</v>
      </c>
      <c r="T69" s="410">
        <f>'Net revenue summary'!T146</f>
        <v>5.8224695265759818</v>
      </c>
      <c r="U69" s="410">
        <f>'Net revenue summary'!U146</f>
        <v>6.0232389257241801</v>
      </c>
      <c r="V69" s="410">
        <f>'Net revenue summary'!V146</f>
        <v>6.3021659604047997</v>
      </c>
      <c r="W69" s="410">
        <f>'Net revenue summary'!W146</f>
        <v>5.6250530282000266</v>
      </c>
      <c r="X69" s="410">
        <f>'Net revenue summary'!X146</f>
        <v>3.2434981868462751</v>
      </c>
      <c r="Y69" s="410">
        <f>'Net revenue summary'!Y146</f>
        <v>3.8797761140868463</v>
      </c>
      <c r="Z69" s="410">
        <f>'Net revenue summary'!Z146</f>
        <v>3.89710958978675</v>
      </c>
      <c r="AA69" s="410">
        <f>'Net revenue summary'!AA146</f>
        <v>3.8837869103542437</v>
      </c>
      <c r="AB69" s="410">
        <f>'Net revenue summary'!AB146</f>
        <v>8.6637825029799611</v>
      </c>
      <c r="AC69" s="410">
        <f>'Net revenue summary'!AC146</f>
        <v>2.8659342558632837</v>
      </c>
      <c r="AD69" s="410">
        <f>'Net revenue summary'!AD146</f>
        <v>3.0412481976990327</v>
      </c>
      <c r="AE69" s="410">
        <f>'Net revenue summary'!AE146</f>
        <v>2.7958592125491091</v>
      </c>
      <c r="AF69" s="410">
        <f>'Net revenue summary'!AF146</f>
        <v>3.2093784770191114</v>
      </c>
      <c r="AG69" s="410">
        <f>'Net revenue summary'!AG146</f>
        <v>4.8342433468275088</v>
      </c>
      <c r="AH69" s="410">
        <f>'Net revenue summary'!AH146</f>
        <v>-1.7679020653738078</v>
      </c>
      <c r="AI69" s="410">
        <f>'Net revenue summary'!AI146</f>
        <v>-1.2041335825194106</v>
      </c>
      <c r="AJ69" s="410">
        <f>'Net revenue summary'!AJ146</f>
        <v>-1.5702393893379307</v>
      </c>
      <c r="AK69" s="410">
        <f>'Net revenue summary'!AL146</f>
        <v>0</v>
      </c>
      <c r="AL69" s="410">
        <f>'Net revenue summary'!AN146</f>
        <v>-0.96557886475259969</v>
      </c>
    </row>
    <row r="70" spans="3:40" x14ac:dyDescent="0.25">
      <c r="C70" s="123"/>
      <c r="D70"/>
      <c r="E70" s="145" t="s">
        <v>743</v>
      </c>
      <c r="F70" s="145"/>
      <c r="G70" s="145" t="s">
        <v>168</v>
      </c>
      <c r="H70" s="145" t="s">
        <v>731</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744</v>
      </c>
      <c r="F71" s="95"/>
      <c r="G71" s="95" t="s">
        <v>270</v>
      </c>
      <c r="H71" s="266" t="s">
        <v>731</v>
      </c>
      <c r="I71" s="266"/>
      <c r="J71" s="412">
        <f>'Net revenue summary'!J174</f>
        <v>4.7954333424654099</v>
      </c>
      <c r="K71" s="412">
        <f>'Net revenue summary'!K174</f>
        <v>0.44226332025877307</v>
      </c>
      <c r="L71" s="412">
        <f>'Net revenue summary'!L174</f>
        <v>2.911926394244154</v>
      </c>
      <c r="M71" s="412">
        <f>'Net revenue summary'!M174</f>
        <v>6.1460343730796181</v>
      </c>
      <c r="N71" s="412">
        <f>'Net revenue summary'!N174</f>
        <v>3.8778338738160762</v>
      </c>
      <c r="O71" s="412">
        <f>'Net revenue summary'!O174</f>
        <v>3.50761009249252</v>
      </c>
      <c r="P71" s="412">
        <f>'Net revenue summary'!P174</f>
        <v>3.2958793685575523</v>
      </c>
      <c r="Q71" s="412">
        <f>'Net revenue summary'!Q174</f>
        <v>0.46637822675385043</v>
      </c>
      <c r="R71" s="412">
        <f>'Net revenue summary'!R174</f>
        <v>7.8274045018436125</v>
      </c>
      <c r="S71" s="412">
        <f>'Net revenue summary'!S174</f>
        <v>4.722292745979531</v>
      </c>
      <c r="T71" s="412">
        <f>'Net revenue summary'!T174</f>
        <v>5.8224695265759818</v>
      </c>
      <c r="U71" s="412">
        <f>'Net revenue summary'!U174</f>
        <v>6.023238925724181</v>
      </c>
      <c r="V71" s="412">
        <f>'Net revenue summary'!V174</f>
        <v>6.3021659604048006</v>
      </c>
      <c r="W71" s="412">
        <f>'Net revenue summary'!W174</f>
        <v>5.6250530282000266</v>
      </c>
      <c r="X71" s="412">
        <f>'Net revenue summary'!X174</f>
        <v>3.2434981868462751</v>
      </c>
      <c r="Y71" s="412">
        <f>'Net revenue summary'!Y174</f>
        <v>3.8797761140868467</v>
      </c>
      <c r="Z71" s="412">
        <f>'Net revenue summary'!Z174</f>
        <v>3.89710958978675</v>
      </c>
      <c r="AA71" s="412">
        <f>'Net revenue summary'!AA174</f>
        <v>3.8837869103542437</v>
      </c>
      <c r="AB71" s="412">
        <f>'Net revenue summary'!AB174</f>
        <v>8.6637825029799593</v>
      </c>
      <c r="AC71" s="412">
        <f>'Net revenue summary'!AC174</f>
        <v>2.8659342558632841</v>
      </c>
      <c r="AD71" s="412">
        <f>'Net revenue summary'!AD174</f>
        <v>3.0412481976990327</v>
      </c>
      <c r="AE71" s="412">
        <f>'Net revenue summary'!AE174</f>
        <v>2.7958592125491091</v>
      </c>
      <c r="AF71" s="412">
        <f>'Net revenue summary'!AF174</f>
        <v>3.2093784770191114</v>
      </c>
      <c r="AG71" s="412">
        <f>'Net revenue summary'!AG174</f>
        <v>4.8342433468275088</v>
      </c>
      <c r="AH71" s="412">
        <f>'Net revenue summary'!AH174</f>
        <v>-1.7679020653738078</v>
      </c>
      <c r="AI71" s="412">
        <f>'Net revenue summary'!AI174</f>
        <v>-1.2041335825194106</v>
      </c>
      <c r="AJ71" s="412">
        <f>'Net revenue summary'!AJ174</f>
        <v>-1.5702393893379309</v>
      </c>
      <c r="AK71" s="412" t="str">
        <f>'Net revenue summary'!AL174</f>
        <v>-</v>
      </c>
      <c r="AL71" s="412">
        <f>'Net revenue summary'!AN174</f>
        <v>-0.96557886475259969</v>
      </c>
    </row>
    <row r="72" spans="3:40" x14ac:dyDescent="0.25">
      <c r="C72" s="123"/>
    </row>
    <row r="73" spans="3:40" x14ac:dyDescent="0.25">
      <c r="C73" s="93" t="str">
        <f ca="1">INDEX('Version control'!$H$42:$H$65,MATCH($A$1,'Version control'!$F$42:$F$65,0),1)&amp;"-F: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777</v>
      </c>
      <c r="E75"/>
    </row>
    <row r="76" spans="3:40" x14ac:dyDescent="0.25">
      <c r="D76" s="86" t="s">
        <v>778</v>
      </c>
      <c r="E76"/>
    </row>
    <row r="78" spans="3:40" ht="45" x14ac:dyDescent="0.25">
      <c r="E78"/>
      <c r="J78" s="309" t="s">
        <v>1116</v>
      </c>
      <c r="K78" s="309" t="s">
        <v>786</v>
      </c>
      <c r="L78" s="309" t="s">
        <v>1117</v>
      </c>
      <c r="M78" s="309" t="s">
        <v>1118</v>
      </c>
      <c r="N78" s="309" t="s">
        <v>1119</v>
      </c>
      <c r="O78" s="309" t="s">
        <v>1120</v>
      </c>
      <c r="P78" s="309" t="s">
        <v>1121</v>
      </c>
      <c r="Q78" s="309" t="s">
        <v>787</v>
      </c>
      <c r="R78" s="309" t="s">
        <v>863</v>
      </c>
      <c r="S78" s="309" t="s">
        <v>864</v>
      </c>
      <c r="T78" s="309" t="s">
        <v>865</v>
      </c>
      <c r="U78" s="309" t="s">
        <v>866</v>
      </c>
      <c r="V78" s="309" t="s">
        <v>867</v>
      </c>
      <c r="W78" s="309" t="s">
        <v>868</v>
      </c>
      <c r="X78" s="309" t="s">
        <v>869</v>
      </c>
      <c r="Y78" s="309" t="s">
        <v>870</v>
      </c>
      <c r="Z78" s="309" t="s">
        <v>871</v>
      </c>
      <c r="AA78" s="309" t="s">
        <v>872</v>
      </c>
      <c r="AB78" s="309" t="s">
        <v>873</v>
      </c>
      <c r="AC78" s="309" t="s">
        <v>874</v>
      </c>
      <c r="AD78" s="309" t="s">
        <v>875</v>
      </c>
      <c r="AE78" s="309" t="s">
        <v>876</v>
      </c>
      <c r="AF78" s="309" t="s">
        <v>877</v>
      </c>
      <c r="AG78" s="309" t="s">
        <v>796</v>
      </c>
      <c r="AH78" s="309" t="s">
        <v>788</v>
      </c>
      <c r="AI78" s="309" t="s">
        <v>789</v>
      </c>
      <c r="AJ78" s="309" t="s">
        <v>790</v>
      </c>
      <c r="AK78" s="309" t="s">
        <v>791</v>
      </c>
      <c r="AL78" s="309" t="s">
        <v>792</v>
      </c>
    </row>
    <row r="79" spans="3:40" x14ac:dyDescent="0.25">
      <c r="C79" s="123"/>
      <c r="D79"/>
      <c r="E79" s="95" t="s">
        <v>752</v>
      </c>
      <c r="F79" s="95"/>
      <c r="G79" s="98" t="s">
        <v>168</v>
      </c>
      <c r="H79" s="95" t="s">
        <v>406</v>
      </c>
      <c r="I79" s="95"/>
      <c r="J79" s="413">
        <f>'Net revenue summary'!J206</f>
        <v>0.40609986320908903</v>
      </c>
      <c r="K79" s="413">
        <f>'Net revenue summary'!K206</f>
        <v>0</v>
      </c>
      <c r="L79" s="413">
        <f>'Net revenue summary'!L206</f>
        <v>0.40622179668768665</v>
      </c>
      <c r="M79" s="413">
        <f>'Net revenue summary'!M206</f>
        <v>0.40615974716774694</v>
      </c>
      <c r="N79" s="413">
        <f>'Net revenue summary'!N206</f>
        <v>0.4061250399817446</v>
      </c>
      <c r="O79" s="413">
        <f>'Net revenue summary'!O206</f>
        <v>0.40618476059998138</v>
      </c>
      <c r="P79" s="413">
        <f>'Net revenue summary'!P206</f>
        <v>0.40620559851604043</v>
      </c>
      <c r="Q79" s="413">
        <f>'Net revenue summary'!Q206</f>
        <v>0</v>
      </c>
      <c r="R79" s="413">
        <f>'Net revenue summary'!R206</f>
        <v>0.40598966028358224</v>
      </c>
      <c r="S79" s="413">
        <f>'Net revenue summary'!S206</f>
        <v>0.40606347184892322</v>
      </c>
      <c r="T79" s="413">
        <f>'Net revenue summary'!T206</f>
        <v>0.40602822951020817</v>
      </c>
      <c r="U79" s="413">
        <f>'Net revenue summary'!U206</f>
        <v>0.40602461039163273</v>
      </c>
      <c r="V79" s="413">
        <f>'Net revenue summary'!V206</f>
        <v>0.40602351717677088</v>
      </c>
      <c r="W79" s="414"/>
      <c r="X79" s="414"/>
      <c r="Y79" s="414"/>
      <c r="Z79" s="414"/>
      <c r="AA79" s="414"/>
      <c r="AB79" s="414"/>
      <c r="AC79" s="414"/>
      <c r="AD79" s="414"/>
      <c r="AE79" s="414"/>
      <c r="AF79" s="414"/>
      <c r="AG79" s="413">
        <f>'Net revenue summary'!AG206</f>
        <v>0.40625504825433373</v>
      </c>
      <c r="AH79" s="413">
        <f>'Net revenue summary'!AH206</f>
        <v>0</v>
      </c>
      <c r="AI79" s="414"/>
      <c r="AJ79" s="413">
        <f>'Net revenue summary'!AJ206</f>
        <v>0</v>
      </c>
      <c r="AK79" s="414"/>
      <c r="AL79" s="414"/>
    </row>
    <row r="80" spans="3:40" x14ac:dyDescent="0.25">
      <c r="C80" s="123"/>
      <c r="D80"/>
      <c r="E80" s="96" t="s">
        <v>753</v>
      </c>
      <c r="F80" s="96"/>
      <c r="G80" s="101" t="s">
        <v>168</v>
      </c>
      <c r="H80" s="96" t="s">
        <v>407</v>
      </c>
      <c r="I80" s="96"/>
      <c r="J80" s="415">
        <f>'Net revenue summary'!J207</f>
        <v>0.60189728071447834</v>
      </c>
      <c r="K80" s="415">
        <f>'Net revenue summary'!K207</f>
        <v>0</v>
      </c>
      <c r="L80" s="415">
        <f>'Net revenue summary'!L207</f>
        <v>0.60196625373734347</v>
      </c>
      <c r="M80" s="415">
        <f>'Net revenue summary'!M207</f>
        <v>0.60189835578201401</v>
      </c>
      <c r="N80" s="415">
        <f>'Net revenue summary'!N207</f>
        <v>0.60196963408626758</v>
      </c>
      <c r="O80" s="415">
        <f>'Net revenue summary'!O207</f>
        <v>0.60193539853946398</v>
      </c>
      <c r="P80" s="415">
        <f>'Net revenue summary'!P207</f>
        <v>0.60194807732927957</v>
      </c>
      <c r="Q80" s="415">
        <f>'Net revenue summary'!Q207</f>
        <v>0</v>
      </c>
      <c r="R80" s="415">
        <f>'Net revenue summary'!R207</f>
        <v>0.6018593946408185</v>
      </c>
      <c r="S80" s="415">
        <f>'Net revenue summary'!S207</f>
        <v>0.60186968359845394</v>
      </c>
      <c r="T80" s="415">
        <f>'Net revenue summary'!T207</f>
        <v>0.60187106931475565</v>
      </c>
      <c r="U80" s="415">
        <f>'Net revenue summary'!U207</f>
        <v>0.60187016851544828</v>
      </c>
      <c r="V80" s="415">
        <f>'Net revenue summary'!V207</f>
        <v>0.60187025264646388</v>
      </c>
      <c r="W80" s="415">
        <f>'Net revenue summary'!W207</f>
        <v>0.30962791107189502</v>
      </c>
      <c r="X80" s="415">
        <f>'Net revenue summary'!X207</f>
        <v>0.30979002655594717</v>
      </c>
      <c r="Y80" s="415">
        <f>'Net revenue summary'!Y207</f>
        <v>0.30974397336204024</v>
      </c>
      <c r="Z80" s="415">
        <f>'Net revenue summary'!Z207</f>
        <v>0.30974071828607302</v>
      </c>
      <c r="AA80" s="415">
        <f>'Net revenue summary'!AA207</f>
        <v>0.3097399280112314</v>
      </c>
      <c r="AB80" s="415">
        <f>'Net revenue summary'!AB207</f>
        <v>0.18077217671863249</v>
      </c>
      <c r="AC80" s="415">
        <f>'Net revenue summary'!AC207</f>
        <v>0.18062298959262954</v>
      </c>
      <c r="AD80" s="415">
        <f>'Net revenue summary'!AD207</f>
        <v>0.18063875020277731</v>
      </c>
      <c r="AE80" s="415">
        <f>'Net revenue summary'!AE207</f>
        <v>0.1806286579760126</v>
      </c>
      <c r="AF80" s="415">
        <f>'Net revenue summary'!AF207</f>
        <v>0.18065252772484186</v>
      </c>
      <c r="AG80" s="415">
        <f>'Net revenue summary'!AG207</f>
        <v>0.60191602736011229</v>
      </c>
      <c r="AH80" s="415">
        <f>'Net revenue summary'!AH207</f>
        <v>0</v>
      </c>
      <c r="AI80" s="415">
        <f>'Net revenue summary'!AI207</f>
        <v>0</v>
      </c>
      <c r="AJ80" s="415">
        <f>'Net revenue summary'!AJ207</f>
        <v>0</v>
      </c>
      <c r="AK80" s="415">
        <f>'Net revenue summary'!AL207</f>
        <v>0</v>
      </c>
      <c r="AL80" s="415">
        <f>'Net revenue summary'!AN207</f>
        <v>-1.6670323336048207E-2</v>
      </c>
    </row>
    <row r="82" spans="2:40" x14ac:dyDescent="0.25">
      <c r="B82" s="85" t="s">
        <v>232</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233</v>
      </c>
      <c r="G84" s="6" t="s">
        <v>57</v>
      </c>
      <c r="H84" s="113">
        <f t="array" ref="H84">SUM(IF(ISERROR(H19:AL81), 1))</f>
        <v>0</v>
      </c>
    </row>
    <row r="86" spans="2:40" x14ac:dyDescent="0.25">
      <c r="B86" s="85" t="s">
        <v>108</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[enter DNO name] - [enter data version name]</v>
      </c>
    </row>
    <row r="3" spans="1:9" s="5" customFormat="1" x14ac:dyDescent="0.25">
      <c r="A3" s="5" t="str">
        <f>Cover!D2&amp;" - "&amp;Cover!D8&amp;" v"&amp;Cover!D10&amp;" - "&amp;Cover!D19</f>
        <v>CDCM charging model - Release for charge setting v11 - 2027/28</v>
      </c>
    </row>
    <row r="5" spans="1:9" customFormat="1" x14ac:dyDescent="0.25">
      <c r="A5" s="71"/>
      <c r="B5" s="64" t="s">
        <v>109</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108</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[enter DNO name] - [enter data version name]</v>
      </c>
    </row>
    <row r="3" spans="1:7" s="5" customFormat="1" x14ac:dyDescent="0.25">
      <c r="A3" s="5" t="str">
        <f>Cover!D2&amp;" - "&amp;Cover!D8&amp;" v"&amp;Cover!D10&amp;" - "&amp;Cover!D19</f>
        <v>CDCM charging model - Release for charge setting v11 - 2027/28</v>
      </c>
    </row>
    <row r="5" spans="1:7" x14ac:dyDescent="0.25">
      <c r="B5" s="85" t="s">
        <v>12</v>
      </c>
      <c r="C5" s="85"/>
      <c r="D5" s="85"/>
      <c r="E5" s="85"/>
      <c r="F5" s="85"/>
      <c r="G5" s="85"/>
    </row>
    <row r="7" spans="1:7" x14ac:dyDescent="0.25">
      <c r="C7" s="86" t="s">
        <v>110</v>
      </c>
    </row>
    <row r="8" spans="1:7" x14ac:dyDescent="0.25">
      <c r="C8" s="86" t="s">
        <v>111</v>
      </c>
    </row>
    <row r="10" spans="1:7" x14ac:dyDescent="0.25">
      <c r="B10" s="85" t="s">
        <v>112</v>
      </c>
      <c r="C10" s="85"/>
      <c r="D10" s="85"/>
      <c r="E10" s="85"/>
      <c r="F10" s="85"/>
      <c r="G10" s="85"/>
    </row>
    <row r="12" spans="1:7" x14ac:dyDescent="0.25">
      <c r="C12" s="86" t="s">
        <v>113</v>
      </c>
    </row>
    <row r="14" spans="1:7" ht="15.75" thickBot="1" x14ac:dyDescent="0.3">
      <c r="F14" s="87" t="s">
        <v>114</v>
      </c>
      <c r="G14" s="88" t="s">
        <v>115</v>
      </c>
    </row>
    <row r="15" spans="1:7" ht="16.5" thickTop="1" thickBot="1" x14ac:dyDescent="0.3">
      <c r="F15" s="18" t="s">
        <v>116</v>
      </c>
    </row>
    <row r="16" spans="1:7" ht="15.75" thickTop="1" x14ac:dyDescent="0.25">
      <c r="F16" s="18" t="s">
        <v>117</v>
      </c>
      <c r="G16" s="19" t="str">
        <f>'Version control'!$B$5</f>
        <v>Model version</v>
      </c>
    </row>
    <row r="17" spans="6:7" x14ac:dyDescent="0.25">
      <c r="F17" s="20" t="s">
        <v>118</v>
      </c>
      <c r="G17" s="19" t="str">
        <f>'Version control'!$B$17</f>
        <v>Version log</v>
      </c>
    </row>
    <row r="18" spans="6:7" x14ac:dyDescent="0.25">
      <c r="F18" s="20" t="s">
        <v>118</v>
      </c>
      <c r="G18" s="19" t="str">
        <f>'Version control'!$B$39</f>
        <v>Model checks</v>
      </c>
    </row>
    <row r="19" spans="6:7" ht="15.75" thickBot="1" x14ac:dyDescent="0.3">
      <c r="F19" s="20" t="s">
        <v>118</v>
      </c>
      <c r="G19" s="19" t="str">
        <f>'Version control'!$B$68</f>
        <v>Version log lists</v>
      </c>
    </row>
    <row r="20" spans="6:7" ht="16.5" thickTop="1" thickBot="1" x14ac:dyDescent="0.3">
      <c r="F20" s="18" t="s">
        <v>109</v>
      </c>
      <c r="G20" s="19" t="str">
        <f>'Model map'!$B$5</f>
        <v>Model map</v>
      </c>
    </row>
    <row r="21" spans="6:7" ht="16.5" thickTop="1" thickBot="1" x14ac:dyDescent="0.3">
      <c r="F21" s="18" t="s">
        <v>119</v>
      </c>
      <c r="G21" s="19" t="str">
        <f>'Named ranges'!$B$5</f>
        <v>List of named ranges</v>
      </c>
    </row>
    <row r="22" spans="6:7" ht="16.5" thickTop="1" thickBot="1" x14ac:dyDescent="0.3">
      <c r="F22" s="21" t="s">
        <v>55</v>
      </c>
      <c r="G22" s="19" t="str">
        <f>'Fixed inputs'!$B$11</f>
        <v>Fixed inputs</v>
      </c>
    </row>
    <row r="23" spans="6:7" ht="16.5" thickTop="1" thickBot="1" x14ac:dyDescent="0.3">
      <c r="F23" s="21" t="s">
        <v>58</v>
      </c>
      <c r="G23" s="19" t="str">
        <f>'Inputs by customer type'!$B$11</f>
        <v>Inputs by customer type</v>
      </c>
    </row>
    <row r="24" spans="6:7" ht="16.5" thickTop="1" thickBot="1" x14ac:dyDescent="0.3">
      <c r="F24" s="21" t="s">
        <v>60</v>
      </c>
      <c r="G24" s="19" t="str">
        <f>'Inputs by network level'!$B$11</f>
        <v>Inputs by network level</v>
      </c>
    </row>
    <row r="25" spans="6:7" ht="16.5" thickTop="1" thickBot="1" x14ac:dyDescent="0.3">
      <c r="F25" s="21" t="s">
        <v>62</v>
      </c>
      <c r="G25" s="19" t="str">
        <f>'General inputs'!$B$11</f>
        <v>General inputs</v>
      </c>
    </row>
    <row r="26" spans="6:7" ht="16.5" thickTop="1" thickBot="1" x14ac:dyDescent="0.3">
      <c r="F26" s="22" t="s">
        <v>122</v>
      </c>
      <c r="G26" s="19" t="str">
        <f>'Standing charge factors'!$B$17</f>
        <v>Adjustments to standing charges</v>
      </c>
    </row>
    <row r="27" spans="6:7" ht="15.75" thickTop="1" x14ac:dyDescent="0.25">
      <c r="F27" s="22" t="s">
        <v>66</v>
      </c>
      <c r="G27" s="19" t="str">
        <f>'Load &amp; loss characteristics'!$B$13</f>
        <v>Load and loss characteristics</v>
      </c>
    </row>
    <row r="28" spans="6:7" ht="15.75" thickBot="1" x14ac:dyDescent="0.3">
      <c r="F28" s="23" t="s">
        <v>118</v>
      </c>
      <c r="G28" s="19" t="str">
        <f>'Load &amp; loss characteristics'!$B$31</f>
        <v>User loss factor adjustments</v>
      </c>
    </row>
    <row r="29" spans="6:7" ht="16.5" thickTop="1" thickBot="1" x14ac:dyDescent="0.3">
      <c r="F29" s="22" t="s">
        <v>68</v>
      </c>
      <c r="G29" s="19" t="str">
        <f>'Customer contributions'!$B$12</f>
        <v>Customer contributions</v>
      </c>
    </row>
    <row r="30" spans="6:7" ht="15.75" thickTop="1" x14ac:dyDescent="0.25">
      <c r="F30" s="22" t="s">
        <v>70</v>
      </c>
      <c r="G30" s="19" t="str">
        <f>'Volume adjustments'!$B$13</f>
        <v>LDNO discounts</v>
      </c>
    </row>
    <row r="31" spans="6:7" x14ac:dyDescent="0.25">
      <c r="F31" s="23" t="s">
        <v>118</v>
      </c>
      <c r="G31" s="19" t="str">
        <f>'Volume adjustments'!$B$51</f>
        <v>Volume discounting</v>
      </c>
    </row>
    <row r="32" spans="6:7" ht="15.75" thickBot="1" x14ac:dyDescent="0.3">
      <c r="F32" s="23" t="s">
        <v>118</v>
      </c>
      <c r="G32" s="19" t="str">
        <f>'Volume adjustments'!$B$310</f>
        <v>Volume discounting for revenue matching</v>
      </c>
    </row>
    <row r="33" spans="6:7" ht="15.75" thickTop="1" x14ac:dyDescent="0.25">
      <c r="F33" s="22" t="s">
        <v>72</v>
      </c>
      <c r="G33" s="19" t="str">
        <f>'Pseudo-load coefficients'!$B$13</f>
        <v>Step 1: Ratio of coincidence to load factor assuming units evenly spread within time bands, and peak falls in Red period</v>
      </c>
    </row>
    <row r="34" spans="6:7" x14ac:dyDescent="0.25">
      <c r="F34" s="23" t="s">
        <v>118</v>
      </c>
      <c r="G34" s="19" t="str">
        <f>'Pseudo-load coefficients'!$B$56</f>
        <v>Step 2: Calculate correction factor</v>
      </c>
    </row>
    <row r="35" spans="6:7" x14ac:dyDescent="0.25">
      <c r="F35" s="23" t="s">
        <v>118</v>
      </c>
      <c r="G35" s="19" t="str">
        <f>'Pseudo-load coefficients'!$B$95</f>
        <v>Step 3: Ratio of coincidence factor (to network asset peak) to load factor, given peaking probabilities, multiplied by correction factor</v>
      </c>
    </row>
    <row r="36" spans="6:7" ht="15.75" thickBot="1" x14ac:dyDescent="0.3">
      <c r="F36" s="23" t="s">
        <v>118</v>
      </c>
      <c r="G36" s="19" t="str">
        <f>'Pseudo-load coefficients'!$B$261</f>
        <v>Step 4: Results of Step 3</v>
      </c>
    </row>
    <row r="37" spans="6:7" ht="15.75" thickTop="1" x14ac:dyDescent="0.25">
      <c r="F37" s="22" t="s">
        <v>74</v>
      </c>
      <c r="G37" s="19" t="str">
        <f>'System peak demand'!$B$16</f>
        <v>Common inputs for chargeable load calculations</v>
      </c>
    </row>
    <row r="38" spans="6:7" x14ac:dyDescent="0.25">
      <c r="F38" s="23" t="s">
        <v>118</v>
      </c>
      <c r="G38" s="19" t="str">
        <f>'System peak demand'!$B$63</f>
        <v>Load at system peak charged to unit rates</v>
      </c>
    </row>
    <row r="39" spans="6:7" x14ac:dyDescent="0.25">
      <c r="F39" s="23" t="s">
        <v>118</v>
      </c>
      <c r="G39" s="19" t="str">
        <f>'System peak demand'!$B$179</f>
        <v>Load at system peak charged to standing charges</v>
      </c>
    </row>
    <row r="40" spans="6:7" ht="15.75" thickBot="1" x14ac:dyDescent="0.3">
      <c r="F40" s="23" t="s">
        <v>118</v>
      </c>
      <c r="G40" s="19" t="str">
        <f>'System peak demand'!$B$262</f>
        <v>System peak based on chargeable load</v>
      </c>
    </row>
    <row r="41" spans="6:7" ht="16.5" thickTop="1" thickBot="1" x14ac:dyDescent="0.3">
      <c r="F41" s="22" t="s">
        <v>76</v>
      </c>
      <c r="G41" s="19" t="str">
        <f>'Service model assets'!$B$12</f>
        <v>Service model notional asset values</v>
      </c>
    </row>
    <row r="42" spans="6:7" ht="15.75" thickTop="1" x14ac:dyDescent="0.25">
      <c r="F42" s="22" t="s">
        <v>78</v>
      </c>
      <c r="G42" s="19" t="str">
        <f>'Unit costs'!$B$15</f>
        <v>500MW model costs</v>
      </c>
    </row>
    <row r="43" spans="6:7" x14ac:dyDescent="0.25">
      <c r="F43" s="23" t="s">
        <v>118</v>
      </c>
      <c r="G43" s="19" t="str">
        <f>'Unit costs'!$B$58</f>
        <v>Allocation of other costs</v>
      </c>
    </row>
    <row r="44" spans="6:7" ht="15.75" thickBot="1" x14ac:dyDescent="0.3">
      <c r="F44" s="23" t="s">
        <v>118</v>
      </c>
      <c r="G44" s="19" t="str">
        <f>'Unit costs'!$B$102</f>
        <v>Outputs</v>
      </c>
    </row>
    <row r="45" spans="6:7" ht="15.75" thickTop="1" x14ac:dyDescent="0.25">
      <c r="F45" s="22" t="s">
        <v>80</v>
      </c>
      <c r="G45" s="19" t="str">
        <f>'Initial unit rates'!$B$11</f>
        <v>Inputs for yardstick and unit rate calculations</v>
      </c>
    </row>
    <row r="46" spans="6:7" ht="15.75" thickBot="1" x14ac:dyDescent="0.3">
      <c r="F46" s="23" t="s">
        <v>118</v>
      </c>
      <c r="G46" s="19" t="str">
        <f>'Initial unit rates'!$B$116</f>
        <v>Calculation of yardstick &amp; unit rate charges</v>
      </c>
    </row>
    <row r="47" spans="6:7" ht="15.75" thickTop="1" x14ac:dyDescent="0.25">
      <c r="F47" s="22" t="s">
        <v>82</v>
      </c>
      <c r="G47" s="19" t="str">
        <f>'Service model charges'!$B$13</f>
        <v>Inputs to service model charge calculation</v>
      </c>
    </row>
    <row r="48" spans="6:7" ht="15.75" thickBot="1" x14ac:dyDescent="0.3">
      <c r="F48" s="23" t="s">
        <v>118</v>
      </c>
      <c r="G48" s="19" t="str">
        <f>'Service model charges'!$B$29</f>
        <v>Allocation of service model costs</v>
      </c>
    </row>
    <row r="49" spans="6:7" ht="15.75" thickTop="1" x14ac:dyDescent="0.25">
      <c r="F49" s="22" t="s">
        <v>84</v>
      </c>
      <c r="G49" s="19" t="str">
        <f>'Unit rate charges'!$B$15</f>
        <v>Inputs to unit rate charge calculations</v>
      </c>
    </row>
    <row r="50" spans="6:7" ht="15.75" thickBot="1" x14ac:dyDescent="0.3">
      <c r="F50" s="23" t="s">
        <v>118</v>
      </c>
      <c r="G50" s="19" t="str">
        <f>'Unit rate charges'!$B$122</f>
        <v>Application of standing charges to unit rates</v>
      </c>
    </row>
    <row r="51" spans="6:7" ht="15.75" thickTop="1" x14ac:dyDescent="0.25">
      <c r="F51" s="22" t="s">
        <v>88</v>
      </c>
      <c r="G51" s="19" t="str">
        <f>'Capacity charges'!$B$17</f>
        <v>Inputs to capacity charge calculations</v>
      </c>
    </row>
    <row r="52" spans="6:7" x14ac:dyDescent="0.25">
      <c r="F52" s="23" t="s">
        <v>118</v>
      </c>
      <c r="G52" s="19" t="str">
        <f>'Capacity charges'!$B$125</f>
        <v>Calculation of capacity charges</v>
      </c>
    </row>
    <row r="53" spans="6:7" ht="15.75" thickBot="1" x14ac:dyDescent="0.3">
      <c r="F53" s="23" t="s">
        <v>118</v>
      </c>
      <c r="G53" s="19" t="str">
        <f>'Capacity charges'!$B$249</f>
        <v>Capacity charges (and elements allocated to fixed charges)</v>
      </c>
    </row>
    <row r="54" spans="6:7" ht="15.75" thickTop="1" x14ac:dyDescent="0.25">
      <c r="F54" s="22" t="s">
        <v>86</v>
      </c>
      <c r="G54" s="19" t="str">
        <f>'Reactive power charges'!$B$13</f>
        <v>Inputs to reactive power charge calculations</v>
      </c>
    </row>
    <row r="55" spans="6:7" x14ac:dyDescent="0.25">
      <c r="F55" s="23" t="s">
        <v>118</v>
      </c>
      <c r="G55" s="19" t="str">
        <f>'Reactive power charges'!$B$150</f>
        <v>Calculation of yardstick charges for generation</v>
      </c>
    </row>
    <row r="56" spans="6:7" ht="15.75" thickBot="1" x14ac:dyDescent="0.3">
      <c r="F56" s="23" t="s">
        <v>118</v>
      </c>
      <c r="G56" s="19" t="str">
        <f>'Reactive power charges'!$B$185</f>
        <v>Calculation of reactive power charges</v>
      </c>
    </row>
    <row r="57" spans="6:7" ht="15.75" thickTop="1" x14ac:dyDescent="0.25">
      <c r="F57" s="22" t="s">
        <v>90</v>
      </c>
      <c r="G57" s="19" t="str">
        <f>'Fixed charges'!$B$14</f>
        <v>Inputs to fixed charge calculations</v>
      </c>
    </row>
    <row r="58" spans="6:7" ht="15.75" thickBot="1" x14ac:dyDescent="0.3">
      <c r="F58" s="23" t="s">
        <v>118</v>
      </c>
      <c r="G58" s="19" t="str">
        <f>'Fixed charges'!$B$65</f>
        <v>Calculation of fixed charges</v>
      </c>
    </row>
    <row r="59" spans="6:7" ht="16.5" thickTop="1" thickBot="1" x14ac:dyDescent="0.3">
      <c r="F59" s="22" t="s">
        <v>1099</v>
      </c>
      <c r="G59" s="19" t="str">
        <f>'SoLR &amp; bad debt adders'!$B$12</f>
        <v>Fixed tariff adjustments</v>
      </c>
    </row>
    <row r="60" spans="6:7" ht="15.75" thickTop="1" x14ac:dyDescent="0.25">
      <c r="F60" s="22" t="s">
        <v>92</v>
      </c>
      <c r="G60" s="19" t="str">
        <f>'Revenue matching'!$B$13</f>
        <v>Pre-matching net revenue calculations</v>
      </c>
    </row>
    <row r="61" spans="6:7" x14ac:dyDescent="0.25">
      <c r="F61" s="23" t="s">
        <v>118</v>
      </c>
      <c r="G61" s="19" t="str">
        <f>'Revenue matching'!$B$86</f>
        <v>Residual charge calculation</v>
      </c>
    </row>
    <row r="62" spans="6:7" x14ac:dyDescent="0.25">
      <c r="F62" s="23" t="s">
        <v>118</v>
      </c>
      <c r="G62" s="19" t="str">
        <f>'Revenue matching'!$B$209</f>
        <v>Adjustments for negative fixed charges</v>
      </c>
    </row>
    <row r="63" spans="6:7" ht="15.75" thickBot="1" x14ac:dyDescent="0.3">
      <c r="F63" s="23" t="s">
        <v>118</v>
      </c>
      <c r="G63" s="19" t="str">
        <f>'Revenue matching'!$B$407</f>
        <v>Final adders</v>
      </c>
    </row>
    <row r="64" spans="6:7" ht="15.75" thickTop="1" x14ac:dyDescent="0.25">
      <c r="F64" s="22" t="s">
        <v>94</v>
      </c>
      <c r="G64" s="19" t="str">
        <f>Rounding!$B$12</f>
        <v>Inputs</v>
      </c>
    </row>
    <row r="65" spans="2:7" ht="15.75" thickBot="1" x14ac:dyDescent="0.3">
      <c r="F65" s="23" t="s">
        <v>118</v>
      </c>
      <c r="G65" s="19" t="str">
        <f>Rounding!$B$103</f>
        <v>Rounding of tariff forecast</v>
      </c>
    </row>
    <row r="66" spans="2:7" ht="15.75" thickTop="1" x14ac:dyDescent="0.25">
      <c r="F66" s="22" t="s">
        <v>96</v>
      </c>
      <c r="G66" s="19" t="str">
        <f>'Net revenue summary'!$B$11</f>
        <v>Inputs to net revenue summary calculation</v>
      </c>
    </row>
    <row r="67" spans="2:7" x14ac:dyDescent="0.25">
      <c r="F67" s="23" t="s">
        <v>118</v>
      </c>
      <c r="G67" s="19" t="str">
        <f>'Net revenue summary'!$B$90</f>
        <v>Typical bills</v>
      </c>
    </row>
    <row r="68" spans="2:7" x14ac:dyDescent="0.25">
      <c r="F68" s="23" t="s">
        <v>118</v>
      </c>
      <c r="G68" s="19" t="str">
        <f>'Net revenue summary'!$B$150</f>
        <v>Comparison with previous year</v>
      </c>
    </row>
    <row r="69" spans="2:7" ht="15.75" thickBot="1" x14ac:dyDescent="0.3">
      <c r="F69" s="23" t="s">
        <v>118</v>
      </c>
      <c r="G69" s="19" t="str">
        <f>'Net revenue summary'!$B$176</f>
        <v>LDNO margins</v>
      </c>
    </row>
    <row r="70" spans="2:7" ht="16.5" thickTop="1" thickBot="1" x14ac:dyDescent="0.3">
      <c r="F70" s="24" t="s">
        <v>98</v>
      </c>
      <c r="G70" s="19" t="str">
        <f>'Tariff summary'!$B$11</f>
        <v>Tariff summary</v>
      </c>
    </row>
    <row r="71" spans="2:7" ht="15.75" thickTop="1" x14ac:dyDescent="0.25">
      <c r="F71" s="24" t="s">
        <v>100</v>
      </c>
      <c r="G71" s="19" t="str">
        <f>'Output to other models'!$B$12</f>
        <v>Outputs for PCDM</v>
      </c>
    </row>
    <row r="72" spans="2:7" x14ac:dyDescent="0.25">
      <c r="F72" s="25" t="s">
        <v>118</v>
      </c>
      <c r="G72" s="19" t="str">
        <f>'Output to other models'!$B$31</f>
        <v>Outputs for EDCM</v>
      </c>
    </row>
    <row r="73" spans="2:7" x14ac:dyDescent="0.25">
      <c r="F73" s="25" t="s">
        <v>118</v>
      </c>
      <c r="G73" s="19" t="str">
        <f>'Output to other models'!$B$61</f>
        <v>Outputs for users' internal use</v>
      </c>
    </row>
    <row r="75" spans="2:7" x14ac:dyDescent="0.25">
      <c r="B75" s="85" t="s">
        <v>120</v>
      </c>
      <c r="C75" s="85"/>
      <c r="D75" s="85"/>
      <c r="E75" s="85"/>
      <c r="F75" s="85"/>
      <c r="G75" s="85"/>
    </row>
    <row r="77" spans="2:7" x14ac:dyDescent="0.25">
      <c r="C77" s="86" t="s">
        <v>121</v>
      </c>
    </row>
    <row r="79" spans="2:7" ht="15.75" thickBot="1" x14ac:dyDescent="0.3">
      <c r="F79" s="87" t="s">
        <v>114</v>
      </c>
      <c r="G79" s="88" t="s">
        <v>115</v>
      </c>
    </row>
    <row r="80" spans="2:7" ht="15.75" thickTop="1" x14ac:dyDescent="0.25">
      <c r="F80" s="21" t="s">
        <v>55</v>
      </c>
      <c r="G80" s="19" t="str">
        <f ca="1">'Fixed inputs'!$C$13</f>
        <v>Input 101-A: Conversions and time</v>
      </c>
    </row>
    <row r="81" spans="6:7" x14ac:dyDescent="0.25">
      <c r="F81" s="26" t="s">
        <v>118</v>
      </c>
      <c r="G81" s="19" t="str">
        <f ca="1">'Fixed inputs'!$C$21</f>
        <v>Input 101-B: Input 101-B: Rounding</v>
      </c>
    </row>
    <row r="82" spans="6:7" x14ac:dyDescent="0.25">
      <c r="F82" s="26" t="s">
        <v>118</v>
      </c>
      <c r="G82" s="19" t="str">
        <f ca="1">'Fixed inputs'!$C$34</f>
        <v>Input 101-C: Financial and general assumptions</v>
      </c>
    </row>
    <row r="83" spans="6:7" x14ac:dyDescent="0.25">
      <c r="F83" s="26" t="s">
        <v>118</v>
      </c>
      <c r="G83" s="19" t="str">
        <f ca="1">'Fixed inputs'!$C$44</f>
        <v>Input 101-D: Mappings</v>
      </c>
    </row>
    <row r="84" spans="6:7" x14ac:dyDescent="0.25">
      <c r="F84" s="26" t="s">
        <v>118</v>
      </c>
      <c r="G84" s="19" t="str">
        <f ca="1">'Fixed inputs'!$C$85</f>
        <v>Input 101-E: Standing charge factors</v>
      </c>
    </row>
    <row r="85" spans="6:7" x14ac:dyDescent="0.25">
      <c r="F85" s="26" t="s">
        <v>118</v>
      </c>
      <c r="G85" s="19" t="str">
        <f ca="1">'Fixed inputs'!$C$100</f>
        <v>Input 101-F: Flags</v>
      </c>
    </row>
    <row r="86" spans="6:7" x14ac:dyDescent="0.25">
      <c r="F86" s="26" t="s">
        <v>118</v>
      </c>
      <c r="G86" s="19" t="str">
        <f ca="1">'Fixed inputs'!$C$142</f>
        <v>Input 101-G: Identifiers for customer groupings</v>
      </c>
    </row>
    <row r="87" spans="6:7" x14ac:dyDescent="0.25">
      <c r="F87" s="26" t="s">
        <v>118</v>
      </c>
      <c r="G87" s="19" t="str">
        <f ca="1">'Fixed inputs'!$C$152</f>
        <v>Input 101-H: Decimal places for error checks</v>
      </c>
    </row>
    <row r="88" spans="6:7" x14ac:dyDescent="0.25">
      <c r="F88" s="26" t="s">
        <v>118</v>
      </c>
      <c r="G88" s="19" t="str">
        <f ca="1">'Fixed inputs'!$C$156</f>
        <v>Input 101-I: Map of applicable MPANs</v>
      </c>
    </row>
    <row r="89" spans="6:7" ht="15.75" thickBot="1" x14ac:dyDescent="0.3">
      <c r="F89" s="26" t="s">
        <v>118</v>
      </c>
      <c r="G89" s="19" t="str">
        <f ca="1">'Fixed inputs'!$C$162</f>
        <v>Input 101-J: Revenue matching inputs</v>
      </c>
    </row>
    <row r="90" spans="6:7" ht="15.75" thickTop="1" x14ac:dyDescent="0.25">
      <c r="F90" s="21" t="s">
        <v>58</v>
      </c>
      <c r="G90" s="19" t="str">
        <f ca="1">'Inputs by customer type'!$C$13</f>
        <v>Input 102-A: Load characteristics</v>
      </c>
    </row>
    <row r="91" spans="6:7" x14ac:dyDescent="0.25">
      <c r="F91" s="26" t="s">
        <v>118</v>
      </c>
      <c r="G91" s="19" t="str">
        <f ca="1">'Inputs by customer type'!$C$18</f>
        <v>Input 102-B: Volume forecasts for the charging year</v>
      </c>
    </row>
    <row r="92" spans="6:7" x14ac:dyDescent="0.25">
      <c r="F92" s="26" t="s">
        <v>118</v>
      </c>
      <c r="G92" s="19" t="str">
        <f ca="1">'Inputs by customer type'!$C$163</f>
        <v>Input 102-C: Non-Domestic Aggregated (Related MPAN) distribution by bands</v>
      </c>
    </row>
    <row r="93" spans="6:7" x14ac:dyDescent="0.25">
      <c r="F93" s="26" t="s">
        <v>118</v>
      </c>
      <c r="G93" s="19" t="str">
        <f ca="1">'Inputs by customer type'!$C$183</f>
        <v>Input 102-D: Service model asset values</v>
      </c>
    </row>
    <row r="94" spans="6:7" x14ac:dyDescent="0.25">
      <c r="F94" s="26" t="s">
        <v>118</v>
      </c>
      <c r="G94" s="19" t="str">
        <f ca="1">'Inputs by customer type'!$C$192</f>
        <v>Input 102-E: Previous year all-the-way tariff forecast</v>
      </c>
    </row>
    <row r="95" spans="6:7" ht="15.75" thickBot="1" x14ac:dyDescent="0.3">
      <c r="F95" s="26" t="s">
        <v>118</v>
      </c>
      <c r="G95" s="19" t="str">
        <f ca="1">'Inputs by customer type'!$C$206</f>
        <v>Input 102-F: Previous year net revenue (if known)</v>
      </c>
    </row>
    <row r="96" spans="6:7" ht="15.75" thickTop="1" x14ac:dyDescent="0.25">
      <c r="F96" s="21" t="s">
        <v>60</v>
      </c>
      <c r="G96" s="19" t="str">
        <f ca="1">'Inputs by network level'!$C$13</f>
        <v>Input 103-A: Network and load inputs</v>
      </c>
    </row>
    <row r="97" spans="6:7" x14ac:dyDescent="0.25">
      <c r="F97" s="26" t="s">
        <v>118</v>
      </c>
      <c r="G97" s="19" t="str">
        <f ca="1">'Inputs by network level'!$C$23</f>
        <v>Input 103-B: Customer contributions under current connection charging policy</v>
      </c>
    </row>
    <row r="98" spans="6:7" x14ac:dyDescent="0.25">
      <c r="F98" s="26" t="s">
        <v>118</v>
      </c>
      <c r="G98" s="19" t="str">
        <f ca="1">'Inputs by network level'!$C$31</f>
        <v>Input 103-C: DRM asset costs</v>
      </c>
    </row>
    <row r="99" spans="6:7" ht="15.75" thickBot="1" x14ac:dyDescent="0.3">
      <c r="F99" s="26" t="s">
        <v>118</v>
      </c>
      <c r="G99" s="19" t="str">
        <f ca="1">'Inputs by network level'!$C$35</f>
        <v>Input 103-D: Peaking probabilities by network level</v>
      </c>
    </row>
    <row r="100" spans="6:7" ht="15.75" thickTop="1" x14ac:dyDescent="0.25">
      <c r="F100" s="21" t="s">
        <v>62</v>
      </c>
      <c r="G100" s="19" t="str">
        <f ca="1">'General inputs'!$C$13</f>
        <v>Input 104-A: Inputs by distribution timeband</v>
      </c>
    </row>
    <row r="101" spans="6:7" x14ac:dyDescent="0.25">
      <c r="F101" s="26" t="s">
        <v>118</v>
      </c>
      <c r="G101" s="19" t="str">
        <f ca="1">'General inputs'!$C$25</f>
        <v>Input 104-B: LDNO discount inputs</v>
      </c>
    </row>
    <row r="102" spans="6:7" x14ac:dyDescent="0.25">
      <c r="F102" s="26" t="s">
        <v>118</v>
      </c>
      <c r="G102" s="19" t="str">
        <f ca="1">'General inputs'!$C$35</f>
        <v>Input 104-C: CDCM target revenue</v>
      </c>
    </row>
    <row r="103" spans="6:7" x14ac:dyDescent="0.25">
      <c r="F103" s="26" t="s">
        <v>118</v>
      </c>
      <c r="G103" s="19" t="str">
        <f ca="1">'General inputs'!$C$94</f>
        <v>Input 104-D: Financial and general assumptions</v>
      </c>
    </row>
    <row r="104" spans="6:7" x14ac:dyDescent="0.25">
      <c r="F104" s="26" t="s">
        <v>118</v>
      </c>
      <c r="G104" s="19" t="str">
        <f ca="1">'General inputs'!$C$100</f>
        <v>Input 104-E: Transmission exit charges</v>
      </c>
    </row>
    <row r="105" spans="6:7" ht="15.75" thickBot="1" x14ac:dyDescent="0.3">
      <c r="F105" s="26" t="s">
        <v>118</v>
      </c>
      <c r="G105" s="19" t="str">
        <f ca="1">'General inputs'!$C$104</f>
        <v>Input 104-F: Other expenditure</v>
      </c>
    </row>
    <row r="106" spans="6:7" ht="16.5" thickTop="1" thickBot="1" x14ac:dyDescent="0.3">
      <c r="F106" s="22" t="s">
        <v>122</v>
      </c>
      <c r="G106" s="19" t="str">
        <f ca="1">'Standing charge factors'!$C$19</f>
        <v>Section 101-A: Adjustments to standing charges</v>
      </c>
    </row>
    <row r="107" spans="6:7" ht="15.75" thickTop="1" x14ac:dyDescent="0.25">
      <c r="F107" s="22" t="s">
        <v>66</v>
      </c>
      <c r="G107" s="19" t="str">
        <f ca="1">'Load &amp; loss characteristics'!$C$17</f>
        <v>Section 102-A: Load characteristics</v>
      </c>
    </row>
    <row r="108" spans="6:7" x14ac:dyDescent="0.25">
      <c r="F108" s="23" t="s">
        <v>118</v>
      </c>
      <c r="G108" s="19" t="str">
        <f ca="1">'Load &amp; loss characteristics'!$C$25</f>
        <v>Section 102-B: Loss adjustment factors</v>
      </c>
    </row>
    <row r="109" spans="6:7" x14ac:dyDescent="0.25">
      <c r="F109" s="23" t="s">
        <v>118</v>
      </c>
      <c r="G109" s="19" t="str">
        <f ca="1">'Load &amp; loss characteristics'!$C$35</f>
        <v>Section 102-C: Proportion of relevant load going through 132kV/HV direct transformation</v>
      </c>
    </row>
    <row r="110" spans="6:7" x14ac:dyDescent="0.25">
      <c r="F110" s="23" t="s">
        <v>118</v>
      </c>
      <c r="G110" s="19" t="str">
        <f ca="1">'Load &amp; loss characteristics'!$C$40</f>
        <v>Section 102-D: Network use factors</v>
      </c>
    </row>
    <row r="111" spans="6:7" ht="15.75" thickBot="1" x14ac:dyDescent="0.3">
      <c r="F111" s="23" t="s">
        <v>118</v>
      </c>
      <c r="G111" s="19" t="str">
        <f ca="1">'Load &amp; loss characteristics'!$C$121</f>
        <v>Section 102-E: User loss factors</v>
      </c>
    </row>
    <row r="112" spans="6:7" ht="15.75" thickTop="1" x14ac:dyDescent="0.25">
      <c r="F112" s="22" t="s">
        <v>68</v>
      </c>
      <c r="G112" s="19" t="str">
        <f ca="1">'Customer contributions'!$C$16</f>
        <v>Section 103-A: Network use factors</v>
      </c>
    </row>
    <row r="113" spans="6:7" ht="15.75" thickBot="1" x14ac:dyDescent="0.3">
      <c r="F113" s="23" t="s">
        <v>118</v>
      </c>
      <c r="G113" s="19" t="str">
        <f ca="1">'Customer contributions'!$C$38</f>
        <v>Section 103-B: Customer contributions</v>
      </c>
    </row>
    <row r="114" spans="6:7" ht="15.75" thickTop="1" x14ac:dyDescent="0.25">
      <c r="F114" s="22" t="s">
        <v>70</v>
      </c>
      <c r="G114" s="19" t="str">
        <f ca="1">'Volume adjustments'!$C$15</f>
        <v>Section 104-A: LDNO discounts</v>
      </c>
    </row>
    <row r="115" spans="6:7" x14ac:dyDescent="0.25">
      <c r="F115" s="23" t="s">
        <v>118</v>
      </c>
      <c r="G115" s="19" t="str">
        <f ca="1">'Volume adjustments'!$C$53</f>
        <v>Section 104-B: Aggregation of volumes</v>
      </c>
    </row>
    <row r="116" spans="6:7" x14ac:dyDescent="0.25">
      <c r="F116" s="23" t="s">
        <v>118</v>
      </c>
      <c r="G116" s="19" t="str">
        <f ca="1">'Volume adjustments'!$C$225</f>
        <v>Section 104-C: Volume discounting</v>
      </c>
    </row>
    <row r="117" spans="6:7" x14ac:dyDescent="0.25">
      <c r="F117" s="23" t="s">
        <v>118</v>
      </c>
      <c r="G117" s="19" t="str">
        <f ca="1">'Volume adjustments'!$C$332</f>
        <v>Section 104-D: No residual volume discounting</v>
      </c>
    </row>
    <row r="118" spans="6:7" x14ac:dyDescent="0.25">
      <c r="F118" s="23" t="s">
        <v>118</v>
      </c>
      <c r="G118" s="19" t="str">
        <f ca="1">'Volume adjustments'!$C$361</f>
        <v>Section 104-E: Residual band 1 volume discounting</v>
      </c>
    </row>
    <row r="119" spans="6:7" x14ac:dyDescent="0.25">
      <c r="F119" s="23" t="s">
        <v>118</v>
      </c>
      <c r="G119" s="19" t="str">
        <f ca="1">'Volume adjustments'!$C$390</f>
        <v>Section 104-F: Residual band 2 volume discounting</v>
      </c>
    </row>
    <row r="120" spans="6:7" x14ac:dyDescent="0.25">
      <c r="F120" s="23" t="s">
        <v>118</v>
      </c>
      <c r="G120" s="19" t="str">
        <f ca="1">'Volume adjustments'!$C$419</f>
        <v>Section 104-G: Residual band 3 volume discounting</v>
      </c>
    </row>
    <row r="121" spans="6:7" x14ac:dyDescent="0.25">
      <c r="F121" s="23" t="s">
        <v>118</v>
      </c>
      <c r="G121" s="19" t="str">
        <f ca="1">'Volume adjustments'!$C$448</f>
        <v>Section 104-H: Residual band 4 volume discounting</v>
      </c>
    </row>
    <row r="122" spans="6:7" x14ac:dyDescent="0.25">
      <c r="F122" s="23" t="s">
        <v>118</v>
      </c>
      <c r="G122" s="19" t="str">
        <f ca="1">'Volume adjustments'!$C$477</f>
        <v>Section 104-I: Discounted volumes by residual band</v>
      </c>
    </row>
    <row r="123" spans="6:7" x14ac:dyDescent="0.25">
      <c r="F123" s="23" t="s">
        <v>118</v>
      </c>
      <c r="G123" s="19" t="str">
        <f ca="1">'Volume adjustments'!$C$523</f>
        <v>Section 104-J: Volumes by residual band</v>
      </c>
    </row>
    <row r="124" spans="6:7" ht="15.75" thickBot="1" x14ac:dyDescent="0.3">
      <c r="F124" s="23" t="s">
        <v>118</v>
      </c>
      <c r="G124" s="19" t="str">
        <f ca="1">'Volume adjustments'!$C$657</f>
        <v>Section 104-K: Non-domestic aggregated (related MPAN) distribution across bands</v>
      </c>
    </row>
    <row r="125" spans="6:7" ht="15.75" thickTop="1" x14ac:dyDescent="0.25">
      <c r="F125" s="22" t="s">
        <v>72</v>
      </c>
      <c r="G125" s="19" t="str">
        <f ca="1">'Pseudo-load coefficients'!$C$18</f>
        <v>Section 105-A: Flags and hours in timebands</v>
      </c>
    </row>
    <row r="126" spans="6:7" x14ac:dyDescent="0.25">
      <c r="F126" s="23" t="s">
        <v>118</v>
      </c>
      <c r="G126" s="19" t="str">
        <f ca="1">'Pseudo-load coefficients'!$C$28</f>
        <v>Section 105-B: Average load by timeband</v>
      </c>
    </row>
    <row r="127" spans="6:7" x14ac:dyDescent="0.25">
      <c r="F127" s="23" t="s">
        <v>118</v>
      </c>
      <c r="G127" s="19" t="str">
        <f ca="1">'Pseudo-load coefficients'!$C$36</f>
        <v>Section 105-C: Aggregated groups for pseudo-load coefficients</v>
      </c>
    </row>
    <row r="128" spans="6:7" x14ac:dyDescent="0.25">
      <c r="F128" s="23" t="s">
        <v>118</v>
      </c>
      <c r="G128" s="19" t="str">
        <f ca="1">'Pseudo-load coefficients'!$C$52</f>
        <v>Section 105-D: Ratio of coincidence to load factor assuming units evenly spread within time bands, and peak falls in Red period</v>
      </c>
    </row>
    <row r="129" spans="6:7" x14ac:dyDescent="0.25">
      <c r="F129" s="23" t="s">
        <v>118</v>
      </c>
      <c r="G129" s="19" t="str">
        <f ca="1">'Pseudo-load coefficients'!$C$60</f>
        <v>Section 105-E: Load characteristics for all customers</v>
      </c>
    </row>
    <row r="130" spans="6:7" x14ac:dyDescent="0.25">
      <c r="F130" s="23" t="s">
        <v>118</v>
      </c>
      <c r="G130" s="19" t="str">
        <f ca="1">'Pseudo-load coefficients'!$C$65</f>
        <v>Section 105-F: Aggregated load characteristics for grouped customers</v>
      </c>
    </row>
    <row r="131" spans="6:7" x14ac:dyDescent="0.25">
      <c r="F131" s="23" t="s">
        <v>118</v>
      </c>
      <c r="G131" s="19" t="str">
        <f ca="1">'Pseudo-load coefficients'!$C$87</f>
        <v>Section 105-G: Calculation of correction factor</v>
      </c>
    </row>
    <row r="132" spans="6:7" x14ac:dyDescent="0.25">
      <c r="F132" s="23" t="s">
        <v>118</v>
      </c>
      <c r="G132" s="19" t="str">
        <f ca="1">'Pseudo-load coefficients'!$C$100</f>
        <v>Section 105-H: Peaking probabilities, by network level</v>
      </c>
    </row>
    <row r="133" spans="6:7" x14ac:dyDescent="0.25">
      <c r="F133" s="23" t="s">
        <v>118</v>
      </c>
      <c r="G133" s="19" t="str">
        <f ca="1">'Pseudo-load coefficients'!$C$174</f>
        <v>Section 105-I: Peaking probabilities, by network level and customer type</v>
      </c>
    </row>
    <row r="134" spans="6:7" x14ac:dyDescent="0.25">
      <c r="F134" s="23" t="s">
        <v>118</v>
      </c>
      <c r="G134" s="19" t="str">
        <f ca="1">'Pseudo-load coefficients'!$C$221</f>
        <v>Section 105-J: Ratio of coincidence factor to load factor, based on uniform distribution in timebands and peaking probabilities</v>
      </c>
    </row>
    <row r="135" spans="6:7" x14ac:dyDescent="0.25">
      <c r="F135" s="23" t="s">
        <v>118</v>
      </c>
      <c r="G135" s="19" t="str">
        <f ca="1">'Pseudo-load coefficients'!$C$265</f>
        <v>Section 105-K: Load coefficient</v>
      </c>
    </row>
    <row r="136" spans="6:7" ht="15.75" thickBot="1" x14ac:dyDescent="0.3">
      <c r="F136" s="23" t="s">
        <v>118</v>
      </c>
      <c r="G136" s="19" t="str">
        <f ca="1">'Pseudo-load coefficients'!$C$269</f>
        <v>Section 105-L: Pseudo load coefficients, by unit rate</v>
      </c>
    </row>
    <row r="137" spans="6:7" ht="15.75" thickTop="1" x14ac:dyDescent="0.25">
      <c r="F137" s="22" t="s">
        <v>74</v>
      </c>
      <c r="G137" s="19" t="str">
        <f ca="1">'System peak demand'!$C$18</f>
        <v>Section 106-A: Common inputs for chargeable load calculations</v>
      </c>
    </row>
    <row r="138" spans="6:7" x14ac:dyDescent="0.25">
      <c r="F138" s="23" t="s">
        <v>118</v>
      </c>
      <c r="G138" s="19" t="str">
        <f ca="1">'System peak demand'!$C$67</f>
        <v>Section 106-B: System peak load, by unit rate</v>
      </c>
    </row>
    <row r="139" spans="6:7" x14ac:dyDescent="0.25">
      <c r="F139" s="23" t="s">
        <v>118</v>
      </c>
      <c r="G139" s="19" t="str">
        <f ca="1">'System peak demand'!$C$138</f>
        <v>Section 106-C: System peak load, all unit rates</v>
      </c>
    </row>
    <row r="140" spans="6:7" x14ac:dyDescent="0.25">
      <c r="F140" s="23" t="s">
        <v>118</v>
      </c>
      <c r="G140" s="19" t="str">
        <f ca="1">'System peak demand'!$C$164</f>
        <v>Section 106-D: Unit rate contributions to chargeable peak load</v>
      </c>
    </row>
    <row r="141" spans="6:7" x14ac:dyDescent="0.25">
      <c r="F141" s="23" t="s">
        <v>118</v>
      </c>
      <c r="G141" s="19" t="str">
        <f ca="1">'System peak demand'!$C$184</f>
        <v>Section 106-E: Adjustment of import and exceeded capacity</v>
      </c>
    </row>
    <row r="142" spans="6:7" x14ac:dyDescent="0.25">
      <c r="F142" s="23" t="s">
        <v>118</v>
      </c>
      <c r="G142" s="19" t="str">
        <f ca="1">'System peak demand'!$C$194</f>
        <v>Section 106-F: Calculation of LV circuit diversity factor</v>
      </c>
    </row>
    <row r="143" spans="6:7" x14ac:dyDescent="0.25">
      <c r="F143" s="23" t="s">
        <v>118</v>
      </c>
      <c r="G143" s="19" t="str">
        <f ca="1">'System peak demand'!$C$236</f>
        <v>Section 106-G: Import/exceeded capacity contribution to system peak</v>
      </c>
    </row>
    <row r="144" spans="6:7" x14ac:dyDescent="0.25">
      <c r="F144" s="23" t="s">
        <v>118</v>
      </c>
      <c r="G144" s="19" t="str">
        <f ca="1">'System peak demand'!$C$249</f>
        <v>Section 106-H: Estimated capacity contribution to system peak</v>
      </c>
    </row>
    <row r="145" spans="6:7" ht="15.75" thickBot="1" x14ac:dyDescent="0.3">
      <c r="F145" s="23" t="s">
        <v>118</v>
      </c>
      <c r="G145" s="19" t="str">
        <f ca="1">'System peak demand'!$C$266</f>
        <v>Section 106-I: System peak based on chargeable load</v>
      </c>
    </row>
    <row r="146" spans="6:7" ht="16.5" thickTop="1" thickBot="1" x14ac:dyDescent="0.3">
      <c r="F146" s="22" t="s">
        <v>76</v>
      </c>
      <c r="G146" s="19" t="str">
        <f ca="1">'Service model assets'!$C$14</f>
        <v>Section 107-A: Service model notional asset values</v>
      </c>
    </row>
    <row r="147" spans="6:7" ht="15.75" thickTop="1" x14ac:dyDescent="0.25">
      <c r="F147" s="22" t="s">
        <v>78</v>
      </c>
      <c r="G147" s="19" t="str">
        <f ca="1">'Unit costs'!$C$19</f>
        <v>Section 108-A: Financial data</v>
      </c>
    </row>
    <row r="148" spans="6:7" x14ac:dyDescent="0.25">
      <c r="F148" s="23" t="s">
        <v>118</v>
      </c>
      <c r="G148" s="19" t="str">
        <f ca="1">'Unit costs'!$C$27</f>
        <v>Section 108-B: Diversity and loss adjustment factors</v>
      </c>
    </row>
    <row r="149" spans="6:7" x14ac:dyDescent="0.25">
      <c r="F149" s="23" t="s">
        <v>118</v>
      </c>
      <c r="G149" s="19" t="str">
        <f ca="1">'Unit costs'!$C$35</f>
        <v>Section 108-C: Maximum demand</v>
      </c>
    </row>
    <row r="150" spans="6:7" x14ac:dyDescent="0.25">
      <c r="F150" s="23" t="s">
        <v>118</v>
      </c>
      <c r="G150" s="19" t="str">
        <f ca="1">'Unit costs'!$C$42</f>
        <v>Section 108-D: Rerouting matrix</v>
      </c>
    </row>
    <row r="151" spans="6:7" x14ac:dyDescent="0.25">
      <c r="F151" s="23" t="s">
        <v>118</v>
      </c>
      <c r="G151" s="19" t="str">
        <f ca="1">'Unit costs'!$C$50</f>
        <v>Section 108-E: Annuitised cost of assets</v>
      </c>
    </row>
    <row r="152" spans="6:7" x14ac:dyDescent="0.25">
      <c r="F152" s="23" t="s">
        <v>118</v>
      </c>
      <c r="G152" s="19" t="str">
        <f ca="1">'Unit costs'!$C$62</f>
        <v>Section 108-F: System simultaneous peak load based on chargeable units</v>
      </c>
    </row>
    <row r="153" spans="6:7" x14ac:dyDescent="0.25">
      <c r="F153" s="23" t="s">
        <v>118</v>
      </c>
      <c r="G153" s="19" t="str">
        <f ca="1">'Unit costs'!$C$69</f>
        <v>Section 108-G: Notional asset values, by network level</v>
      </c>
    </row>
    <row r="154" spans="6:7" x14ac:dyDescent="0.25">
      <c r="F154" s="23" t="s">
        <v>118</v>
      </c>
      <c r="G154" s="19" t="str">
        <f ca="1">'Unit costs'!$C$80</f>
        <v>Section 108-H: Other operating costs</v>
      </c>
    </row>
    <row r="155" spans="6:7" x14ac:dyDescent="0.25">
      <c r="F155" s="23" t="s">
        <v>118</v>
      </c>
      <c r="G155" s="19" t="str">
        <f ca="1">'Unit costs'!$C$92</f>
        <v>Section 108-I: Other operating costs by network level</v>
      </c>
    </row>
    <row r="156" spans="6:7" x14ac:dyDescent="0.25">
      <c r="F156" s="23" t="s">
        <v>118</v>
      </c>
      <c r="G156" s="19" t="str">
        <f ca="1">'Unit costs'!$C$104</f>
        <v>Section 108-J: Notional asset values by network level</v>
      </c>
    </row>
    <row r="157" spans="6:7" x14ac:dyDescent="0.25">
      <c r="F157" s="23" t="s">
        <v>118</v>
      </c>
      <c r="G157" s="19" t="str">
        <f ca="1">'Unit costs'!$C$110</f>
        <v>Section 108-K: Unit costs</v>
      </c>
    </row>
    <row r="158" spans="6:7" ht="15.75" thickBot="1" x14ac:dyDescent="0.3">
      <c r="F158" s="23" t="s">
        <v>118</v>
      </c>
      <c r="G158" s="19" t="str">
        <f ca="1">'Unit costs'!$C$117</f>
        <v>Section 108-L: Values used for allocating costs to service models</v>
      </c>
    </row>
    <row r="159" spans="6:7" ht="15.75" thickTop="1" x14ac:dyDescent="0.25">
      <c r="F159" s="22" t="s">
        <v>80</v>
      </c>
      <c r="G159" s="19" t="str">
        <f ca="1">'Initial unit rates'!$C$13</f>
        <v>Section 109-A: Inputs for yardstick and unit rate calculations</v>
      </c>
    </row>
    <row r="160" spans="6:7" x14ac:dyDescent="0.25">
      <c r="F160" s="23" t="s">
        <v>118</v>
      </c>
      <c r="G160" s="19" t="str">
        <f ca="1">'Initial unit rates'!$C$118</f>
        <v>Section 109-B: Yardstick charges</v>
      </c>
    </row>
    <row r="161" spans="6:7" x14ac:dyDescent="0.25">
      <c r="F161" s="23" t="s">
        <v>118</v>
      </c>
      <c r="G161" s="19" t="str">
        <f ca="1">'Initial unit rates'!$C$146</f>
        <v>Section 109-C: Unit rate 1</v>
      </c>
    </row>
    <row r="162" spans="6:7" x14ac:dyDescent="0.25">
      <c r="F162" s="23" t="s">
        <v>118</v>
      </c>
      <c r="G162" s="19" t="str">
        <f ca="1">'Initial unit rates'!$C$175</f>
        <v>Section 109-D: Unit rate 2</v>
      </c>
    </row>
    <row r="163" spans="6:7" ht="15.75" thickBot="1" x14ac:dyDescent="0.3">
      <c r="F163" s="23" t="s">
        <v>118</v>
      </c>
      <c r="G163" s="19" t="str">
        <f ca="1">'Initial unit rates'!$C$204</f>
        <v>Section 109-E: Unit rate 3</v>
      </c>
    </row>
    <row r="164" spans="6:7" ht="15.75" thickTop="1" x14ac:dyDescent="0.25">
      <c r="F164" s="22" t="s">
        <v>82</v>
      </c>
      <c r="G164" s="19" t="str">
        <f ca="1">'Service model charges'!$C$17</f>
        <v>Section 110-A: Inputs to service model charge calculation</v>
      </c>
    </row>
    <row r="165" spans="6:7" x14ac:dyDescent="0.25">
      <c r="F165" s="23" t="s">
        <v>118</v>
      </c>
      <c r="G165" s="19" t="str">
        <f ca="1">'Service model charges'!$C$33</f>
        <v>Section 110-B: Calculation of other operating expenditure per £ of notional asset value</v>
      </c>
    </row>
    <row r="166" spans="6:7" ht="15.75" thickBot="1" x14ac:dyDescent="0.3">
      <c r="F166" s="23" t="s">
        <v>118</v>
      </c>
      <c r="G166" s="19" t="str">
        <f ca="1">'Service model charges'!$C$37</f>
        <v>Section 110-C: Calculation of service model charges</v>
      </c>
    </row>
    <row r="167" spans="6:7" ht="15.75" thickTop="1" x14ac:dyDescent="0.25">
      <c r="F167" s="22" t="s">
        <v>84</v>
      </c>
      <c r="G167" s="19" t="str">
        <f ca="1">'Unit rate charges'!$C$19</f>
        <v>Section 111-A: Initial unit rate 1</v>
      </c>
    </row>
    <row r="168" spans="6:7" x14ac:dyDescent="0.25">
      <c r="F168" s="23" t="s">
        <v>118</v>
      </c>
      <c r="G168" s="19" t="str">
        <f ca="1">'Unit rate charges'!$C$49</f>
        <v>Section 111-B: Initial unit rate 2</v>
      </c>
    </row>
    <row r="169" spans="6:7" x14ac:dyDescent="0.25">
      <c r="F169" s="23" t="s">
        <v>118</v>
      </c>
      <c r="G169" s="19" t="str">
        <f ca="1">'Unit rate charges'!$C$79</f>
        <v>Section 111-C: Initial unit rate 3</v>
      </c>
    </row>
    <row r="170" spans="6:7" x14ac:dyDescent="0.25">
      <c r="F170" s="23" t="s">
        <v>118</v>
      </c>
      <c r="G170" s="19" t="str">
        <f ca="1">'Unit rate charges'!$C$109</f>
        <v>Section 111-D: Standing charge factors</v>
      </c>
    </row>
    <row r="171" spans="6:7" x14ac:dyDescent="0.25">
      <c r="F171" s="23" t="s">
        <v>118</v>
      </c>
      <c r="G171" s="19" t="str">
        <f ca="1">'Unit rate charges'!$C$124</f>
        <v>Section 111-E: Contributions to unit rate 1 p/kWh by network level (taking account of standing charges)</v>
      </c>
    </row>
    <row r="172" spans="6:7" x14ac:dyDescent="0.25">
      <c r="F172" s="23" t="s">
        <v>118</v>
      </c>
      <c r="G172" s="19" t="str">
        <f ca="1">'Unit rate charges'!$C$154</f>
        <v>Section 111-F: Contributions to unit rate 2 p/kWh by network level (taking account of standing charges)</v>
      </c>
    </row>
    <row r="173" spans="6:7" x14ac:dyDescent="0.25">
      <c r="F173" s="23" t="s">
        <v>118</v>
      </c>
      <c r="G173" s="19" t="str">
        <f ca="1">'Unit rate charges'!$C$184</f>
        <v>Section 111-G: Contributions to unit rate 3 p/kWh by network level (taking account of standing charges)</v>
      </c>
    </row>
    <row r="174" spans="6:7" ht="15.75" thickBot="1" x14ac:dyDescent="0.3">
      <c r="F174" s="23" t="s">
        <v>118</v>
      </c>
      <c r="G174" s="19" t="str">
        <f ca="1">'Unit rate charges'!$C$214</f>
        <v>Section 111-H: Unit rates, post application of standing charges</v>
      </c>
    </row>
    <row r="175" spans="6:7" ht="15.75" thickTop="1" x14ac:dyDescent="0.25">
      <c r="F175" s="22" t="s">
        <v>88</v>
      </c>
      <c r="G175" s="19" t="str">
        <f ca="1">'Capacity charges'!$C$19</f>
        <v>Section 112-A: Inputs to capacity charge calculations</v>
      </c>
    </row>
    <row r="176" spans="6:7" x14ac:dyDescent="0.25">
      <c r="F176" s="23" t="s">
        <v>118</v>
      </c>
      <c r="G176" s="19" t="str">
        <f ca="1">'Capacity charges'!$C$129</f>
        <v>Section 112-B: Capacity-based charge elements (to be split between capacity &amp; fixed charges)</v>
      </c>
    </row>
    <row r="177" spans="6:7" x14ac:dyDescent="0.25">
      <c r="F177" s="23" t="s">
        <v>118</v>
      </c>
      <c r="G177" s="19" t="str">
        <f ca="1">'Capacity charges'!$C$159</f>
        <v>Section 112-C: Exceeded capacity-based charge elements</v>
      </c>
    </row>
    <row r="178" spans="6:7" x14ac:dyDescent="0.25">
      <c r="F178" s="23" t="s">
        <v>118</v>
      </c>
      <c r="G178" s="19" t="str">
        <f ca="1">'Capacity charges'!$C$189</f>
        <v>Section 112-D: Capacity charges for eligible customers, by network level</v>
      </c>
    </row>
    <row r="179" spans="6:7" x14ac:dyDescent="0.25">
      <c r="F179" s="23" t="s">
        <v>118</v>
      </c>
      <c r="G179" s="19" t="str">
        <f ca="1">'Capacity charges'!$C$219</f>
        <v>Section 112-E: Exceeded capacity charges for eligible customers, by network level</v>
      </c>
    </row>
    <row r="180" spans="6:7" x14ac:dyDescent="0.25">
      <c r="F180" s="23" t="s">
        <v>118</v>
      </c>
      <c r="G180" s="19" t="str">
        <f ca="1">'Capacity charges'!$C$254</f>
        <v>Section 112-F: Capacity and exceeded capacity charges</v>
      </c>
    </row>
    <row r="181" spans="6:7" ht="15.75" thickBot="1" x14ac:dyDescent="0.3">
      <c r="F181" s="23" t="s">
        <v>118</v>
      </c>
      <c r="G181" s="19" t="str">
        <f ca="1">'Capacity charges'!$C$259</f>
        <v>Section 112-G: Capacity elements allocated to fixed charges</v>
      </c>
    </row>
    <row r="182" spans="6:7" ht="15.75" thickTop="1" x14ac:dyDescent="0.25">
      <c r="F182" s="22" t="s">
        <v>86</v>
      </c>
      <c r="G182" s="19" t="str">
        <f ca="1">'Reactive power charges'!$C$17</f>
        <v>Section 113-A: Inputs to reactive power charge calculations</v>
      </c>
    </row>
    <row r="183" spans="6:7" x14ac:dyDescent="0.25">
      <c r="F183" s="23" t="s">
        <v>118</v>
      </c>
      <c r="G183" s="19" t="str">
        <f ca="1">'Reactive power charges'!$C$120</f>
        <v>Section 113-B: Yardstick charge (demand)</v>
      </c>
    </row>
    <row r="184" spans="6:7" x14ac:dyDescent="0.25">
      <c r="F184" s="23" t="s">
        <v>118</v>
      </c>
      <c r="G184" s="19" t="str">
        <f ca="1">'Reactive power charges'!$C$155</f>
        <v>Section 113-C: Yardstick charge used for generation</v>
      </c>
    </row>
    <row r="185" spans="6:7" x14ac:dyDescent="0.25">
      <c r="F185" s="23" t="s">
        <v>118</v>
      </c>
      <c r="G185" s="19" t="str">
        <f ca="1">'Reactive power charges'!$C$190</f>
        <v>Section 113-D: Reactive power charges, all customer categories</v>
      </c>
    </row>
    <row r="186" spans="6:7" ht="15.75" thickBot="1" x14ac:dyDescent="0.3">
      <c r="F186" s="23" t="s">
        <v>118</v>
      </c>
      <c r="G186" s="19" t="str">
        <f ca="1">'Reactive power charges'!$C$220</f>
        <v>Section 113-E: Reactive power charges for applicable customers</v>
      </c>
    </row>
    <row r="187" spans="6:7" ht="15.75" thickTop="1" x14ac:dyDescent="0.25">
      <c r="F187" s="22" t="s">
        <v>90</v>
      </c>
      <c r="G187" s="19" t="str">
        <f ca="1">'Fixed charges'!$C$16</f>
        <v>Section 114-A: Volumes (discounted MPANs &amp; maximum load)</v>
      </c>
    </row>
    <row r="188" spans="6:7" x14ac:dyDescent="0.25">
      <c r="F188" s="23" t="s">
        <v>118</v>
      </c>
      <c r="G188" s="19" t="str">
        <f ca="1">'Fixed charges'!$C$22</f>
        <v>Section 114-B: Capacity elements allocated to fixed charges</v>
      </c>
    </row>
    <row r="189" spans="6:7" x14ac:dyDescent="0.25">
      <c r="F189" s="23" t="s">
        <v>118</v>
      </c>
      <c r="G189" s="19" t="str">
        <f ca="1">'Fixed charges'!$C$52</f>
        <v>Section 114-C: Service model costs allocated to fixed charges</v>
      </c>
    </row>
    <row r="190" spans="6:7" x14ac:dyDescent="0.25">
      <c r="F190" s="23" t="s">
        <v>118</v>
      </c>
      <c r="G190" s="19" t="str">
        <f ca="1">'Fixed charges'!$C$58</f>
        <v>Section 114-D: Flags</v>
      </c>
    </row>
    <row r="191" spans="6:7" x14ac:dyDescent="0.25">
      <c r="F191" s="23" t="s">
        <v>118</v>
      </c>
      <c r="G191" s="19" t="str">
        <f ca="1">'Fixed charges'!$C$67</f>
        <v>Section 114-E: Revenue allocated to fixed charges</v>
      </c>
    </row>
    <row r="192" spans="6:7" x14ac:dyDescent="0.25">
      <c r="F192" s="23" t="s">
        <v>118</v>
      </c>
      <c r="G192" s="19" t="str">
        <f ca="1">'Fixed charges'!$C$97</f>
        <v>Section 114-F: Revenue allocated to fixed charges, by aggregation group</v>
      </c>
    </row>
    <row r="193" spans="6:7" x14ac:dyDescent="0.25">
      <c r="F193" s="23" t="s">
        <v>118</v>
      </c>
      <c r="G193" s="19" t="str">
        <f ca="1">'Fixed charges'!$C$127</f>
        <v>Section 114-G: Fixed charges, by network level</v>
      </c>
    </row>
    <row r="194" spans="6:7" ht="15.75" thickBot="1" x14ac:dyDescent="0.3">
      <c r="F194" s="23" t="s">
        <v>118</v>
      </c>
      <c r="G194" s="19" t="str">
        <f ca="1">'Fixed charges'!$C$159</f>
        <v>Section 114-H: Aggregated fixed charges</v>
      </c>
    </row>
    <row r="195" spans="6:7" ht="15.75" thickTop="1" x14ac:dyDescent="0.25">
      <c r="F195" s="22" t="s">
        <v>1099</v>
      </c>
      <c r="G195" s="19" t="str">
        <f ca="1">'SoLR &amp; bad debt adders'!$C$16</f>
        <v>Section 115-A: Inputs for fixed tariff adjustments</v>
      </c>
    </row>
    <row r="196" spans="6:7" x14ac:dyDescent="0.25">
      <c r="F196" s="23" t="s">
        <v>118</v>
      </c>
      <c r="G196" s="19" t="str">
        <f ca="1">'SoLR &amp; bad debt adders'!$C$33</f>
        <v>Section 115-B: Calculation of fixed tariff adjustments</v>
      </c>
    </row>
    <row r="197" spans="6:7" ht="15.75" thickBot="1" x14ac:dyDescent="0.3">
      <c r="F197" s="23" t="s">
        <v>118</v>
      </c>
      <c r="G197" s="19" t="str">
        <f ca="1">'SoLR &amp; bad debt adders'!$C$48</f>
        <v>Section 115-C: Calculation of fixed charge adder revenue</v>
      </c>
    </row>
    <row r="198" spans="6:7" ht="15.75" thickTop="1" x14ac:dyDescent="0.25">
      <c r="F198" s="22" t="s">
        <v>92</v>
      </c>
      <c r="G198" s="19" t="str">
        <f ca="1">'Revenue matching'!$C$15</f>
        <v>Section 116-A: Inputs to revenue matching</v>
      </c>
    </row>
    <row r="199" spans="6:7" x14ac:dyDescent="0.25">
      <c r="F199" s="23" t="s">
        <v>118</v>
      </c>
      <c r="G199" s="19" t="str">
        <f ca="1">'Revenue matching'!$C$69</f>
        <v>Section 116-B: Net revenue before matching</v>
      </c>
    </row>
    <row r="200" spans="6:7" x14ac:dyDescent="0.25">
      <c r="F200" s="23" t="s">
        <v>118</v>
      </c>
      <c r="G200" s="19" t="str">
        <f ca="1">'Revenue matching'!$C$88</f>
        <v>Section 116-C: Grouping of residual bands where a band has insufficient customers</v>
      </c>
    </row>
    <row r="201" spans="6:7" x14ac:dyDescent="0.25">
      <c r="F201" s="23" t="s">
        <v>118</v>
      </c>
      <c r="G201" s="19" t="str">
        <f ca="1">'Revenue matching'!$C$151</f>
        <v>Section 116-D: Calculating MPANs for matching</v>
      </c>
    </row>
    <row r="202" spans="6:7" x14ac:dyDescent="0.25">
      <c r="F202" s="23" t="s">
        <v>118</v>
      </c>
      <c r="G202" s="19" t="str">
        <f ca="1">'Revenue matching'!$C$159</f>
        <v>Section 116-E: Calculating unit volumes for matching</v>
      </c>
    </row>
    <row r="203" spans="6:7" x14ac:dyDescent="0.25">
      <c r="F203" s="23" t="s">
        <v>118</v>
      </c>
      <c r="G203" s="19" t="str">
        <f ca="1">'Revenue matching'!$C$176</f>
        <v>Section 116-F: Allocating revenue to tariffs</v>
      </c>
    </row>
    <row r="204" spans="6:7" x14ac:dyDescent="0.25">
      <c r="F204" s="23" t="s">
        <v>118</v>
      </c>
      <c r="G204" s="19" t="str">
        <f ca="1">'Revenue matching'!$C$192</f>
        <v>Section 116-G: Calculating the residual fixed charge</v>
      </c>
    </row>
    <row r="205" spans="6:7" x14ac:dyDescent="0.25">
      <c r="F205" s="23" t="s">
        <v>118</v>
      </c>
      <c r="G205" s="19" t="str">
        <f ca="1">'Revenue matching'!$C$200</f>
        <v>Section 116-H: Calculating the initial residual unit rate</v>
      </c>
    </row>
    <row r="206" spans="6:7" x14ac:dyDescent="0.25">
      <c r="F206" s="23" t="s">
        <v>118</v>
      </c>
      <c r="G206" s="19" t="str">
        <f ca="1">'Revenue matching'!$C$213</f>
        <v>Section 116-I: Floor on negative residual fixed charges</v>
      </c>
    </row>
    <row r="207" spans="6:7" x14ac:dyDescent="0.25">
      <c r="F207" s="23" t="s">
        <v>118</v>
      </c>
      <c r="G207" s="19" t="str">
        <f ca="1">'Revenue matching'!$C$232</f>
        <v>Section 116-J: Ranking unit rate volumes and tariffs</v>
      </c>
    </row>
    <row r="208" spans="6:7" x14ac:dyDescent="0.25">
      <c r="F208" s="23" t="s">
        <v>118</v>
      </c>
      <c r="G208" s="19" t="str">
        <f ca="1">'Revenue matching'!$C$286</f>
        <v>Section 116-K: Revenue matching for three timebands</v>
      </c>
    </row>
    <row r="209" spans="6:7" x14ac:dyDescent="0.25">
      <c r="F209" s="23" t="s">
        <v>118</v>
      </c>
      <c r="G209" s="19" t="str">
        <f ca="1">'Revenue matching'!$C$313</f>
        <v>Section 116-L: Revenue matching for two timebands</v>
      </c>
    </row>
    <row r="210" spans="6:7" x14ac:dyDescent="0.25">
      <c r="F210" s="23" t="s">
        <v>118</v>
      </c>
      <c r="G210" s="19" t="str">
        <f ca="1">'Revenue matching'!$C$345</f>
        <v>Section 116-M: Revenue matching for one timeband</v>
      </c>
    </row>
    <row r="211" spans="6:7" x14ac:dyDescent="0.25">
      <c r="F211" s="23" t="s">
        <v>118</v>
      </c>
      <c r="G211" s="19" t="str">
        <f ca="1">'Revenue matching'!$C$377</f>
        <v>Section 116-N: Revenue matching adders by timeband</v>
      </c>
    </row>
    <row r="212" spans="6:7" ht="15.75" thickBot="1" x14ac:dyDescent="0.3">
      <c r="F212" s="23" t="s">
        <v>118</v>
      </c>
      <c r="G212" s="19" t="str">
        <f ca="1">'Revenue matching'!$C$409</f>
        <v>Section 116-O: Final adders</v>
      </c>
    </row>
    <row r="213" spans="6:7" ht="15.75" thickTop="1" x14ac:dyDescent="0.25">
      <c r="F213" s="22" t="s">
        <v>94</v>
      </c>
      <c r="G213" s="19" t="str">
        <f ca="1">Rounding!$C$16</f>
        <v>Section 117-A: Pre-match, pre-rounding tariff forecast</v>
      </c>
    </row>
    <row r="214" spans="6:7" x14ac:dyDescent="0.25">
      <c r="F214" s="23" t="s">
        <v>118</v>
      </c>
      <c r="G214" s="19" t="str">
        <f ca="1">Rounding!$C$28</f>
        <v>Section 117-B: Adders for revenue matching</v>
      </c>
    </row>
    <row r="215" spans="6:7" x14ac:dyDescent="0.25">
      <c r="F215" s="23" t="s">
        <v>118</v>
      </c>
      <c r="G215" s="19" t="str">
        <f ca="1">Rounding!$C$40</f>
        <v>Section 117-C: Adder to fixed charge for allocated pass-through costs</v>
      </c>
    </row>
    <row r="216" spans="6:7" x14ac:dyDescent="0.25">
      <c r="F216" s="23" t="s">
        <v>118</v>
      </c>
      <c r="G216" s="19" t="str">
        <f ca="1">Rounding!$C$52</f>
        <v>Section 117-D: LDNO discounts</v>
      </c>
    </row>
    <row r="217" spans="6:7" x14ac:dyDescent="0.25">
      <c r="F217" s="23" t="s">
        <v>118</v>
      </c>
      <c r="G217" s="19" t="str">
        <f ca="1">Rounding!$C$92</f>
        <v>Section 117-E: Decimal places for rounding</v>
      </c>
    </row>
    <row r="218" spans="6:7" x14ac:dyDescent="0.25">
      <c r="F218" s="23" t="s">
        <v>118</v>
      </c>
      <c r="G218" s="19" t="str">
        <f ca="1">Rounding!$C$107</f>
        <v>Section 117-F: Tariff forecast, post-revenue matching</v>
      </c>
    </row>
    <row r="219" spans="6:7" x14ac:dyDescent="0.25">
      <c r="F219" s="23" t="s">
        <v>118</v>
      </c>
      <c r="G219" s="19" t="str">
        <f ca="1">Rounding!$C$118</f>
        <v>Section 117-G: Tariff forecast, post-adders &amp; discounting</v>
      </c>
    </row>
    <row r="220" spans="6:7" ht="15.75" thickBot="1" x14ac:dyDescent="0.3">
      <c r="F220" s="23" t="s">
        <v>118</v>
      </c>
      <c r="G220" s="19" t="str">
        <f ca="1">Rounding!$C$147</f>
        <v>Section 117-H: Tariff forecast, post-rounding</v>
      </c>
    </row>
    <row r="221" spans="6:7" ht="15.75" thickTop="1" x14ac:dyDescent="0.25">
      <c r="F221" s="22" t="s">
        <v>96</v>
      </c>
      <c r="G221" s="19" t="str">
        <f ca="1">'Net revenue summary'!$C$13</f>
        <v>Section 118-A: Volume forecasts</v>
      </c>
    </row>
    <row r="222" spans="6:7" x14ac:dyDescent="0.25">
      <c r="F222" s="23" t="s">
        <v>118</v>
      </c>
      <c r="G222" s="19" t="str">
        <f ca="1">'Net revenue summary'!$C$52</f>
        <v>Section 118-B: Tariff forecast</v>
      </c>
    </row>
    <row r="223" spans="6:7" x14ac:dyDescent="0.25">
      <c r="F223" s="23" t="s">
        <v>118</v>
      </c>
      <c r="G223" s="19" t="str">
        <f ca="1">'Net revenue summary'!$C$81</f>
        <v>Section 118-C: Net revenue components</v>
      </c>
    </row>
    <row r="224" spans="6:7" x14ac:dyDescent="0.25">
      <c r="F224" s="23" t="s">
        <v>118</v>
      </c>
      <c r="G224" s="19" t="str">
        <f ca="1">'Net revenue summary'!$C$92</f>
        <v>Section 118-D: Net revenue by tariff</v>
      </c>
    </row>
    <row r="225" spans="2:7" x14ac:dyDescent="0.25">
      <c r="F225" s="23" t="s">
        <v>118</v>
      </c>
      <c r="G225" s="19" t="str">
        <f ca="1">'Net revenue summary'!$C$124</f>
        <v>Section 118-E: Net revenue summary (for information only)</v>
      </c>
    </row>
    <row r="226" spans="2:7" x14ac:dyDescent="0.25">
      <c r="F226" s="23" t="s">
        <v>118</v>
      </c>
      <c r="G226" s="19" t="str">
        <f ca="1">'Net revenue summary'!$C$138</f>
        <v>Section 118-F: Typical bills</v>
      </c>
    </row>
    <row r="227" spans="2:7" x14ac:dyDescent="0.25">
      <c r="F227" s="23" t="s">
        <v>118</v>
      </c>
      <c r="G227" s="19" t="str">
        <f ca="1">'Net revenue summary'!$C$144</f>
        <v>Section 118-G: Average bill per kWh</v>
      </c>
    </row>
    <row r="228" spans="2:7" x14ac:dyDescent="0.25">
      <c r="F228" s="23" t="s">
        <v>118</v>
      </c>
      <c r="G228" s="19" t="str">
        <f ca="1">'Net revenue summary'!$C$152</f>
        <v>Section 118-H: Previous year all the way tariff forecast</v>
      </c>
    </row>
    <row r="229" spans="2:7" x14ac:dyDescent="0.25">
      <c r="F229" s="23" t="s">
        <v>118</v>
      </c>
      <c r="G229" s="19" t="str">
        <f ca="1">'Net revenue summary'!$C$163</f>
        <v>Section 118-I: Previous year net revenue from all the way tariff forecast</v>
      </c>
    </row>
    <row r="230" spans="2:7" x14ac:dyDescent="0.25">
      <c r="F230" s="23" t="s">
        <v>118</v>
      </c>
      <c r="G230" s="19" t="str">
        <f ca="1">'Net revenue summary'!$C$178</f>
        <v>Section 118-J: LDNO typical bills using all-the-way volumes</v>
      </c>
    </row>
    <row r="231" spans="2:7" ht="15.75" thickBot="1" x14ac:dyDescent="0.3">
      <c r="F231" s="23" t="s">
        <v>118</v>
      </c>
      <c r="G231" s="19" t="str">
        <f ca="1">'Net revenue summary'!$C$202</f>
        <v>Section 118-K: LDNO margins</v>
      </c>
    </row>
    <row r="232" spans="2:7" ht="16.5" thickTop="1" thickBot="1" x14ac:dyDescent="0.3">
      <c r="F232" s="24" t="s">
        <v>98</v>
      </c>
      <c r="G232" s="19" t="str">
        <f>'Tariff summary'!$C$13</f>
        <v>Output 101-A: Tariffs for 2027/28</v>
      </c>
    </row>
    <row r="233" spans="2:7" ht="15.75" thickTop="1" x14ac:dyDescent="0.25">
      <c r="F233" s="24" t="s">
        <v>100</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118</v>
      </c>
      <c r="G235" s="19" t="str">
        <f ca="1">'Output to other models'!$C$33</f>
        <v>Output 102-C: CDCM end user tariff forecast</v>
      </c>
    </row>
    <row r="236" spans="2:7" x14ac:dyDescent="0.25">
      <c r="F236" s="25" t="s">
        <v>118</v>
      </c>
      <c r="G236" s="19" t="str">
        <f ca="1">'Output to other models'!$C$51</f>
        <v>Output 102-D: CDCM non-tariff outputs to EDCM</v>
      </c>
    </row>
    <row r="237" spans="2:7" x14ac:dyDescent="0.25">
      <c r="F237" s="25" t="s">
        <v>118</v>
      </c>
      <c r="G237" s="19" t="str">
        <f ca="1">'Output to other models'!$C$63</f>
        <v>Output 102-E: Outputs for DNOs' internal use</v>
      </c>
    </row>
    <row r="238" spans="2:7" x14ac:dyDescent="0.25">
      <c r="F238" s="25" t="s">
        <v>118</v>
      </c>
      <c r="G238" s="19" t="str">
        <f ca="1">'Output to other models'!$C$73</f>
        <v>Output 102-F: Outputs for IDNOs' internal use</v>
      </c>
    </row>
    <row r="240" spans="2:7" x14ac:dyDescent="0.25">
      <c r="B240" s="85" t="s">
        <v>108</v>
      </c>
      <c r="C240" s="85"/>
      <c r="D240" s="85"/>
      <c r="E240" s="85"/>
      <c r="F240" s="85"/>
      <c r="G240" s="85"/>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Volume adjustments'!A4" display="'" xr:uid="{00000000-0004-0000-0300-000021000000}"/>
    <hyperlink ref="G32" location="'Volume adjustments'!$B$310" display="'Volume adjustments'!$B$310" xr:uid="{00000000-0004-0000-0300-000022000000}"/>
    <hyperlink ref="F33" location="'Pseudo-load coefficients'!A4" display="'" xr:uid="{00000000-0004-0000-0300-000023000000}"/>
    <hyperlink ref="G33" location="'Pseudo-load coefficients'!$B$13" display="'Pseudo-load coefficients'!$B$13" xr:uid="{00000000-0004-0000-0300-000024000000}"/>
    <hyperlink ref="F34" location="'Pseudo-load coefficients'!A4" display="'" xr:uid="{00000000-0004-0000-0300-000025000000}"/>
    <hyperlink ref="G34" location="'Pseudo-load coefficients'!$B$56" display="'Pseudo-load coefficients'!$B$56" xr:uid="{00000000-0004-0000-0300-000026000000}"/>
    <hyperlink ref="F35" location="'Pseudo-load coefficients'!A4" display="'" xr:uid="{00000000-0004-0000-0300-000027000000}"/>
    <hyperlink ref="G35" location="'Pseudo-load coefficients'!$B$95" display="'Pseudo-load coefficients'!$B$95" xr:uid="{00000000-0004-0000-0300-000028000000}"/>
    <hyperlink ref="F36" location="'Pseudo-load coefficients'!A4" display="'" xr:uid="{00000000-0004-0000-0300-000029000000}"/>
    <hyperlink ref="G36" location="'Pseudo-load coefficients'!$B$261" display="'Pseudo-load coefficients'!$B$261" xr:uid="{00000000-0004-0000-0300-00002A000000}"/>
    <hyperlink ref="F37" location="'System peak demand'!A4" display="'" xr:uid="{00000000-0004-0000-0300-00002B000000}"/>
    <hyperlink ref="G37" location="'System peak demand'!$B$16" display="'System peak demand'!$B$16" xr:uid="{00000000-0004-0000-0300-00002C000000}"/>
    <hyperlink ref="F38" location="'System peak demand'!A4" display="'" xr:uid="{00000000-0004-0000-0300-00002D000000}"/>
    <hyperlink ref="G38" location="'System peak demand'!$B$63" display="'System peak demand'!$B$63" xr:uid="{00000000-0004-0000-0300-00002E000000}"/>
    <hyperlink ref="F39" location="'System peak demand'!A4" display="'" xr:uid="{00000000-0004-0000-0300-00002F000000}"/>
    <hyperlink ref="G39" location="'System peak demand'!$B$179" display="'System peak demand'!$B$179" xr:uid="{00000000-0004-0000-0300-000030000000}"/>
    <hyperlink ref="F40" location="'System peak demand'!A4" display="'" xr:uid="{00000000-0004-0000-0300-000031000000}"/>
    <hyperlink ref="G40" location="'System peak demand'!$B$262" display="'System peak demand'!$B$262" xr:uid="{00000000-0004-0000-0300-000032000000}"/>
    <hyperlink ref="F41" location="'Service model assets'!A4" display="'" xr:uid="{00000000-0004-0000-0300-000033000000}"/>
    <hyperlink ref="G41" location="'Service model assets'!$B$12" display="'Service model assets'!$B$12" xr:uid="{00000000-0004-0000-0300-000034000000}"/>
    <hyperlink ref="F42" location="'Unit costs'!A4" display="'" xr:uid="{00000000-0004-0000-0300-000035000000}"/>
    <hyperlink ref="G42" location="'Unit costs'!$B$15" display="'Unit costs'!$B$15" xr:uid="{00000000-0004-0000-0300-000036000000}"/>
    <hyperlink ref="F43" location="'Unit costs'!A4" display="'" xr:uid="{00000000-0004-0000-0300-000037000000}"/>
    <hyperlink ref="G43" location="'Unit costs'!$B$58" display="'Unit costs'!$B$58" xr:uid="{00000000-0004-0000-0300-000038000000}"/>
    <hyperlink ref="F44" location="'Unit costs'!A4" display="'" xr:uid="{00000000-0004-0000-0300-000039000000}"/>
    <hyperlink ref="G44" location="'Unit costs'!$B$102" display="'Unit costs'!$B$102" xr:uid="{00000000-0004-0000-0300-00003A000000}"/>
    <hyperlink ref="F45" location="'Initial unit rates'!A4" display="'" xr:uid="{00000000-0004-0000-0300-00003B000000}"/>
    <hyperlink ref="G45" location="'Initial unit rates'!$B$11" display="'Initial unit rates'!$B$11" xr:uid="{00000000-0004-0000-0300-00003C000000}"/>
    <hyperlink ref="F46" location="'Initial unit rates'!A4" display="'" xr:uid="{00000000-0004-0000-0300-00003D000000}"/>
    <hyperlink ref="G46" location="'Initial unit rates'!$B$116" display="'Initial unit rates'!$B$116" xr:uid="{00000000-0004-0000-0300-00003E000000}"/>
    <hyperlink ref="F47" location="'Service model charges'!A4" display="'" xr:uid="{00000000-0004-0000-0300-00003F000000}"/>
    <hyperlink ref="G47" location="'Service model charges'!$B$13" display="'Service model charges'!$B$13" xr:uid="{00000000-0004-0000-0300-000040000000}"/>
    <hyperlink ref="F48" location="'Service model charges'!A4" display="'" xr:uid="{00000000-0004-0000-0300-000041000000}"/>
    <hyperlink ref="G48" location="'Service model charges'!$B$29" display="'Service model charges'!$B$29" xr:uid="{00000000-0004-0000-0300-000042000000}"/>
    <hyperlink ref="F49" location="'Unit rate charges'!A4" display="'" xr:uid="{00000000-0004-0000-0300-000043000000}"/>
    <hyperlink ref="G49" location="'Unit rate charges'!$B$15" display="'Unit rate charges'!$B$15" xr:uid="{00000000-0004-0000-0300-000044000000}"/>
    <hyperlink ref="F50" location="'Unit rate charges'!A4" display="'" xr:uid="{00000000-0004-0000-0300-000045000000}"/>
    <hyperlink ref="G50" location="'Unit rate charges'!$B$122" display="'Unit rate charges'!$B$122" xr:uid="{00000000-0004-0000-0300-000046000000}"/>
    <hyperlink ref="F51" location="'Capacity charges'!A4" display="'" xr:uid="{00000000-0004-0000-0300-000047000000}"/>
    <hyperlink ref="G51" location="'Capacity charges'!$B$17" display="'Capacity charges'!$B$17" xr:uid="{00000000-0004-0000-0300-000048000000}"/>
    <hyperlink ref="F52" location="'Capacity charges'!A4" display="'" xr:uid="{00000000-0004-0000-0300-000049000000}"/>
    <hyperlink ref="G52" location="'Capacity charges'!$B$125" display="'Capacity charges'!$B$125" xr:uid="{00000000-0004-0000-0300-00004A000000}"/>
    <hyperlink ref="F53" location="'Capacity charges'!A4" display="'" xr:uid="{00000000-0004-0000-0300-00004B000000}"/>
    <hyperlink ref="G53" location="'Capacity charges'!$B$249" display="'Capacity charges'!$B$249" xr:uid="{00000000-0004-0000-0300-00004C000000}"/>
    <hyperlink ref="F54" location="'Reactive power charges'!A4" display="'" xr:uid="{00000000-0004-0000-0300-00004D000000}"/>
    <hyperlink ref="G54" location="'Reactive power charges'!$B$13" display="'Reactive power charges'!$B$13" xr:uid="{00000000-0004-0000-0300-00004E000000}"/>
    <hyperlink ref="F55" location="'Reactive power charges'!A4" display="'" xr:uid="{00000000-0004-0000-0300-00004F000000}"/>
    <hyperlink ref="G55" location="'Reactive power charges'!$B$150" display="'Reactive power charges'!$B$150" xr:uid="{00000000-0004-0000-0300-000050000000}"/>
    <hyperlink ref="F56" location="'Reactive power charges'!A4" display="'" xr:uid="{00000000-0004-0000-0300-000051000000}"/>
    <hyperlink ref="G56" location="'Reactive power charges'!$B$185" display="'Reactive power charges'!$B$185" xr:uid="{00000000-0004-0000-0300-000052000000}"/>
    <hyperlink ref="F57" location="'Fixed charges'!A4" display="'" xr:uid="{00000000-0004-0000-0300-000053000000}"/>
    <hyperlink ref="G57" location="'Fixed charges'!$B$14" display="'Fixed charges'!$B$14" xr:uid="{00000000-0004-0000-0300-000054000000}"/>
    <hyperlink ref="F58" location="'Fixed charges'!A4" display="'" xr:uid="{00000000-0004-0000-0300-000055000000}"/>
    <hyperlink ref="G58" location="'Fixed charges'!$B$65" display="'Fixed charges'!$B$65" xr:uid="{00000000-0004-0000-0300-000056000000}"/>
    <hyperlink ref="F59" location="'Fixed charge adder'!A4" display="'" xr:uid="{00000000-0004-0000-0300-000057000000}"/>
    <hyperlink ref="G59" location="'Fixed charge adder'!$B$12" display="'Fixed charge adder'!$B$12" xr:uid="{00000000-0004-0000-0300-000058000000}"/>
    <hyperlink ref="F60" location="'Revenue matching'!A4" display="'" xr:uid="{00000000-0004-0000-0300-000059000000}"/>
    <hyperlink ref="G60" location="'Revenue matching'!$B$13" display="'Revenue matching'!$B$13" xr:uid="{00000000-0004-0000-0300-00005A000000}"/>
    <hyperlink ref="F61" location="'Revenue matching'!A4" display="'" xr:uid="{00000000-0004-0000-0300-00005B000000}"/>
    <hyperlink ref="G61" location="'Revenue matching'!$B$86" display="'Revenue matching'!$B$86" xr:uid="{00000000-0004-0000-0300-00005C000000}"/>
    <hyperlink ref="F62" location="'Revenue matching'!A4" display="'" xr:uid="{00000000-0004-0000-0300-00005D000000}"/>
    <hyperlink ref="G62" location="'Revenue matching'!$B$209" display="'Revenue matching'!$B$209" xr:uid="{00000000-0004-0000-0300-00005E000000}"/>
    <hyperlink ref="F63" location="'Revenue matching'!A4" display="'" xr:uid="{00000000-0004-0000-0300-00005F000000}"/>
    <hyperlink ref="G63" location="'Revenue matching'!$B$407" display="'Revenue matching'!$B$407" xr:uid="{00000000-0004-0000-0300-000060000000}"/>
    <hyperlink ref="F64" location="'Rounding'!A4" display="'" xr:uid="{00000000-0004-0000-0300-000061000000}"/>
    <hyperlink ref="G64" location="'Rounding'!$B$12" display="'Rounding'!$B$12" xr:uid="{00000000-0004-0000-0300-000062000000}"/>
    <hyperlink ref="F65" location="'Rounding'!A4" display="'" xr:uid="{00000000-0004-0000-0300-000063000000}"/>
    <hyperlink ref="G65" location="'Rounding'!$B$103" display="'Rounding'!$B$103" xr:uid="{00000000-0004-0000-0300-000064000000}"/>
    <hyperlink ref="F66" location="'Net revenue summary'!A4" display="'" xr:uid="{00000000-0004-0000-0300-000065000000}"/>
    <hyperlink ref="G66" location="'Net revenue summary'!$B$11" display="'Net revenue summary'!$B$11" xr:uid="{00000000-0004-0000-0300-000066000000}"/>
    <hyperlink ref="F67" location="'Net revenue summary'!A4" display="'" xr:uid="{00000000-0004-0000-0300-000067000000}"/>
    <hyperlink ref="G67" location="'Net revenue summary'!$B$90" display="'Net revenue summary'!$B$90" xr:uid="{00000000-0004-0000-0300-000068000000}"/>
    <hyperlink ref="F68" location="'Net revenue summary'!A4" display="'" xr:uid="{00000000-0004-0000-0300-000069000000}"/>
    <hyperlink ref="G68" location="'Net revenue summary'!$B$150" display="'Net revenue summary'!$B$150" xr:uid="{00000000-0004-0000-0300-00006A000000}"/>
    <hyperlink ref="F69" location="'Net revenue summary'!A4" display="'" xr:uid="{00000000-0004-0000-0300-00006B000000}"/>
    <hyperlink ref="G69" location="'Net revenue summary'!$B$176" display="'Net revenue summary'!$B$176" xr:uid="{00000000-0004-0000-0300-00006C000000}"/>
    <hyperlink ref="F70" location="'Tariff summary'!A4" display="'" xr:uid="{00000000-0004-0000-0300-00006D000000}"/>
    <hyperlink ref="G70" location="'Tariff summary'!$B$11" display="'Tariff summary'!$B$11" xr:uid="{00000000-0004-0000-0300-00006E000000}"/>
    <hyperlink ref="F71" location="'Output to other models'!A4" display="'" xr:uid="{00000000-0004-0000-0300-00006F000000}"/>
    <hyperlink ref="G71" location="'Output to other models'!$B$12" display="'Output to other models'!$B$12" xr:uid="{00000000-0004-0000-0300-000070000000}"/>
    <hyperlink ref="F72" location="'Output to other models'!A4" display="'" xr:uid="{00000000-0004-0000-0300-000071000000}"/>
    <hyperlink ref="G72" location="'Output to other models'!$B$25" display="'Output to other models'!$B$25" xr:uid="{00000000-0004-0000-0300-000072000000}"/>
    <hyperlink ref="F73" location="'Output to other models'!A4" display="'" xr:uid="{00000000-0004-0000-0300-000073000000}"/>
    <hyperlink ref="G73" location="'Output to other models'!$B$55" display="'Output to other models'!$B$55" xr:uid="{00000000-0004-0000-0300-000074000000}"/>
    <hyperlink ref="F80" location="'Fixed inputs'!A4" display="'" xr:uid="{00000000-0004-0000-0300-000075000000}"/>
    <hyperlink ref="G80" location="'Fixed inputs'!$C$13" display="'Fixed inputs'!$C$13" xr:uid="{00000000-0004-0000-0300-000076000000}"/>
    <hyperlink ref="F81" location="'Fixed inputs'!A4" display="'" xr:uid="{00000000-0004-0000-0300-000077000000}"/>
    <hyperlink ref="G81" location="'Fixed inputs'!$C$20" display="'Fixed inputs'!$C$20" xr:uid="{00000000-0004-0000-0300-000078000000}"/>
    <hyperlink ref="F82" location="'Fixed inputs'!A4" display="'" xr:uid="{00000000-0004-0000-0300-000079000000}"/>
    <hyperlink ref="G82" location="'Fixed inputs'!$C$33" display="'Fixed inputs'!$C$33" xr:uid="{00000000-0004-0000-0300-00007A000000}"/>
    <hyperlink ref="F83" location="'Fixed inputs'!A4" display="'" xr:uid="{00000000-0004-0000-0300-00007B000000}"/>
    <hyperlink ref="G83" location="'Fixed inputs'!$C$43" display="'Fixed inputs'!$C$43" xr:uid="{00000000-0004-0000-0300-00007C000000}"/>
    <hyperlink ref="F84" location="'Fixed inputs'!A4" display="'" xr:uid="{00000000-0004-0000-0300-00007D000000}"/>
    <hyperlink ref="G84" location="'Fixed inputs'!$C$84" display="'Fixed inputs'!$C$84" xr:uid="{00000000-0004-0000-0300-00007E000000}"/>
    <hyperlink ref="F85" location="'Fixed inputs'!A4" display="'" xr:uid="{00000000-0004-0000-0300-00007F000000}"/>
    <hyperlink ref="G85" location="'Fixed inputs'!$C$99" display="'Fixed inputs'!$C$99" xr:uid="{00000000-0004-0000-0300-000080000000}"/>
    <hyperlink ref="F86" location="'Fixed inputs'!A4" display="'" xr:uid="{00000000-0004-0000-0300-000081000000}"/>
    <hyperlink ref="G86" location="'Fixed inputs'!$C$141" display="'Fixed inputs'!$C$141" xr:uid="{00000000-0004-0000-0300-000082000000}"/>
    <hyperlink ref="F87" location="'Fixed inputs'!A4" display="'" xr:uid="{00000000-0004-0000-0300-000083000000}"/>
    <hyperlink ref="G87" location="'Fixed inputs'!$C$151" display="'Fixed inputs'!$C$151" xr:uid="{00000000-0004-0000-0300-000084000000}"/>
    <hyperlink ref="F88" location="'Fixed inputs'!A4" display="'" xr:uid="{00000000-0004-0000-0300-000085000000}"/>
    <hyperlink ref="G88" location="'Fixed inputs'!$C$155" display="'Fixed inputs'!$C$155" xr:uid="{00000000-0004-0000-0300-000086000000}"/>
    <hyperlink ref="F89" location="'Fixed inputs'!A4" display="'" xr:uid="{00000000-0004-0000-0300-000087000000}"/>
    <hyperlink ref="G89" location="'Fixed inputs'!$C$161" display="'Fixed inputs'!$C$161" xr:uid="{00000000-0004-0000-0300-000088000000}"/>
    <hyperlink ref="F90" location="'Inputs by customer type'!A4" display="'" xr:uid="{00000000-0004-0000-0300-000089000000}"/>
    <hyperlink ref="G90" location="'Inputs by customer type'!$C$13" display="'Inputs by customer type'!$C$13" xr:uid="{00000000-0004-0000-0300-00008A000000}"/>
    <hyperlink ref="F91" location="'Inputs by customer type'!A4" display="'" xr:uid="{00000000-0004-0000-0300-00008B000000}"/>
    <hyperlink ref="G91" location="'Inputs by customer type'!$C$18" display="'Inputs by customer type'!$C$18" xr:uid="{00000000-0004-0000-0300-00008C000000}"/>
    <hyperlink ref="F92" location="'Inputs by customer type'!A4" display="'" xr:uid="{00000000-0004-0000-0300-00008D000000}"/>
    <hyperlink ref="G92" location="'Inputs by customer type'!$C$163" display="'Inputs by customer type'!$C$163" xr:uid="{00000000-0004-0000-0300-00008E000000}"/>
    <hyperlink ref="F93" location="'Inputs by customer type'!A4" display="'" xr:uid="{00000000-0004-0000-0300-00008F000000}"/>
    <hyperlink ref="G93" location="'Inputs by customer type'!$C$180" display="'Inputs by customer type'!$C$180" xr:uid="{00000000-0004-0000-0300-000090000000}"/>
    <hyperlink ref="F94" location="'Inputs by customer type'!A4" display="'" xr:uid="{00000000-0004-0000-0300-000091000000}"/>
    <hyperlink ref="G94" location="'Inputs by customer type'!$C$189" display="'Inputs by customer type'!$C$189" xr:uid="{00000000-0004-0000-0300-000092000000}"/>
    <hyperlink ref="F95" location="'Inputs by customer type'!A4" display="'" xr:uid="{00000000-0004-0000-0300-000093000000}"/>
    <hyperlink ref="G95" location="'Inputs by customer type'!$C$203" display="'Inputs by customer type'!$C$203" xr:uid="{00000000-0004-0000-0300-000094000000}"/>
    <hyperlink ref="F96" location="'Inputs by network level'!A4" display="'" xr:uid="{00000000-0004-0000-0300-000095000000}"/>
    <hyperlink ref="G96" location="'Inputs by network level'!$C$13" display="'Inputs by network level'!$C$13" xr:uid="{00000000-0004-0000-0300-000096000000}"/>
    <hyperlink ref="F97" location="'Inputs by network level'!A4" display="'" xr:uid="{00000000-0004-0000-0300-000097000000}"/>
    <hyperlink ref="G97" location="'Inputs by network level'!$C$23" display="'Inputs by network level'!$C$23" xr:uid="{00000000-0004-0000-0300-000098000000}"/>
    <hyperlink ref="F98" location="'Inputs by network level'!A4" display="'" xr:uid="{00000000-0004-0000-0300-000099000000}"/>
    <hyperlink ref="G98" location="'Inputs by network level'!$C$31" display="'Inputs by network level'!$C$31" xr:uid="{00000000-0004-0000-0300-00009A000000}"/>
    <hyperlink ref="F99" location="'Inputs by network level'!A4" display="'" xr:uid="{00000000-0004-0000-0300-00009B000000}"/>
    <hyperlink ref="G99" location="'Inputs by network level'!$C$35" display="'Inputs by network level'!$C$35" xr:uid="{00000000-0004-0000-0300-00009C000000}"/>
    <hyperlink ref="F100" location="'General inputs'!A4" display="'" xr:uid="{00000000-0004-0000-0300-00009D000000}"/>
    <hyperlink ref="G100" location="'General inputs'!$C$13" display="'General inputs'!$C$13" xr:uid="{00000000-0004-0000-0300-00009E000000}"/>
    <hyperlink ref="F101" location="'General inputs'!A4" display="'" xr:uid="{00000000-0004-0000-0300-00009F000000}"/>
    <hyperlink ref="G101" location="'General inputs'!$C$25" display="'General inputs'!$C$25" xr:uid="{00000000-0004-0000-0300-0000A0000000}"/>
    <hyperlink ref="F102" location="'General inputs'!A4" display="'" xr:uid="{00000000-0004-0000-0300-0000A1000000}"/>
    <hyperlink ref="G102" location="'General inputs'!$C$35" display="'General inputs'!$C$35" xr:uid="{00000000-0004-0000-0300-0000A2000000}"/>
    <hyperlink ref="F103" location="'General inputs'!A4" display="'" xr:uid="{00000000-0004-0000-0300-0000A3000000}"/>
    <hyperlink ref="G103" location="'General inputs'!$C$89" display="'General inputs'!$C$89" xr:uid="{00000000-0004-0000-0300-0000A4000000}"/>
    <hyperlink ref="F104" location="'General inputs'!A4" display="'" xr:uid="{00000000-0004-0000-0300-0000A5000000}"/>
    <hyperlink ref="G104" location="'General inputs'!$C$95" display="'General inputs'!$C$95" xr:uid="{00000000-0004-0000-0300-0000A6000000}"/>
    <hyperlink ref="F105" location="'General inputs'!A4" display="'" xr:uid="{00000000-0004-0000-0300-0000A7000000}"/>
    <hyperlink ref="G105" location="'General inputs'!$C$99" display="'General inputs'!$C$99" xr:uid="{00000000-0004-0000-0300-0000A8000000}"/>
    <hyperlink ref="F106" location="'Standing charge factors'!A4" display="'" xr:uid="{00000000-0004-0000-0300-0000A9000000}"/>
    <hyperlink ref="G106" location="'Standing charge factors'!$C$19" display="'Standing charge factors'!$C$19" xr:uid="{00000000-0004-0000-0300-0000AA000000}"/>
    <hyperlink ref="F107" location="'Load &amp; loss characteristics'!A4" display="'" xr:uid="{00000000-0004-0000-0300-0000AB000000}"/>
    <hyperlink ref="G107" location="'Load &amp; loss characteristics'!$C$17" display="'Load &amp; loss characteristics'!$C$17" xr:uid="{00000000-0004-0000-0300-0000AC000000}"/>
    <hyperlink ref="F108" location="'Load &amp; loss characteristics'!A4" display="'" xr:uid="{00000000-0004-0000-0300-0000AD000000}"/>
    <hyperlink ref="G108" location="'Load &amp; loss characteristics'!$C$25" display="'Load &amp; loss characteristics'!$C$25" xr:uid="{00000000-0004-0000-0300-0000AE000000}"/>
    <hyperlink ref="F109" location="'Load &amp; loss characteristics'!A4" display="'" xr:uid="{00000000-0004-0000-0300-0000AF000000}"/>
    <hyperlink ref="G109" location="'Load &amp; loss characteristics'!$C$35" display="'Load &amp; loss characteristics'!$C$35" xr:uid="{00000000-0004-0000-0300-0000B0000000}"/>
    <hyperlink ref="F110" location="'Load &amp; loss characteristics'!A4" display="'" xr:uid="{00000000-0004-0000-0300-0000B1000000}"/>
    <hyperlink ref="G110" location="'Load &amp; loss characteristics'!$C$40" display="'Load &amp; loss characteristics'!$C$40" xr:uid="{00000000-0004-0000-0300-0000B2000000}"/>
    <hyperlink ref="F111" location="'Load &amp; loss characteristics'!A4" display="'" xr:uid="{00000000-0004-0000-0300-0000B3000000}"/>
    <hyperlink ref="G111" location="'Load &amp; loss characteristics'!$C$121" display="'Load &amp; loss characteristics'!$C$121" xr:uid="{00000000-0004-0000-0300-0000B4000000}"/>
    <hyperlink ref="F112" location="'Customer contributions'!A4" display="'" xr:uid="{00000000-0004-0000-0300-0000B5000000}"/>
    <hyperlink ref="G112" location="'Customer contributions'!$C$16" display="'Customer contributions'!$C$16" xr:uid="{00000000-0004-0000-0300-0000B6000000}"/>
    <hyperlink ref="F113" location="'Customer contributions'!A4" display="'" xr:uid="{00000000-0004-0000-0300-0000B7000000}"/>
    <hyperlink ref="G113" location="'Customer contributions'!$C$38" display="'Customer contributions'!$C$38" xr:uid="{00000000-0004-0000-0300-0000B8000000}"/>
    <hyperlink ref="F114" location="'Volume adjustments'!A4" display="'" xr:uid="{00000000-0004-0000-0300-0000B9000000}"/>
    <hyperlink ref="G114" location="'Volume adjustments'!$C$15" display="'Volume adjustments'!$C$15" xr:uid="{00000000-0004-0000-0300-0000BA000000}"/>
    <hyperlink ref="F115" location="'Volume adjustments'!A4" display="'" xr:uid="{00000000-0004-0000-0300-0000BB000000}"/>
    <hyperlink ref="G115" location="'Volume adjustments'!$C$53" display="'Volume adjustments'!$C$53" xr:uid="{00000000-0004-0000-0300-0000BC000000}"/>
    <hyperlink ref="F116" location="'Volume adjustments'!A4" display="'" xr:uid="{00000000-0004-0000-0300-0000BD000000}"/>
    <hyperlink ref="G116" location="'Volume adjustments'!$C$225" display="'Volume adjustments'!$C$225" xr:uid="{00000000-0004-0000-0300-0000BE000000}"/>
    <hyperlink ref="F117" location="'Volume adjustments'!A4" display="'" xr:uid="{00000000-0004-0000-0300-0000BF000000}"/>
    <hyperlink ref="G117" location="'Volume adjustments'!$C$332" display="'Volume adjustments'!$C$332" xr:uid="{00000000-0004-0000-0300-0000C0000000}"/>
    <hyperlink ref="F118" location="'Volume adjustments'!A4" display="'" xr:uid="{00000000-0004-0000-0300-0000C1000000}"/>
    <hyperlink ref="G118" location="'Volume adjustments'!$C$361" display="'Volume adjustments'!$C$361" xr:uid="{00000000-0004-0000-0300-0000C2000000}"/>
    <hyperlink ref="F119" location="'Volume adjustments'!A4" display="'" xr:uid="{00000000-0004-0000-0300-0000C3000000}"/>
    <hyperlink ref="G119" location="'Volume adjustments'!$C$390" display="'Volume adjustments'!$C$390" xr:uid="{00000000-0004-0000-0300-0000C4000000}"/>
    <hyperlink ref="F120" location="'Volume adjustments'!A4" display="'" xr:uid="{00000000-0004-0000-0300-0000C5000000}"/>
    <hyperlink ref="G120" location="'Volume adjustments'!$C$419" display="'Volume adjustments'!$C$419" xr:uid="{00000000-0004-0000-0300-0000C6000000}"/>
    <hyperlink ref="F121" location="'Volume adjustments'!A4" display="'" xr:uid="{00000000-0004-0000-0300-0000C7000000}"/>
    <hyperlink ref="G121" location="'Volume adjustments'!$C$448" display="'Volume adjustments'!$C$448" xr:uid="{00000000-0004-0000-0300-0000C8000000}"/>
    <hyperlink ref="F122" location="'Volume adjustments'!A4" display="'" xr:uid="{00000000-0004-0000-0300-0000C9000000}"/>
    <hyperlink ref="G122" location="'Volume adjustments'!$C$477" display="'Volume adjustments'!$C$477" xr:uid="{00000000-0004-0000-0300-0000CA000000}"/>
    <hyperlink ref="F123" location="'Volume adjustments'!A4" display="'" xr:uid="{00000000-0004-0000-0300-0000CB000000}"/>
    <hyperlink ref="G123" location="'Volume adjustments'!$C$523" display="'Volume adjustments'!$C$523" xr:uid="{00000000-0004-0000-0300-0000CC000000}"/>
    <hyperlink ref="F124" location="'Volume adjustments'!A4" display="'" xr:uid="{00000000-0004-0000-0300-0000CD000000}"/>
    <hyperlink ref="G124" location="'Volume adjustments'!$C$657" display="'Volume adjustments'!$C$657" xr:uid="{00000000-0004-0000-0300-0000CE000000}"/>
    <hyperlink ref="F125" location="'Pseudo-load coefficients'!A4" display="'" xr:uid="{00000000-0004-0000-0300-0000CF000000}"/>
    <hyperlink ref="G125" location="'Pseudo-load coefficients'!$C$18" display="'Pseudo-load coefficients'!$C$18" xr:uid="{00000000-0004-0000-0300-0000D0000000}"/>
    <hyperlink ref="F126" location="'Pseudo-load coefficients'!A4" display="'" xr:uid="{00000000-0004-0000-0300-0000D1000000}"/>
    <hyperlink ref="G126" location="'Pseudo-load coefficients'!$C$28" display="'Pseudo-load coefficients'!$C$28" xr:uid="{00000000-0004-0000-0300-0000D2000000}"/>
    <hyperlink ref="F127" location="'Pseudo-load coefficients'!A4" display="'" xr:uid="{00000000-0004-0000-0300-0000D3000000}"/>
    <hyperlink ref="G127" location="'Pseudo-load coefficients'!$C$36" display="'Pseudo-load coefficients'!$C$36" xr:uid="{00000000-0004-0000-0300-0000D4000000}"/>
    <hyperlink ref="F128" location="'Pseudo-load coefficients'!A4" display="'" xr:uid="{00000000-0004-0000-0300-0000D5000000}"/>
    <hyperlink ref="G128" location="'Pseudo-load coefficients'!$C$52" display="'Pseudo-load coefficients'!$C$52" xr:uid="{00000000-0004-0000-0300-0000D6000000}"/>
    <hyperlink ref="F129" location="'Pseudo-load coefficients'!A4" display="'" xr:uid="{00000000-0004-0000-0300-0000D7000000}"/>
    <hyperlink ref="G129" location="'Pseudo-load coefficients'!$C$60" display="'Pseudo-load coefficients'!$C$60" xr:uid="{00000000-0004-0000-0300-0000D8000000}"/>
    <hyperlink ref="F130" location="'Pseudo-load coefficients'!A4" display="'" xr:uid="{00000000-0004-0000-0300-0000D9000000}"/>
    <hyperlink ref="G130" location="'Pseudo-load coefficients'!$C$65" display="'Pseudo-load coefficients'!$C$65" xr:uid="{00000000-0004-0000-0300-0000DA000000}"/>
    <hyperlink ref="F131" location="'Pseudo-load coefficients'!A4" display="'" xr:uid="{00000000-0004-0000-0300-0000DB000000}"/>
    <hyperlink ref="G131" location="'Pseudo-load coefficients'!$C$87" display="'Pseudo-load coefficients'!$C$87" xr:uid="{00000000-0004-0000-0300-0000DC000000}"/>
    <hyperlink ref="F132" location="'Pseudo-load coefficients'!A4" display="'" xr:uid="{00000000-0004-0000-0300-0000DD000000}"/>
    <hyperlink ref="G132" location="'Pseudo-load coefficients'!$C$100" display="'Pseudo-load coefficients'!$C$100" xr:uid="{00000000-0004-0000-0300-0000DE000000}"/>
    <hyperlink ref="F133" location="'Pseudo-load coefficients'!A4" display="'" xr:uid="{00000000-0004-0000-0300-0000DF000000}"/>
    <hyperlink ref="G133" location="'Pseudo-load coefficients'!$C$174" display="'Pseudo-load coefficients'!$C$174" xr:uid="{00000000-0004-0000-0300-0000E0000000}"/>
    <hyperlink ref="F134" location="'Pseudo-load coefficients'!A4" display="'" xr:uid="{00000000-0004-0000-0300-0000E1000000}"/>
    <hyperlink ref="G134" location="'Pseudo-load coefficients'!$C$221" display="'Pseudo-load coefficients'!$C$221" xr:uid="{00000000-0004-0000-0300-0000E2000000}"/>
    <hyperlink ref="F135" location="'Pseudo-load coefficients'!A4" display="'" xr:uid="{00000000-0004-0000-0300-0000E3000000}"/>
    <hyperlink ref="G135" location="'Pseudo-load coefficients'!$C$265" display="'Pseudo-load coefficients'!$C$265" xr:uid="{00000000-0004-0000-0300-0000E4000000}"/>
    <hyperlink ref="F136" location="'Pseudo-load coefficients'!A4" display="'" xr:uid="{00000000-0004-0000-0300-0000E5000000}"/>
    <hyperlink ref="G136" location="'Pseudo-load coefficients'!$C$269" display="'Pseudo-load coefficients'!$C$269" xr:uid="{00000000-0004-0000-0300-0000E6000000}"/>
    <hyperlink ref="F137" location="'System peak demand'!A4" display="'" xr:uid="{00000000-0004-0000-0300-0000E7000000}"/>
    <hyperlink ref="G137" location="'System peak demand'!$C$18" display="'System peak demand'!$C$18" xr:uid="{00000000-0004-0000-0300-0000E8000000}"/>
    <hyperlink ref="F138" location="'System peak demand'!A4" display="'" xr:uid="{00000000-0004-0000-0300-0000E9000000}"/>
    <hyperlink ref="G138" location="'System peak demand'!$C$67" display="'System peak demand'!$C$67" xr:uid="{00000000-0004-0000-0300-0000EA000000}"/>
    <hyperlink ref="F139" location="'System peak demand'!A4" display="'" xr:uid="{00000000-0004-0000-0300-0000EB000000}"/>
    <hyperlink ref="G139" location="'System peak demand'!$C$138" display="'System peak demand'!$C$138" xr:uid="{00000000-0004-0000-0300-0000EC000000}"/>
    <hyperlink ref="F140" location="'System peak demand'!A4" display="'" xr:uid="{00000000-0004-0000-0300-0000ED000000}"/>
    <hyperlink ref="G140" location="'System peak demand'!$C$164" display="'System peak demand'!$C$164" xr:uid="{00000000-0004-0000-0300-0000EE000000}"/>
    <hyperlink ref="F141" location="'System peak demand'!A4" display="'" xr:uid="{00000000-0004-0000-0300-0000EF000000}"/>
    <hyperlink ref="G141" location="'System peak demand'!$C$184" display="'System peak demand'!$C$184" xr:uid="{00000000-0004-0000-0300-0000F0000000}"/>
    <hyperlink ref="F142" location="'System peak demand'!A4" display="'" xr:uid="{00000000-0004-0000-0300-0000F1000000}"/>
    <hyperlink ref="G142" location="'System peak demand'!$C$194" display="'System peak demand'!$C$194" xr:uid="{00000000-0004-0000-0300-0000F2000000}"/>
    <hyperlink ref="F143" location="'System peak demand'!A4" display="'" xr:uid="{00000000-0004-0000-0300-0000F3000000}"/>
    <hyperlink ref="G143" location="'System peak demand'!$C$236" display="'System peak demand'!$C$236" xr:uid="{00000000-0004-0000-0300-0000F4000000}"/>
    <hyperlink ref="F144" location="'System peak demand'!A4" display="'" xr:uid="{00000000-0004-0000-0300-0000F5000000}"/>
    <hyperlink ref="G144" location="'System peak demand'!$C$249" display="'System peak demand'!$C$249" xr:uid="{00000000-0004-0000-0300-0000F6000000}"/>
    <hyperlink ref="F145" location="'System peak demand'!A4" display="'" xr:uid="{00000000-0004-0000-0300-0000F7000000}"/>
    <hyperlink ref="G145" location="'System peak demand'!$C$266" display="'System peak demand'!$C$266" xr:uid="{00000000-0004-0000-0300-0000F8000000}"/>
    <hyperlink ref="F146" location="'Service model assets'!A4" display="'" xr:uid="{00000000-0004-0000-0300-0000F9000000}"/>
    <hyperlink ref="G146" location="'Service model assets'!$C$14" display="'Service model assets'!$C$14" xr:uid="{00000000-0004-0000-0300-0000FA000000}"/>
    <hyperlink ref="F147" location="'Unit costs'!A4" display="'" xr:uid="{00000000-0004-0000-0300-0000FB000000}"/>
    <hyperlink ref="G147" location="'Unit costs'!$C$19" display="'Unit costs'!$C$19" xr:uid="{00000000-0004-0000-0300-0000FC000000}"/>
    <hyperlink ref="F148" location="'Unit costs'!A4" display="'" xr:uid="{00000000-0004-0000-0300-0000FD000000}"/>
    <hyperlink ref="G148" location="'Unit costs'!$C$27" display="'Unit costs'!$C$27" xr:uid="{00000000-0004-0000-0300-0000FE000000}"/>
    <hyperlink ref="F149" location="'Unit costs'!A4" display="'" xr:uid="{00000000-0004-0000-0300-0000FF000000}"/>
    <hyperlink ref="G149" location="'Unit costs'!$C$35" display="'Unit costs'!$C$35" xr:uid="{00000000-0004-0000-0300-000000010000}"/>
    <hyperlink ref="F150" location="'Unit costs'!A4" display="'" xr:uid="{00000000-0004-0000-0300-000001010000}"/>
    <hyperlink ref="G150" location="'Unit costs'!$C$42" display="'Unit costs'!$C$42" xr:uid="{00000000-0004-0000-0300-000002010000}"/>
    <hyperlink ref="F151" location="'Unit costs'!A4" display="'" xr:uid="{00000000-0004-0000-0300-000003010000}"/>
    <hyperlink ref="G151" location="'Unit costs'!$C$50" display="'Unit costs'!$C$50" xr:uid="{00000000-0004-0000-0300-000004010000}"/>
    <hyperlink ref="F152" location="'Unit costs'!A4" display="'" xr:uid="{00000000-0004-0000-0300-000005010000}"/>
    <hyperlink ref="G152" location="'Unit costs'!$C$62" display="'Unit costs'!$C$62" xr:uid="{00000000-0004-0000-0300-000006010000}"/>
    <hyperlink ref="F153" location="'Unit costs'!A4" display="'" xr:uid="{00000000-0004-0000-0300-000007010000}"/>
    <hyperlink ref="G153" location="'Unit costs'!$C$69" display="'Unit costs'!$C$69" xr:uid="{00000000-0004-0000-0300-000008010000}"/>
    <hyperlink ref="F154" location="'Unit costs'!A4" display="'" xr:uid="{00000000-0004-0000-0300-000009010000}"/>
    <hyperlink ref="G154" location="'Unit costs'!$C$80" display="'Unit costs'!$C$80" xr:uid="{00000000-0004-0000-0300-00000A010000}"/>
    <hyperlink ref="F155" location="'Unit costs'!A4" display="'" xr:uid="{00000000-0004-0000-0300-00000B010000}"/>
    <hyperlink ref="G155" location="'Unit costs'!$C$92" display="'Unit costs'!$C$92" xr:uid="{00000000-0004-0000-0300-00000C010000}"/>
    <hyperlink ref="F156" location="'Unit costs'!A4" display="'" xr:uid="{00000000-0004-0000-0300-00000D010000}"/>
    <hyperlink ref="G156" location="'Unit costs'!$C$104" display="'Unit costs'!$C$104" xr:uid="{00000000-0004-0000-0300-00000E010000}"/>
    <hyperlink ref="F157" location="'Unit costs'!A4" display="'" xr:uid="{00000000-0004-0000-0300-00000F010000}"/>
    <hyperlink ref="G157" location="'Unit costs'!$C$110" display="'Unit costs'!$C$110" xr:uid="{00000000-0004-0000-0300-000010010000}"/>
    <hyperlink ref="F158" location="'Unit costs'!A4" display="'" xr:uid="{00000000-0004-0000-0300-000011010000}"/>
    <hyperlink ref="G158" location="'Unit costs'!$C$117" display="'Unit costs'!$C$117" xr:uid="{00000000-0004-0000-0300-000012010000}"/>
    <hyperlink ref="F159" location="'Initial unit rates'!A4" display="'" xr:uid="{00000000-0004-0000-0300-000013010000}"/>
    <hyperlink ref="G159" location="'Initial unit rates'!$C$13" display="'Initial unit rates'!$C$13" xr:uid="{00000000-0004-0000-0300-000014010000}"/>
    <hyperlink ref="F160" location="'Initial unit rates'!A4" display="'" xr:uid="{00000000-0004-0000-0300-000015010000}"/>
    <hyperlink ref="G160" location="'Initial unit rates'!$C$118" display="'Initial unit rates'!$C$118" xr:uid="{00000000-0004-0000-0300-000016010000}"/>
    <hyperlink ref="F161" location="'Initial unit rates'!A4" display="'" xr:uid="{00000000-0004-0000-0300-000017010000}"/>
    <hyperlink ref="G161" location="'Initial unit rates'!$C$146" display="'Initial unit rates'!$C$146" xr:uid="{00000000-0004-0000-0300-000018010000}"/>
    <hyperlink ref="F162" location="'Initial unit rates'!A4" display="'" xr:uid="{00000000-0004-0000-0300-000019010000}"/>
    <hyperlink ref="G162" location="'Initial unit rates'!$C$175" display="'Initial unit rates'!$C$175" xr:uid="{00000000-0004-0000-0300-00001A010000}"/>
    <hyperlink ref="F163" location="'Initial unit rates'!A4" display="'" xr:uid="{00000000-0004-0000-0300-00001B010000}"/>
    <hyperlink ref="G163" location="'Initial unit rates'!$C$204" display="'Initial unit rates'!$C$204" xr:uid="{00000000-0004-0000-0300-00001C010000}"/>
    <hyperlink ref="F164" location="'Service model charges'!A4" display="'" xr:uid="{00000000-0004-0000-0300-00001D010000}"/>
    <hyperlink ref="G164" location="'Service model charges'!$C$17" display="'Service model charges'!$C$17" xr:uid="{00000000-0004-0000-0300-00001E010000}"/>
    <hyperlink ref="F165" location="'Service model charges'!A4" display="'" xr:uid="{00000000-0004-0000-0300-00001F010000}"/>
    <hyperlink ref="G165" location="'Service model charges'!$C$33" display="'Service model charges'!$C$33" xr:uid="{00000000-0004-0000-0300-000020010000}"/>
    <hyperlink ref="F166" location="'Service model charges'!A4" display="'" xr:uid="{00000000-0004-0000-0300-000021010000}"/>
    <hyperlink ref="G166" location="'Service model charges'!$C$37" display="'Service model charges'!$C$37" xr:uid="{00000000-0004-0000-0300-000022010000}"/>
    <hyperlink ref="F167" location="'Unit rate charges'!A4" display="'" xr:uid="{00000000-0004-0000-0300-000023010000}"/>
    <hyperlink ref="G167" location="'Unit rate charges'!$C$19" display="'Unit rate charges'!$C$19" xr:uid="{00000000-0004-0000-0300-000024010000}"/>
    <hyperlink ref="F168" location="'Unit rate charges'!A4" display="'" xr:uid="{00000000-0004-0000-0300-000025010000}"/>
    <hyperlink ref="G168" location="'Unit rate charges'!$C$49" display="'Unit rate charges'!$C$49" xr:uid="{00000000-0004-0000-0300-000026010000}"/>
    <hyperlink ref="F169" location="'Unit rate charges'!A4" display="'" xr:uid="{00000000-0004-0000-0300-000027010000}"/>
    <hyperlink ref="G169" location="'Unit rate charges'!$C$79" display="'Unit rate charges'!$C$79" xr:uid="{00000000-0004-0000-0300-000028010000}"/>
    <hyperlink ref="F170" location="'Unit rate charges'!A4" display="'" xr:uid="{00000000-0004-0000-0300-000029010000}"/>
    <hyperlink ref="G170" location="'Unit rate charges'!$C$109" display="'Unit rate charges'!$C$109" xr:uid="{00000000-0004-0000-0300-00002A010000}"/>
    <hyperlink ref="F171" location="'Unit rate charges'!A4" display="'" xr:uid="{00000000-0004-0000-0300-00002B010000}"/>
    <hyperlink ref="G171" location="'Unit rate charges'!$C$124" display="'Unit rate charges'!$C$124" xr:uid="{00000000-0004-0000-0300-00002C010000}"/>
    <hyperlink ref="F172" location="'Unit rate charges'!A4" display="'" xr:uid="{00000000-0004-0000-0300-00002D010000}"/>
    <hyperlink ref="G172" location="'Unit rate charges'!$C$154" display="'Unit rate charges'!$C$154" xr:uid="{00000000-0004-0000-0300-00002E010000}"/>
    <hyperlink ref="F173" location="'Unit rate charges'!A4" display="'" xr:uid="{00000000-0004-0000-0300-00002F010000}"/>
    <hyperlink ref="G173" location="'Unit rate charges'!$C$184" display="'Unit rate charges'!$C$184" xr:uid="{00000000-0004-0000-0300-000030010000}"/>
    <hyperlink ref="F174" location="'Unit rate charges'!A4" display="'" xr:uid="{00000000-0004-0000-0300-000031010000}"/>
    <hyperlink ref="G174" location="'Unit rate charges'!$C$214" display="'Unit rate charges'!$C$214" xr:uid="{00000000-0004-0000-0300-000032010000}"/>
    <hyperlink ref="F175" location="'Capacity charges'!A4" display="'" xr:uid="{00000000-0004-0000-0300-000033010000}"/>
    <hyperlink ref="G175" location="'Capacity charges'!$C$19" display="'Capacity charges'!$C$19" xr:uid="{00000000-0004-0000-0300-000034010000}"/>
    <hyperlink ref="F176" location="'Capacity charges'!A4" display="'" xr:uid="{00000000-0004-0000-0300-000035010000}"/>
    <hyperlink ref="G176" location="'Capacity charges'!$C$129" display="'Capacity charges'!$C$129" xr:uid="{00000000-0004-0000-0300-000036010000}"/>
    <hyperlink ref="F177" location="'Capacity charges'!A4" display="'" xr:uid="{00000000-0004-0000-0300-000037010000}"/>
    <hyperlink ref="G177" location="'Capacity charges'!$C$159" display="'Capacity charges'!$C$159" xr:uid="{00000000-0004-0000-0300-000038010000}"/>
    <hyperlink ref="F178" location="'Capacity charges'!A4" display="'" xr:uid="{00000000-0004-0000-0300-000039010000}"/>
    <hyperlink ref="G178" location="'Capacity charges'!$C$189" display="'Capacity charges'!$C$189" xr:uid="{00000000-0004-0000-0300-00003A010000}"/>
    <hyperlink ref="F179" location="'Capacity charges'!A4" display="'" xr:uid="{00000000-0004-0000-0300-00003B010000}"/>
    <hyperlink ref="G179" location="'Capacity charges'!$C$219" display="'Capacity charges'!$C$219" xr:uid="{00000000-0004-0000-0300-00003C010000}"/>
    <hyperlink ref="F180" location="'Capacity charges'!A4" display="'" xr:uid="{00000000-0004-0000-0300-00003D010000}"/>
    <hyperlink ref="G180" location="'Capacity charges'!$C$254" display="'Capacity charges'!$C$254" xr:uid="{00000000-0004-0000-0300-00003E010000}"/>
    <hyperlink ref="F181" location="'Capacity charges'!A4" display="'" xr:uid="{00000000-0004-0000-0300-00003F010000}"/>
    <hyperlink ref="G181" location="'Capacity charges'!$C$259" display="'Capacity charges'!$C$259" xr:uid="{00000000-0004-0000-0300-000040010000}"/>
    <hyperlink ref="F182" location="'Reactive power charges'!A4" display="'" xr:uid="{00000000-0004-0000-0300-000041010000}"/>
    <hyperlink ref="G182" location="'Reactive power charges'!$C$17" display="'Reactive power charges'!$C$17" xr:uid="{00000000-0004-0000-0300-000042010000}"/>
    <hyperlink ref="F183" location="'Reactive power charges'!A4" display="'" xr:uid="{00000000-0004-0000-0300-000043010000}"/>
    <hyperlink ref="G183" location="'Reactive power charges'!$C$120" display="'Reactive power charges'!$C$120" xr:uid="{00000000-0004-0000-0300-000044010000}"/>
    <hyperlink ref="F184" location="'Reactive power charges'!A4" display="'" xr:uid="{00000000-0004-0000-0300-000045010000}"/>
    <hyperlink ref="G184" location="'Reactive power charges'!$C$155" display="'Reactive power charges'!$C$155" xr:uid="{00000000-0004-0000-0300-000046010000}"/>
    <hyperlink ref="F185" location="'Reactive power charges'!A4" display="'" xr:uid="{00000000-0004-0000-0300-000047010000}"/>
    <hyperlink ref="G185" location="'Reactive power charges'!$C$190" display="'Reactive power charges'!$C$190" xr:uid="{00000000-0004-0000-0300-000048010000}"/>
    <hyperlink ref="F186" location="'Reactive power charges'!A4" display="'" xr:uid="{00000000-0004-0000-0300-000049010000}"/>
    <hyperlink ref="G186" location="'Reactive power charges'!$C$220" display="'Reactive power charges'!$C$220" xr:uid="{00000000-0004-0000-0300-00004A010000}"/>
    <hyperlink ref="F187" location="'Fixed charges'!A4" display="'" xr:uid="{00000000-0004-0000-0300-00004B010000}"/>
    <hyperlink ref="G187" location="'Fixed charges'!$C$16" display="'Fixed charges'!$C$16" xr:uid="{00000000-0004-0000-0300-00004C010000}"/>
    <hyperlink ref="F188" location="'Fixed charges'!A4" display="'" xr:uid="{00000000-0004-0000-0300-00004D010000}"/>
    <hyperlink ref="G188" location="'Fixed charges'!$C$22" display="'Fixed charges'!$C$22" xr:uid="{00000000-0004-0000-0300-00004E010000}"/>
    <hyperlink ref="F189" location="'Fixed charges'!A4" display="'" xr:uid="{00000000-0004-0000-0300-00004F010000}"/>
    <hyperlink ref="G189" location="'Fixed charges'!$C$52" display="'Fixed charges'!$C$52" xr:uid="{00000000-0004-0000-0300-000050010000}"/>
    <hyperlink ref="F190" location="'Fixed charges'!A4" display="'" xr:uid="{00000000-0004-0000-0300-000051010000}"/>
    <hyperlink ref="G190" location="'Fixed charges'!$C$58" display="'Fixed charges'!$C$58" xr:uid="{00000000-0004-0000-0300-000052010000}"/>
    <hyperlink ref="F191" location="'Fixed charges'!A4" display="'" xr:uid="{00000000-0004-0000-0300-000053010000}"/>
    <hyperlink ref="G191" location="'Fixed charges'!$C$67" display="'Fixed charges'!$C$67" xr:uid="{00000000-0004-0000-0300-000054010000}"/>
    <hyperlink ref="F192" location="'Fixed charges'!A4" display="'" xr:uid="{00000000-0004-0000-0300-000055010000}"/>
    <hyperlink ref="G192" location="'Fixed charges'!$C$97" display="'Fixed charges'!$C$97" xr:uid="{00000000-0004-0000-0300-000056010000}"/>
    <hyperlink ref="F193" location="'Fixed charges'!A4" display="'" xr:uid="{00000000-0004-0000-0300-000057010000}"/>
    <hyperlink ref="G193" location="'Fixed charges'!$C$127" display="'Fixed charges'!$C$127" xr:uid="{00000000-0004-0000-0300-000058010000}"/>
    <hyperlink ref="F194" location="'Fixed charges'!A4" display="'" xr:uid="{00000000-0004-0000-0300-000059010000}"/>
    <hyperlink ref="G194" location="'Fixed charges'!$C$159" display="'Fixed charges'!$C$159" xr:uid="{00000000-0004-0000-0300-00005A010000}"/>
    <hyperlink ref="F195" location="'Fixed charge adder'!A4" display="'" xr:uid="{00000000-0004-0000-0300-00005B010000}"/>
    <hyperlink ref="G195" location="'Fixed charge adder'!$C$16" display="'Fixed charge adder'!$C$16" xr:uid="{00000000-0004-0000-0300-00005C010000}"/>
    <hyperlink ref="F196" location="'Fixed charge adder'!A4" display="'" xr:uid="{00000000-0004-0000-0300-00005D010000}"/>
    <hyperlink ref="G196" location="'Fixed charge adder'!$C$33" display="'Fixed charge adder'!$C$33" xr:uid="{00000000-0004-0000-0300-00005E010000}"/>
    <hyperlink ref="F197" location="'Fixed charge adder'!A4" display="'" xr:uid="{00000000-0004-0000-0300-00005F010000}"/>
    <hyperlink ref="G197" location="'Fixed charge adder'!$C$48" display="'Fixed charge adder'!$C$48" xr:uid="{00000000-0004-0000-0300-000060010000}"/>
    <hyperlink ref="F198" location="'Revenue matching'!A4" display="'" xr:uid="{00000000-0004-0000-0300-000061010000}"/>
    <hyperlink ref="G198" location="'Revenue matching'!$C$15" display="'Revenue matching'!$C$15" xr:uid="{00000000-0004-0000-0300-000062010000}"/>
    <hyperlink ref="F199" location="'Revenue matching'!A4" display="'" xr:uid="{00000000-0004-0000-0300-000063010000}"/>
    <hyperlink ref="G199" location="'Revenue matching'!$C$69" display="'Revenue matching'!$C$69" xr:uid="{00000000-0004-0000-0300-000064010000}"/>
    <hyperlink ref="F200" location="'Revenue matching'!A4" display="'" xr:uid="{00000000-0004-0000-0300-000065010000}"/>
    <hyperlink ref="G200" location="'Revenue matching'!$C$88" display="'Revenue matching'!$C$88" xr:uid="{00000000-0004-0000-0300-000066010000}"/>
    <hyperlink ref="F201" location="'Revenue matching'!A4" display="'" xr:uid="{00000000-0004-0000-0300-000067010000}"/>
    <hyperlink ref="G201" location="'Revenue matching'!$C$151" display="'Revenue matching'!$C$151" xr:uid="{00000000-0004-0000-0300-000068010000}"/>
    <hyperlink ref="F202" location="'Revenue matching'!A4" display="'" xr:uid="{00000000-0004-0000-0300-000069010000}"/>
    <hyperlink ref="G202" location="'Revenue matching'!$C$159" display="'Revenue matching'!$C$159" xr:uid="{00000000-0004-0000-0300-00006A010000}"/>
    <hyperlink ref="F203" location="'Revenue matching'!A4" display="'" xr:uid="{00000000-0004-0000-0300-00006B010000}"/>
    <hyperlink ref="G203" location="'Revenue matching'!$C$176" display="'Revenue matching'!$C$176" xr:uid="{00000000-0004-0000-0300-00006C010000}"/>
    <hyperlink ref="F204" location="'Revenue matching'!A4" display="'" xr:uid="{00000000-0004-0000-0300-00006D010000}"/>
    <hyperlink ref="G204" location="'Revenue matching'!$C$192" display="'Revenue matching'!$C$192" xr:uid="{00000000-0004-0000-0300-00006E010000}"/>
    <hyperlink ref="F205" location="'Revenue matching'!A4" display="'" xr:uid="{00000000-0004-0000-0300-00006F010000}"/>
    <hyperlink ref="G205" location="'Revenue matching'!$C$200" display="'Revenue matching'!$C$200" xr:uid="{00000000-0004-0000-0300-000070010000}"/>
    <hyperlink ref="F206" location="'Revenue matching'!A4" display="'" xr:uid="{00000000-0004-0000-0300-000071010000}"/>
    <hyperlink ref="G206" location="'Revenue matching'!$C$213" display="'Revenue matching'!$C$213" xr:uid="{00000000-0004-0000-0300-000072010000}"/>
    <hyperlink ref="F207" location="'Revenue matching'!A4" display="'" xr:uid="{00000000-0004-0000-0300-000073010000}"/>
    <hyperlink ref="G207" location="'Revenue matching'!$C$232" display="'Revenue matching'!$C$232" xr:uid="{00000000-0004-0000-0300-000074010000}"/>
    <hyperlink ref="F208" location="'Revenue matching'!A4" display="'" xr:uid="{00000000-0004-0000-0300-000075010000}"/>
    <hyperlink ref="G208" location="'Revenue matching'!$C$286" display="'Revenue matching'!$C$286" xr:uid="{00000000-0004-0000-0300-000076010000}"/>
    <hyperlink ref="F209" location="'Revenue matching'!A4" display="'" xr:uid="{00000000-0004-0000-0300-000077010000}"/>
    <hyperlink ref="G209" location="'Revenue matching'!$C$313" display="'Revenue matching'!$C$313" xr:uid="{00000000-0004-0000-0300-000078010000}"/>
    <hyperlink ref="F210" location="'Revenue matching'!A4" display="'" xr:uid="{00000000-0004-0000-0300-000079010000}"/>
    <hyperlink ref="G210" location="'Revenue matching'!$C$345" display="'Revenue matching'!$C$345" xr:uid="{00000000-0004-0000-0300-00007A010000}"/>
    <hyperlink ref="F211" location="'Revenue matching'!A4" display="'" xr:uid="{00000000-0004-0000-0300-00007B010000}"/>
    <hyperlink ref="G211" location="'Revenue matching'!$C$377" display="'Revenue matching'!$C$377" xr:uid="{00000000-0004-0000-0300-00007C010000}"/>
    <hyperlink ref="F212" location="'Revenue matching'!A4" display="'" xr:uid="{00000000-0004-0000-0300-00007D010000}"/>
    <hyperlink ref="G212" location="'Revenue matching'!$C$409" display="'Revenue matching'!$C$409" xr:uid="{00000000-0004-0000-0300-00007E010000}"/>
    <hyperlink ref="F213" location="'Rounding'!A4" display="'" xr:uid="{00000000-0004-0000-0300-00007F010000}"/>
    <hyperlink ref="G213" location="'Rounding'!$C$16" display="'Rounding'!$C$16" xr:uid="{00000000-0004-0000-0300-000080010000}"/>
    <hyperlink ref="F214" location="'Rounding'!A4" display="'" xr:uid="{00000000-0004-0000-0300-000081010000}"/>
    <hyperlink ref="G214" location="'Rounding'!$C$28" display="'Rounding'!$C$28" xr:uid="{00000000-0004-0000-0300-000082010000}"/>
    <hyperlink ref="F215" location="'Rounding'!A4" display="'" xr:uid="{00000000-0004-0000-0300-000083010000}"/>
    <hyperlink ref="G215" location="'Rounding'!$C$40" display="'Rounding'!$C$40" xr:uid="{00000000-0004-0000-0300-000084010000}"/>
    <hyperlink ref="F216" location="'Rounding'!A4" display="'" xr:uid="{00000000-0004-0000-0300-000085010000}"/>
    <hyperlink ref="G216" location="'Rounding'!$C$52" display="'Rounding'!$C$52" xr:uid="{00000000-0004-0000-0300-000086010000}"/>
    <hyperlink ref="F217" location="'Rounding'!A4" display="'" xr:uid="{00000000-0004-0000-0300-000087010000}"/>
    <hyperlink ref="G217" location="'Rounding'!$C$92" display="'Rounding'!$C$92" xr:uid="{00000000-0004-0000-0300-000088010000}"/>
    <hyperlink ref="F218" location="'Rounding'!A4" display="'" xr:uid="{00000000-0004-0000-0300-000089010000}"/>
    <hyperlink ref="G218" location="'Rounding'!$C$107" display="'Rounding'!$C$107" xr:uid="{00000000-0004-0000-0300-00008A010000}"/>
    <hyperlink ref="F219" location="'Rounding'!A4" display="'" xr:uid="{00000000-0004-0000-0300-00008B010000}"/>
    <hyperlink ref="G219" location="'Rounding'!$C$118" display="'Rounding'!$C$118" xr:uid="{00000000-0004-0000-0300-00008C010000}"/>
    <hyperlink ref="F220" location="'Rounding'!A4" display="'" xr:uid="{00000000-0004-0000-0300-00008D010000}"/>
    <hyperlink ref="G220" location="'Rounding'!$C$147" display="'Rounding'!$C$147" xr:uid="{00000000-0004-0000-0300-00008E010000}"/>
    <hyperlink ref="F221" location="'Net revenue summary'!A4" display="'" xr:uid="{00000000-0004-0000-0300-00008F010000}"/>
    <hyperlink ref="G221" location="'Net revenue summary'!$C$13" display="'Net revenue summary'!$C$13" xr:uid="{00000000-0004-0000-0300-000090010000}"/>
    <hyperlink ref="F222" location="'Net revenue summary'!A4" display="'" xr:uid="{00000000-0004-0000-0300-000091010000}"/>
    <hyperlink ref="G222" location="'Net revenue summary'!$C$52" display="'Net revenue summary'!$C$52" xr:uid="{00000000-0004-0000-0300-000092010000}"/>
    <hyperlink ref="F223" location="'Net revenue summary'!A4" display="'" xr:uid="{00000000-0004-0000-0300-000093010000}"/>
    <hyperlink ref="G223" location="'Net revenue summary'!$C$81" display="'Net revenue summary'!$C$81" xr:uid="{00000000-0004-0000-0300-000094010000}"/>
    <hyperlink ref="F224" location="'Net revenue summary'!A4" display="'" xr:uid="{00000000-0004-0000-0300-000095010000}"/>
    <hyperlink ref="G224" location="'Net revenue summary'!$C$92" display="'Net revenue summary'!$C$92" xr:uid="{00000000-0004-0000-0300-000096010000}"/>
    <hyperlink ref="F225" location="'Net revenue summary'!A4" display="'" xr:uid="{00000000-0004-0000-0300-000097010000}"/>
    <hyperlink ref="G225" location="'Net revenue summary'!$C$124" display="'Net revenue summary'!$C$124" xr:uid="{00000000-0004-0000-0300-000098010000}"/>
    <hyperlink ref="F226" location="'Net revenue summary'!A4" display="'" xr:uid="{00000000-0004-0000-0300-000099010000}"/>
    <hyperlink ref="G226" location="'Net revenue summary'!$C$138" display="'Net revenue summary'!$C$138" xr:uid="{00000000-0004-0000-0300-00009A010000}"/>
    <hyperlink ref="F227" location="'Net revenue summary'!A4" display="'" xr:uid="{00000000-0004-0000-0300-00009B010000}"/>
    <hyperlink ref="G227" location="'Net revenue summary'!$C$144" display="'Net revenue summary'!$C$144" xr:uid="{00000000-0004-0000-0300-00009C010000}"/>
    <hyperlink ref="F228" location="'Net revenue summary'!A4" display="'" xr:uid="{00000000-0004-0000-0300-00009D010000}"/>
    <hyperlink ref="G228" location="'Net revenue summary'!$C$152" display="'Net revenue summary'!$C$152" xr:uid="{00000000-0004-0000-0300-00009E010000}"/>
    <hyperlink ref="F229" location="'Net revenue summary'!A4" display="'" xr:uid="{00000000-0004-0000-0300-00009F010000}"/>
    <hyperlink ref="G229" location="'Net revenue summary'!$C$163" display="'Net revenue summary'!$C$163" xr:uid="{00000000-0004-0000-0300-0000A0010000}"/>
    <hyperlink ref="F230" location="'Net revenue summary'!A4" display="'" xr:uid="{00000000-0004-0000-0300-0000A1010000}"/>
    <hyperlink ref="G230" location="'Net revenue summary'!$C$178" display="'Net revenue summary'!$C$178" xr:uid="{00000000-0004-0000-0300-0000A2010000}"/>
    <hyperlink ref="F231" location="'Net revenue summary'!A4" display="'" xr:uid="{00000000-0004-0000-0300-0000A3010000}"/>
    <hyperlink ref="G231" location="'Net revenue summary'!$C$202" display="'Net revenue summary'!$C$202" xr:uid="{00000000-0004-0000-0300-0000A4010000}"/>
    <hyperlink ref="F232" location="'Tariff summary'!A4" display="'" xr:uid="{00000000-0004-0000-0300-0000A5010000}"/>
    <hyperlink ref="G232" location="'Tariff summary'!$C$13" display="'Tariff summary'!$C$13" xr:uid="{00000000-0004-0000-0300-0000A6010000}"/>
    <hyperlink ref="F233" location="'Output to other models'!A4" display="'" xr:uid="{00000000-0004-0000-0300-0000A7010000}"/>
    <hyperlink ref="G233" location="'Output to other models'!$C$14" display="'Output to other models'!$C$14" xr:uid="{00000000-0004-0000-0300-0000A8010000}"/>
    <hyperlink ref="F235" location="'Output to other models'!A4" display="'" xr:uid="{00000000-0004-0000-0300-0000A9010000}"/>
    <hyperlink ref="G235" location="'Output to other models'!$C$27" display="'Output to other models'!$C$27" xr:uid="{00000000-0004-0000-0300-0000AA010000}"/>
    <hyperlink ref="F236" location="'Output to other models'!A4" display="'" xr:uid="{00000000-0004-0000-0300-0000AB010000}"/>
    <hyperlink ref="G236" location="'Output to other models'!$C$45" display="'Output to other models'!$C$45" xr:uid="{00000000-0004-0000-0300-0000AC010000}"/>
    <hyperlink ref="F237" location="'Output to other models'!A4" display="'" xr:uid="{00000000-0004-0000-0300-0000AD010000}"/>
    <hyperlink ref="G237" location="'Output to other models'!$C$57" display="'Output to other models'!$C$57" xr:uid="{00000000-0004-0000-0300-0000AE010000}"/>
    <hyperlink ref="F238" location="'Output to other models'!A4" display="'" xr:uid="{00000000-0004-0000-0300-0000AF010000}"/>
    <hyperlink ref="G238" location="'Output to other models'!$C$67" display="'Output to other models'!$C$67" xr:uid="{00000000-0004-0000-0300-0000B0010000}"/>
    <hyperlink ref="G234" location="'Output to other models'!C25" display="'Output to other models'!C25" xr:uid="{00000000-0004-0000-0300-0000B101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[enter DNO name] - [enter data version name]</v>
      </c>
    </row>
    <row r="3" spans="1:8" s="5" customFormat="1" x14ac:dyDescent="0.25">
      <c r="A3" s="5" t="str">
        <f>Cover!D2&amp;" - "&amp;Cover!D8&amp;" v"&amp;Cover!D10&amp;" - "&amp;Cover!D19</f>
        <v>CDCM charging model - Release for charge setting v11 - 2027/28</v>
      </c>
    </row>
    <row r="5" spans="1:8" x14ac:dyDescent="0.25">
      <c r="B5" s="64" t="s">
        <v>123</v>
      </c>
      <c r="C5" s="64"/>
      <c r="D5" s="64"/>
      <c r="E5" s="64"/>
      <c r="F5" s="65"/>
      <c r="G5" s="65"/>
      <c r="H5" s="65"/>
    </row>
    <row r="6" spans="1:8" x14ac:dyDescent="0.25">
      <c r="B6" s="63"/>
      <c r="C6" s="63"/>
      <c r="D6" s="63"/>
      <c r="E6" s="63"/>
      <c r="F6" s="66"/>
      <c r="G6" s="63"/>
      <c r="H6" s="63"/>
    </row>
    <row r="7" spans="1:8" x14ac:dyDescent="0.25">
      <c r="F7" s="19" t="s">
        <v>124</v>
      </c>
      <c r="G7" t="s">
        <v>125</v>
      </c>
      <c r="H7" t="s">
        <v>116</v>
      </c>
    </row>
    <row r="8" spans="1:8" x14ac:dyDescent="0.25">
      <c r="F8" s="19" t="s">
        <v>126</v>
      </c>
      <c r="G8" t="s">
        <v>127</v>
      </c>
      <c r="H8" t="s">
        <v>55</v>
      </c>
    </row>
    <row r="9" spans="1:8" x14ac:dyDescent="0.25">
      <c r="F9" s="19" t="s">
        <v>128</v>
      </c>
      <c r="G9" t="s">
        <v>129</v>
      </c>
      <c r="H9" t="s">
        <v>62</v>
      </c>
    </row>
    <row r="10" spans="1:8" x14ac:dyDescent="0.25">
      <c r="F10" s="19" t="s">
        <v>130</v>
      </c>
      <c r="G10" t="s">
        <v>131</v>
      </c>
      <c r="H10" t="s">
        <v>116</v>
      </c>
    </row>
    <row r="11" spans="1:8" x14ac:dyDescent="0.25">
      <c r="F11" s="19" t="s">
        <v>132</v>
      </c>
      <c r="G11" t="s">
        <v>133</v>
      </c>
      <c r="H11" t="s">
        <v>55</v>
      </c>
    </row>
    <row r="12" spans="1:8" x14ac:dyDescent="0.25">
      <c r="F12" s="19" t="s">
        <v>134</v>
      </c>
      <c r="G12" t="s">
        <v>135</v>
      </c>
      <c r="H12" t="s">
        <v>62</v>
      </c>
    </row>
    <row r="13" spans="1:8" x14ac:dyDescent="0.25">
      <c r="F13" s="19" t="s">
        <v>136</v>
      </c>
      <c r="G13" t="s">
        <v>137</v>
      </c>
      <c r="H13" t="s">
        <v>55</v>
      </c>
    </row>
    <row r="14" spans="1:8" x14ac:dyDescent="0.25">
      <c r="F14" s="19" t="s">
        <v>138</v>
      </c>
      <c r="G14" t="s">
        <v>139</v>
      </c>
      <c r="H14" t="s">
        <v>55</v>
      </c>
    </row>
    <row r="15" spans="1:8" x14ac:dyDescent="0.25">
      <c r="F15" s="19" t="s">
        <v>140</v>
      </c>
      <c r="G15" t="s">
        <v>141</v>
      </c>
      <c r="H15" t="s">
        <v>55</v>
      </c>
    </row>
    <row r="16" spans="1:8" x14ac:dyDescent="0.25">
      <c r="F16" s="19" t="s">
        <v>142</v>
      </c>
      <c r="G16" t="s">
        <v>1165</v>
      </c>
      <c r="H16" t="s">
        <v>55</v>
      </c>
    </row>
    <row r="17" spans="2:8" x14ac:dyDescent="0.25">
      <c r="F17" s="19" t="s">
        <v>1163</v>
      </c>
      <c r="G17" t="s">
        <v>1164</v>
      </c>
      <c r="H17" t="s">
        <v>55</v>
      </c>
    </row>
    <row r="18" spans="2:8" x14ac:dyDescent="0.25">
      <c r="F18" s="19"/>
    </row>
    <row r="19" spans="2:8" x14ac:dyDescent="0.25">
      <c r="B19" s="64" t="s">
        <v>108</v>
      </c>
      <c r="C19" s="64"/>
      <c r="D19" s="64"/>
      <c r="E19" s="64"/>
      <c r="F19" s="65"/>
      <c r="G19" s="65"/>
      <c r="H19" s="65"/>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 ref="F17" location="'Fixed inputs'!H19" display="million"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147</v>
      </c>
    </row>
    <row r="11" spans="1:43" x14ac:dyDescent="0.25">
      <c r="B11" s="85" t="s">
        <v>55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control'!$H$42:$H$65,MATCH($A$1,'Version control'!$F$42:$F$65,0),1)&amp;"-A: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133</v>
      </c>
      <c r="G15" t="s">
        <v>148</v>
      </c>
      <c r="H15" s="32">
        <v>24</v>
      </c>
    </row>
    <row r="16" spans="1:43" x14ac:dyDescent="0.25">
      <c r="E16" s="94" t="s">
        <v>149</v>
      </c>
      <c r="G16" t="s">
        <v>150</v>
      </c>
      <c r="H16" s="32">
        <v>10</v>
      </c>
    </row>
    <row r="17" spans="3:43" x14ac:dyDescent="0.25">
      <c r="E17" s="94" t="s">
        <v>151</v>
      </c>
      <c r="G17" t="s">
        <v>150</v>
      </c>
      <c r="H17" s="32">
        <v>100</v>
      </c>
    </row>
    <row r="18" spans="3:43" x14ac:dyDescent="0.25">
      <c r="E18" s="94" t="s">
        <v>152</v>
      </c>
      <c r="G18" t="s">
        <v>150</v>
      </c>
      <c r="H18" s="32">
        <v>1000</v>
      </c>
    </row>
    <row r="19" spans="3:43" x14ac:dyDescent="0.25">
      <c r="E19" s="94" t="s">
        <v>1162</v>
      </c>
      <c r="G19" t="s">
        <v>150</v>
      </c>
      <c r="H19" s="32">
        <v>1000000</v>
      </c>
    </row>
    <row r="21" spans="3:43" x14ac:dyDescent="0.25">
      <c r="C21" s="93" t="str">
        <f ca="1">INDEX('Version control'!$H$42:$H$65,MATCH($A$1,'Version control'!$F$42:$F$65,0),1)&amp;"-B: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153</v>
      </c>
    </row>
    <row r="24" spans="3:43" x14ac:dyDescent="0.25">
      <c r="E24" s="75"/>
    </row>
    <row r="25" spans="3:43" x14ac:dyDescent="0.25">
      <c r="E25" s="75" t="s">
        <v>154</v>
      </c>
      <c r="F25" s="86"/>
      <c r="I25" t="s">
        <v>155</v>
      </c>
      <c r="AQ25" t="s">
        <v>156</v>
      </c>
    </row>
    <row r="26" spans="3:43" x14ac:dyDescent="0.25">
      <c r="F26" s="95" t="s">
        <v>157</v>
      </c>
      <c r="G26" s="95" t="s">
        <v>150</v>
      </c>
      <c r="H26" s="8">
        <v>3</v>
      </c>
    </row>
    <row r="27" spans="3:43" x14ac:dyDescent="0.25">
      <c r="F27" t="s">
        <v>158</v>
      </c>
      <c r="G27" t="s">
        <v>150</v>
      </c>
      <c r="H27" s="7">
        <v>3</v>
      </c>
    </row>
    <row r="28" spans="3:43" x14ac:dyDescent="0.25">
      <c r="F28" t="s">
        <v>159</v>
      </c>
      <c r="G28" t="s">
        <v>150</v>
      </c>
      <c r="H28" s="7">
        <v>3</v>
      </c>
    </row>
    <row r="29" spans="3:43" x14ac:dyDescent="0.25">
      <c r="F29" t="s">
        <v>160</v>
      </c>
      <c r="G29" t="s">
        <v>150</v>
      </c>
      <c r="H29" s="7">
        <v>2</v>
      </c>
    </row>
    <row r="30" spans="3:43" x14ac:dyDescent="0.25">
      <c r="F30" t="s">
        <v>161</v>
      </c>
      <c r="G30" t="s">
        <v>150</v>
      </c>
      <c r="H30" s="7">
        <v>2</v>
      </c>
    </row>
    <row r="31" spans="3:43" x14ac:dyDescent="0.25">
      <c r="F31" t="s">
        <v>162</v>
      </c>
      <c r="G31" t="s">
        <v>150</v>
      </c>
      <c r="H31" s="7">
        <v>2</v>
      </c>
    </row>
    <row r="32" spans="3:43" x14ac:dyDescent="0.25">
      <c r="F32" s="96" t="s">
        <v>163</v>
      </c>
      <c r="G32" s="96" t="s">
        <v>150</v>
      </c>
      <c r="H32" s="9">
        <v>3</v>
      </c>
    </row>
    <row r="34" spans="3:43" x14ac:dyDescent="0.25">
      <c r="C34" s="93" t="str">
        <f ca="1">INDEX('Version control'!$H$42:$H$65,MATCH($A$1,'Version control'!$F$42:$F$65,0),1)&amp;"-C: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164</v>
      </c>
      <c r="G36" t="s">
        <v>165</v>
      </c>
      <c r="H36" s="7">
        <v>40</v>
      </c>
      <c r="I36" t="s">
        <v>155</v>
      </c>
      <c r="AQ36" s="3" t="s">
        <v>166</v>
      </c>
    </row>
    <row r="38" spans="3:43" x14ac:dyDescent="0.25">
      <c r="E38" s="94" t="s">
        <v>167</v>
      </c>
      <c r="G38" t="s">
        <v>168</v>
      </c>
      <c r="H38" s="7">
        <v>0.95</v>
      </c>
      <c r="I38" t="s">
        <v>155</v>
      </c>
      <c r="AQ38" t="s">
        <v>169</v>
      </c>
    </row>
    <row r="40" spans="3:43" x14ac:dyDescent="0.25">
      <c r="E40" s="94" t="s">
        <v>170</v>
      </c>
      <c r="G40" t="s">
        <v>168</v>
      </c>
      <c r="H40" s="10">
        <v>0.6</v>
      </c>
      <c r="I40" t="s">
        <v>155</v>
      </c>
      <c r="AQ40" s="3" t="s">
        <v>171</v>
      </c>
    </row>
    <row r="42" spans="3:43" x14ac:dyDescent="0.25">
      <c r="E42" s="94" t="s">
        <v>172</v>
      </c>
      <c r="G42" s="94" t="s">
        <v>173</v>
      </c>
      <c r="H42" s="7">
        <v>500</v>
      </c>
      <c r="I42" t="s">
        <v>155</v>
      </c>
      <c r="AQ42" s="97" t="s">
        <v>174</v>
      </c>
    </row>
    <row r="44" spans="3:43" x14ac:dyDescent="0.25">
      <c r="C44" s="93" t="str">
        <f ca="1">INDEX('Version control'!$H$42:$H$65,MATCH($A$1,'Version control'!$F$42:$F$65,0),1)&amp;"-D: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175</v>
      </c>
    </row>
    <row r="47" spans="3:43" x14ac:dyDescent="0.25">
      <c r="F47" s="98" t="s">
        <v>176</v>
      </c>
      <c r="G47" s="95" t="s">
        <v>177</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178</v>
      </c>
      <c r="G48" t="s">
        <v>177</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179</v>
      </c>
      <c r="G49" t="s">
        <v>177</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180</v>
      </c>
      <c r="G50" s="96" t="s">
        <v>177</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181</v>
      </c>
      <c r="I52" t="s">
        <v>155</v>
      </c>
      <c r="AQ52" s="3" t="s">
        <v>182</v>
      </c>
    </row>
    <row r="53" spans="5:43" x14ac:dyDescent="0.25">
      <c r="E53" s="86" t="s">
        <v>183</v>
      </c>
    </row>
    <row r="54" spans="5:43" x14ac:dyDescent="0.25">
      <c r="F54" s="98" t="s">
        <v>184</v>
      </c>
      <c r="G54" s="95" t="s">
        <v>177</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185</v>
      </c>
      <c r="G55" t="s">
        <v>177</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186</v>
      </c>
      <c r="G56" t="s">
        <v>177</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187</v>
      </c>
      <c r="G57" s="96" t="s">
        <v>177</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188</v>
      </c>
    </row>
    <row r="60" spans="5:43" x14ac:dyDescent="0.25">
      <c r="E60" s="86" t="s">
        <v>189</v>
      </c>
    </row>
    <row r="61" spans="5:43" x14ac:dyDescent="0.25">
      <c r="F61" s="95" t="s">
        <v>190</v>
      </c>
      <c r="G61" s="95" t="s">
        <v>191</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192</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193</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194</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195</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196</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197</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198</v>
      </c>
      <c r="G68" t="s">
        <v>191</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199</v>
      </c>
      <c r="G69" t="s">
        <v>191</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200</v>
      </c>
      <c r="G70" s="96" t="s">
        <v>191</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201</v>
      </c>
      <c r="I72" t="s">
        <v>155</v>
      </c>
      <c r="AQ72" s="3" t="s">
        <v>202</v>
      </c>
    </row>
    <row r="73" spans="5:43" x14ac:dyDescent="0.25">
      <c r="E73" s="86" t="s">
        <v>203</v>
      </c>
    </row>
    <row r="74" spans="5:43" x14ac:dyDescent="0.25">
      <c r="E74" s="86"/>
      <c r="F74" s="95" t="s">
        <v>190</v>
      </c>
      <c r="G74" s="95" t="s">
        <v>191</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192</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193</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194</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195</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196</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197</v>
      </c>
      <c r="G80" t="s">
        <v>191</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198</v>
      </c>
      <c r="G81" t="s">
        <v>191</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199</v>
      </c>
      <c r="G82" t="s">
        <v>191</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200</v>
      </c>
      <c r="G83" s="96" t="s">
        <v>191</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control'!$H$42:$H$65,MATCH($A$1,'Version control'!$F$42:$F$65,0),1)&amp;"-E: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122</v>
      </c>
      <c r="F87" s="75"/>
      <c r="I87" t="s">
        <v>155</v>
      </c>
      <c r="AQ87" t="s">
        <v>204</v>
      </c>
    </row>
    <row r="88" spans="3:43" x14ac:dyDescent="0.25">
      <c r="E88" s="86" t="s">
        <v>818</v>
      </c>
      <c r="F88" s="86"/>
    </row>
    <row r="89" spans="3:43" x14ac:dyDescent="0.25">
      <c r="E89" s="86"/>
      <c r="F89" s="95" t="s">
        <v>190</v>
      </c>
      <c r="G89" s="95" t="s">
        <v>168</v>
      </c>
      <c r="H89" s="95"/>
      <c r="I89" s="95"/>
      <c r="J89" s="99"/>
      <c r="K89" s="99"/>
      <c r="L89" s="99"/>
      <c r="M89" s="99"/>
      <c r="N89" s="99"/>
      <c r="O89" s="99"/>
      <c r="P89" s="99"/>
      <c r="Q89" s="99"/>
      <c r="R89" s="99"/>
      <c r="S89" s="99"/>
      <c r="T89" s="99"/>
      <c r="U89" s="99"/>
      <c r="V89" s="99"/>
      <c r="W89" s="99"/>
      <c r="X89" s="99"/>
      <c r="Y89" s="99"/>
    </row>
    <row r="90" spans="3:43" x14ac:dyDescent="0.25">
      <c r="E90" s="86"/>
      <c r="F90" t="s">
        <v>192</v>
      </c>
      <c r="G90" t="s">
        <v>168</v>
      </c>
      <c r="J90" s="100"/>
      <c r="K90" s="100"/>
      <c r="L90" s="100"/>
      <c r="M90" s="100"/>
      <c r="N90" s="100"/>
      <c r="O90" s="100"/>
      <c r="P90" s="100"/>
      <c r="Q90" s="100"/>
      <c r="R90" s="100"/>
      <c r="S90" s="100"/>
      <c r="T90" s="100"/>
      <c r="U90" s="100"/>
      <c r="V90" s="100"/>
      <c r="W90" s="100"/>
      <c r="X90" s="100"/>
      <c r="Y90" s="100"/>
    </row>
    <row r="91" spans="3:43" x14ac:dyDescent="0.25">
      <c r="E91" s="86"/>
      <c r="F91" t="s">
        <v>193</v>
      </c>
      <c r="G91" t="s">
        <v>168</v>
      </c>
      <c r="J91" s="103"/>
      <c r="K91" s="103"/>
      <c r="L91" s="103"/>
      <c r="M91" s="103"/>
      <c r="N91" s="103"/>
      <c r="O91" s="103"/>
      <c r="P91" s="103"/>
      <c r="Q91" s="103"/>
      <c r="R91" s="100"/>
      <c r="S91" s="100"/>
      <c r="T91" s="100"/>
      <c r="U91" s="100"/>
      <c r="V91" s="100"/>
      <c r="W91" s="100"/>
      <c r="X91" s="100"/>
      <c r="Y91" s="100"/>
    </row>
    <row r="92" spans="3:43" x14ac:dyDescent="0.25">
      <c r="E92" s="86"/>
      <c r="F92" t="s">
        <v>194</v>
      </c>
      <c r="G92" t="s">
        <v>168</v>
      </c>
      <c r="J92" s="103"/>
      <c r="K92" s="103"/>
      <c r="L92" s="103"/>
      <c r="M92" s="103"/>
      <c r="N92" s="103"/>
      <c r="O92" s="103"/>
      <c r="P92" s="103"/>
      <c r="Q92" s="103"/>
      <c r="R92" s="100"/>
      <c r="S92" s="100"/>
      <c r="T92" s="100"/>
      <c r="U92" s="100"/>
      <c r="V92" s="100"/>
      <c r="W92" s="100"/>
      <c r="X92" s="100"/>
      <c r="Y92" s="100"/>
    </row>
    <row r="93" spans="3:43" x14ac:dyDescent="0.25">
      <c r="E93" s="86"/>
      <c r="F93" t="s">
        <v>195</v>
      </c>
      <c r="G93" t="s">
        <v>168</v>
      </c>
      <c r="J93" s="103"/>
      <c r="K93" s="103"/>
      <c r="L93" s="103"/>
      <c r="M93" s="103"/>
      <c r="N93" s="103"/>
      <c r="O93" s="103"/>
      <c r="P93" s="10">
        <v>0.2</v>
      </c>
      <c r="Q93" s="103"/>
      <c r="R93" s="100"/>
      <c r="S93" s="100"/>
      <c r="T93" s="100"/>
      <c r="U93" s="100"/>
      <c r="V93" s="100"/>
      <c r="W93" s="100"/>
      <c r="X93" s="100"/>
      <c r="Y93" s="100"/>
    </row>
    <row r="94" spans="3:43" x14ac:dyDescent="0.25">
      <c r="E94" s="86"/>
      <c r="F94" t="s">
        <v>196</v>
      </c>
      <c r="G94" t="s">
        <v>168</v>
      </c>
      <c r="J94" s="103"/>
      <c r="K94" s="103"/>
      <c r="L94" s="103"/>
      <c r="M94" s="103"/>
      <c r="N94" s="103"/>
      <c r="O94" s="103"/>
      <c r="P94" s="10">
        <v>1</v>
      </c>
      <c r="Q94" s="103"/>
      <c r="R94" s="100"/>
      <c r="S94" s="100"/>
      <c r="T94" s="100"/>
      <c r="U94" s="100"/>
      <c r="V94" s="100"/>
      <c r="W94" s="100"/>
      <c r="X94" s="100"/>
      <c r="Y94" s="100"/>
    </row>
    <row r="95" spans="3:43" x14ac:dyDescent="0.25">
      <c r="E95" s="86"/>
      <c r="F95" t="s">
        <v>197</v>
      </c>
      <c r="G95" t="s">
        <v>168</v>
      </c>
      <c r="J95" s="103"/>
      <c r="K95" s="103"/>
      <c r="L95" s="103"/>
      <c r="M95" s="103"/>
      <c r="N95" s="103"/>
      <c r="O95" s="103"/>
      <c r="P95" s="103"/>
      <c r="Q95" s="103"/>
      <c r="R95" s="100"/>
      <c r="S95" s="100"/>
      <c r="T95" s="100"/>
      <c r="U95" s="100"/>
      <c r="V95" s="100"/>
      <c r="W95" s="100"/>
      <c r="X95" s="100"/>
      <c r="Y95" s="100"/>
    </row>
    <row r="96" spans="3:43" x14ac:dyDescent="0.25">
      <c r="E96" s="86"/>
      <c r="F96" t="s">
        <v>198</v>
      </c>
      <c r="G96" t="s">
        <v>168</v>
      </c>
      <c r="J96" s="103"/>
      <c r="K96" s="103"/>
      <c r="L96" s="103"/>
      <c r="M96" s="103"/>
      <c r="N96" s="10">
        <v>0.2</v>
      </c>
      <c r="O96" s="10">
        <v>1</v>
      </c>
      <c r="P96" s="10">
        <v>1</v>
      </c>
      <c r="Q96" s="103"/>
      <c r="R96" s="100"/>
      <c r="S96" s="100"/>
      <c r="T96" s="100"/>
      <c r="U96" s="100"/>
      <c r="V96" s="100"/>
      <c r="W96" s="100"/>
      <c r="X96" s="100"/>
      <c r="Y96" s="100"/>
    </row>
    <row r="97" spans="3:43" x14ac:dyDescent="0.25">
      <c r="E97" s="86"/>
      <c r="F97" t="s">
        <v>199</v>
      </c>
      <c r="G97" t="s">
        <v>168</v>
      </c>
      <c r="J97" s="103"/>
      <c r="K97" s="103"/>
      <c r="L97" s="103"/>
      <c r="M97" s="103"/>
      <c r="N97" s="10">
        <v>1</v>
      </c>
      <c r="O97" s="10">
        <v>1</v>
      </c>
      <c r="P97" s="103"/>
      <c r="Q97" s="103"/>
      <c r="R97" s="100"/>
      <c r="S97" s="100"/>
      <c r="T97" s="100"/>
      <c r="U97" s="100"/>
      <c r="V97" s="100"/>
      <c r="W97" s="100"/>
      <c r="X97" s="100"/>
      <c r="Y97" s="100"/>
    </row>
    <row r="98" spans="3:43" x14ac:dyDescent="0.25">
      <c r="E98" s="86"/>
      <c r="F98" s="96" t="s">
        <v>200</v>
      </c>
      <c r="G98" s="96" t="s">
        <v>168</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control'!$H$42:$H$65,MATCH($A$1,'Version control'!$F$42:$F$65,0),1)&amp;"-F: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205</v>
      </c>
      <c r="E102" s="75"/>
    </row>
    <row r="103" spans="3:43" x14ac:dyDescent="0.25">
      <c r="D103" s="86" t="s">
        <v>206</v>
      </c>
      <c r="E103" s="86"/>
    </row>
    <row r="104" spans="3:43" x14ac:dyDescent="0.25">
      <c r="D104" s="86" t="s">
        <v>207</v>
      </c>
      <c r="E104" s="86"/>
    </row>
    <row r="105" spans="3:43" x14ac:dyDescent="0.25">
      <c r="D105" s="86"/>
      <c r="E105" s="75" t="s">
        <v>208</v>
      </c>
    </row>
    <row r="106" spans="3:43" x14ac:dyDescent="0.25">
      <c r="D106" s="86"/>
      <c r="F106" s="94" t="s">
        <v>209</v>
      </c>
      <c r="G106" t="s">
        <v>210</v>
      </c>
      <c r="I106" t="s">
        <v>155</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211</v>
      </c>
    </row>
    <row r="107" spans="3:43" x14ac:dyDescent="0.25">
      <c r="D107" s="86"/>
      <c r="E107" s="94"/>
      <c r="F107" s="94" t="s">
        <v>212</v>
      </c>
      <c r="G107" t="s">
        <v>168</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213</v>
      </c>
      <c r="F109" s="94"/>
      <c r="J109" s="62"/>
      <c r="K109" s="62"/>
      <c r="L109" s="62"/>
      <c r="M109" s="62"/>
      <c r="N109" s="62"/>
      <c r="O109" s="62"/>
      <c r="P109" s="62"/>
      <c r="Q109" s="62"/>
      <c r="R109" s="62"/>
      <c r="S109" s="62"/>
      <c r="T109" s="62"/>
      <c r="U109" s="62"/>
      <c r="V109" s="62"/>
      <c r="W109" s="62"/>
      <c r="X109" s="62"/>
      <c r="Y109" s="62"/>
    </row>
    <row r="110" spans="3:43" x14ac:dyDescent="0.25">
      <c r="D110" s="86"/>
      <c r="F110" s="94" t="s">
        <v>209</v>
      </c>
      <c r="G110" t="s">
        <v>210</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212</v>
      </c>
      <c r="G111" t="s">
        <v>168</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214</v>
      </c>
      <c r="F113" s="94"/>
      <c r="J113" s="62"/>
      <c r="K113" s="62"/>
      <c r="L113" s="62"/>
      <c r="M113" s="62"/>
      <c r="N113" s="62"/>
      <c r="O113" s="62"/>
      <c r="P113" s="62"/>
      <c r="Q113" s="62"/>
      <c r="R113" s="62"/>
      <c r="S113" s="62"/>
      <c r="T113" s="62"/>
      <c r="U113" s="62"/>
      <c r="V113" s="62"/>
      <c r="W113" s="62"/>
      <c r="X113" s="62"/>
      <c r="Y113" s="62"/>
    </row>
    <row r="114" spans="4:25" x14ac:dyDescent="0.25">
      <c r="D114" s="86"/>
      <c r="F114" s="94" t="s">
        <v>209</v>
      </c>
      <c r="G114" t="s">
        <v>210</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212</v>
      </c>
      <c r="G115" t="s">
        <v>168</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215</v>
      </c>
      <c r="F117" s="94"/>
      <c r="J117" s="62"/>
      <c r="K117" s="62"/>
      <c r="L117" s="62"/>
      <c r="M117" s="62"/>
      <c r="N117" s="62"/>
      <c r="O117" s="62"/>
      <c r="P117" s="62"/>
      <c r="Q117" s="62"/>
      <c r="R117" s="62"/>
      <c r="S117" s="62"/>
      <c r="T117" s="62"/>
      <c r="U117" s="62"/>
      <c r="V117" s="62"/>
      <c r="W117" s="62"/>
      <c r="X117" s="62"/>
      <c r="Y117" s="62"/>
    </row>
    <row r="118" spans="4:25" x14ac:dyDescent="0.25">
      <c r="D118" s="86"/>
      <c r="F118" s="94" t="s">
        <v>209</v>
      </c>
      <c r="G118" t="s">
        <v>210</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212</v>
      </c>
      <c r="G119" t="s">
        <v>168</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216</v>
      </c>
      <c r="F121" s="94"/>
      <c r="J121" s="62"/>
      <c r="K121" s="62"/>
      <c r="L121" s="62"/>
      <c r="M121" s="62"/>
      <c r="N121" s="62"/>
      <c r="O121" s="62"/>
      <c r="P121" s="62"/>
      <c r="Q121" s="62"/>
      <c r="R121" s="62"/>
      <c r="S121" s="62"/>
      <c r="T121" s="62"/>
      <c r="U121" s="62"/>
      <c r="V121" s="62"/>
      <c r="W121" s="62"/>
      <c r="X121" s="62"/>
      <c r="Y121" s="62"/>
    </row>
    <row r="122" spans="4:25" x14ac:dyDescent="0.25">
      <c r="D122" s="86"/>
      <c r="F122" s="94" t="s">
        <v>209</v>
      </c>
      <c r="G122" t="s">
        <v>210</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212</v>
      </c>
      <c r="G123" t="s">
        <v>168</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217</v>
      </c>
      <c r="J125" s="62"/>
      <c r="K125" s="62"/>
      <c r="L125" s="62"/>
      <c r="M125" s="62"/>
      <c r="N125" s="62"/>
      <c r="O125" s="62"/>
      <c r="P125" s="62"/>
      <c r="Q125" s="62"/>
      <c r="R125" s="62"/>
      <c r="S125" s="62"/>
      <c r="T125" s="62"/>
      <c r="U125" s="62"/>
      <c r="V125" s="62"/>
      <c r="W125" s="62"/>
      <c r="X125" s="62"/>
      <c r="Y125" s="62"/>
    </row>
    <row r="126" spans="4:25" x14ac:dyDescent="0.25">
      <c r="E126" s="86" t="s">
        <v>218</v>
      </c>
      <c r="J126" s="62"/>
      <c r="K126" s="62"/>
      <c r="L126" s="62"/>
      <c r="M126" s="62"/>
      <c r="N126" s="62"/>
      <c r="O126" s="62"/>
      <c r="P126" s="62"/>
      <c r="Q126" s="62"/>
      <c r="R126" s="62"/>
      <c r="S126" s="62"/>
      <c r="T126" s="62"/>
      <c r="U126" s="62"/>
      <c r="V126" s="62"/>
      <c r="W126" s="62"/>
      <c r="X126" s="62"/>
      <c r="Y126" s="62"/>
    </row>
    <row r="127" spans="4:25" x14ac:dyDescent="0.25">
      <c r="E127" s="86" t="s">
        <v>219</v>
      </c>
      <c r="J127" s="62"/>
      <c r="K127" s="62"/>
      <c r="L127" s="62"/>
      <c r="M127" s="62"/>
      <c r="N127" s="62"/>
      <c r="O127" s="62"/>
      <c r="P127" s="62"/>
      <c r="Q127" s="62"/>
      <c r="R127" s="62"/>
      <c r="S127" s="62"/>
      <c r="T127" s="62"/>
      <c r="U127" s="62"/>
      <c r="V127" s="62"/>
      <c r="W127" s="62"/>
      <c r="X127" s="62"/>
      <c r="Y127" s="62"/>
    </row>
    <row r="128" spans="4:25" x14ac:dyDescent="0.25">
      <c r="E128" s="86"/>
      <c r="F128" t="s">
        <v>217</v>
      </c>
      <c r="G128" t="s">
        <v>210</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220</v>
      </c>
      <c r="J130" s="62"/>
      <c r="K130" s="62"/>
      <c r="L130" s="62"/>
      <c r="M130" s="62"/>
      <c r="N130" s="62"/>
      <c r="O130" s="62"/>
      <c r="P130" s="62"/>
      <c r="Q130" s="62"/>
      <c r="R130" s="62"/>
      <c r="S130" s="62"/>
      <c r="T130" s="62"/>
      <c r="U130" s="62"/>
      <c r="V130" s="62"/>
      <c r="W130" s="62"/>
      <c r="X130" s="62"/>
      <c r="Y130" s="62"/>
    </row>
    <row r="131" spans="3:43" x14ac:dyDescent="0.25">
      <c r="E131" s="86" t="s">
        <v>221</v>
      </c>
      <c r="J131" s="62"/>
      <c r="K131" s="62"/>
      <c r="L131" s="62"/>
      <c r="M131" s="62"/>
      <c r="N131" s="62"/>
      <c r="O131" s="62"/>
      <c r="P131" s="62"/>
      <c r="Q131" s="62"/>
      <c r="R131" s="62"/>
      <c r="S131" s="62"/>
      <c r="T131" s="62"/>
      <c r="U131" s="62"/>
      <c r="V131" s="62"/>
      <c r="W131" s="62"/>
      <c r="X131" s="62"/>
      <c r="Y131" s="62"/>
    </row>
    <row r="132" spans="3:43" x14ac:dyDescent="0.25">
      <c r="E132" s="86"/>
      <c r="F132" t="s">
        <v>222</v>
      </c>
      <c r="G132" t="s">
        <v>210</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223</v>
      </c>
      <c r="I134" t="s">
        <v>155</v>
      </c>
      <c r="J134" s="62"/>
      <c r="K134" s="62"/>
      <c r="L134" s="62"/>
      <c r="M134" s="62"/>
      <c r="N134" s="62"/>
      <c r="O134" s="62"/>
      <c r="P134" s="62"/>
      <c r="Q134" s="62"/>
      <c r="R134" s="62"/>
      <c r="S134" s="62"/>
      <c r="T134" s="62"/>
      <c r="U134" s="62"/>
      <c r="V134" s="62"/>
      <c r="W134" s="62"/>
      <c r="X134" s="62"/>
      <c r="Y134" s="62"/>
      <c r="AQ134" t="s">
        <v>224</v>
      </c>
    </row>
    <row r="135" spans="3:43" x14ac:dyDescent="0.25">
      <c r="E135" s="86" t="s">
        <v>225</v>
      </c>
      <c r="J135" s="62"/>
      <c r="K135" s="62"/>
      <c r="L135" s="62"/>
      <c r="M135" s="62"/>
      <c r="N135" s="62"/>
      <c r="O135" s="62"/>
      <c r="P135" s="62"/>
      <c r="Q135" s="62"/>
      <c r="R135" s="62"/>
      <c r="S135" s="62"/>
      <c r="T135" s="62"/>
      <c r="U135" s="62"/>
      <c r="V135" s="62"/>
      <c r="W135" s="62"/>
      <c r="X135" s="62"/>
      <c r="Y135" s="62"/>
    </row>
    <row r="136" spans="3:43" x14ac:dyDescent="0.25">
      <c r="E136" s="86" t="s">
        <v>226</v>
      </c>
      <c r="J136" s="62"/>
      <c r="K136" s="62"/>
      <c r="L136" s="62"/>
      <c r="M136" s="62"/>
      <c r="N136" s="62"/>
      <c r="O136" s="62"/>
      <c r="P136" s="62"/>
      <c r="Q136" s="62"/>
      <c r="R136" s="62"/>
      <c r="S136" s="62"/>
      <c r="T136" s="62"/>
      <c r="U136" s="62"/>
      <c r="V136" s="62"/>
      <c r="W136" s="62"/>
      <c r="X136" s="62"/>
      <c r="Y136" s="62"/>
    </row>
    <row r="137" spans="3:43" x14ac:dyDescent="0.25">
      <c r="E137" s="86"/>
      <c r="F137" t="s">
        <v>161</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162</v>
      </c>
      <c r="G138" t="s">
        <v>177</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227</v>
      </c>
      <c r="G139" t="s">
        <v>177</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228</v>
      </c>
      <c r="G140" t="s">
        <v>177</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control'!$H$42:$H$65,MATCH($A$1,'Version control'!$F$42:$F$65,0),1)&amp;"-G: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229</v>
      </c>
      <c r="F144" s="75"/>
    </row>
    <row r="145" spans="3:44" x14ac:dyDescent="0.25">
      <c r="E145" s="86" t="s">
        <v>230</v>
      </c>
      <c r="F145" s="86"/>
      <c r="I145" t="s">
        <v>155</v>
      </c>
      <c r="AQ145" t="s">
        <v>853</v>
      </c>
    </row>
    <row r="146" spans="3:44" x14ac:dyDescent="0.25">
      <c r="E146" s="86"/>
      <c r="F146" s="94" t="s">
        <v>229</v>
      </c>
      <c r="G146" t="s">
        <v>150</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801</v>
      </c>
      <c r="F148" s="75"/>
      <c r="I148" t="s">
        <v>155</v>
      </c>
      <c r="AQ148" t="s">
        <v>814</v>
      </c>
    </row>
    <row r="149" spans="3:44" x14ac:dyDescent="0.25">
      <c r="E149" s="86" t="s">
        <v>802</v>
      </c>
      <c r="F149" s="86"/>
    </row>
    <row r="150" spans="3:44" x14ac:dyDescent="0.25">
      <c r="E150" s="86"/>
      <c r="F150" s="94" t="s">
        <v>803</v>
      </c>
      <c r="G150" t="s">
        <v>150</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control'!$H$42:$H$65,MATCH($A$1,'Version control'!$F$42:$F$65,0),1)&amp;"-H: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231</v>
      </c>
      <c r="G154" t="s">
        <v>150</v>
      </c>
      <c r="H154" s="7">
        <v>3</v>
      </c>
    </row>
    <row r="156" spans="3:44" x14ac:dyDescent="0.25">
      <c r="C156" s="93" t="str">
        <f ca="1">INDEX('Version control'!$H$42:$H$65,MATCH($A$1,'Version control'!$F$42:$F$65,0),1)&amp;"-I: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827</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177</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177</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control'!$H$42:$H$65,MATCH($A$1,'Version control'!$F$42:$F$65,0),1)&amp;"-J: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956</v>
      </c>
      <c r="J164" s="107" t="s">
        <v>1116</v>
      </c>
      <c r="K164" s="107" t="s">
        <v>786</v>
      </c>
      <c r="L164" s="107" t="s">
        <v>1117</v>
      </c>
      <c r="M164" s="107" t="s">
        <v>1118</v>
      </c>
      <c r="N164" s="107" t="s">
        <v>1119</v>
      </c>
      <c r="O164" s="107" t="s">
        <v>1120</v>
      </c>
      <c r="P164" s="107" t="s">
        <v>1121</v>
      </c>
      <c r="Q164" s="107" t="s">
        <v>787</v>
      </c>
      <c r="R164" s="107" t="s">
        <v>863</v>
      </c>
      <c r="S164" s="107" t="s">
        <v>864</v>
      </c>
      <c r="T164" s="107" t="s">
        <v>865</v>
      </c>
      <c r="U164" s="107" t="s">
        <v>866</v>
      </c>
      <c r="V164" s="107" t="s">
        <v>867</v>
      </c>
      <c r="W164" s="107" t="s">
        <v>868</v>
      </c>
      <c r="X164" s="107" t="s">
        <v>869</v>
      </c>
      <c r="Y164" s="107" t="s">
        <v>870</v>
      </c>
      <c r="Z164" s="107" t="s">
        <v>871</v>
      </c>
      <c r="AA164" s="107" t="s">
        <v>872</v>
      </c>
      <c r="AB164" s="107" t="s">
        <v>873</v>
      </c>
      <c r="AC164" s="107" t="s">
        <v>874</v>
      </c>
      <c r="AD164" s="107" t="s">
        <v>875</v>
      </c>
      <c r="AE164" s="107" t="s">
        <v>876</v>
      </c>
      <c r="AF164" s="107" t="s">
        <v>877</v>
      </c>
      <c r="AG164" s="107" t="s">
        <v>796</v>
      </c>
      <c r="AH164" s="107" t="s">
        <v>788</v>
      </c>
      <c r="AI164" s="107" t="s">
        <v>789</v>
      </c>
      <c r="AJ164" s="107" t="s">
        <v>790</v>
      </c>
      <c r="AK164" s="107" t="s">
        <v>799</v>
      </c>
      <c r="AL164" s="107" t="s">
        <v>791</v>
      </c>
      <c r="AM164" s="107" t="s">
        <v>798</v>
      </c>
      <c r="AN164" s="107" t="s">
        <v>792</v>
      </c>
      <c r="AO164" s="107" t="s">
        <v>797</v>
      </c>
      <c r="AR164" s="106"/>
    </row>
    <row r="165" spans="3:44" x14ac:dyDescent="0.25">
      <c r="C165" s="105"/>
      <c r="D165" s="2"/>
      <c r="F165" s="95" t="s">
        <v>955</v>
      </c>
      <c r="G165" s="95" t="s">
        <v>862</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882</v>
      </c>
      <c r="G166" t="s">
        <v>862</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953</v>
      </c>
      <c r="G167" t="s">
        <v>862</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889</v>
      </c>
      <c r="G168" t="s">
        <v>150</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888</v>
      </c>
      <c r="G169" t="s">
        <v>150</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954</v>
      </c>
      <c r="G170" s="96" t="s">
        <v>150</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957</v>
      </c>
      <c r="G172" t="s">
        <v>150</v>
      </c>
      <c r="H172" s="28">
        <v>2</v>
      </c>
      <c r="AR172" s="106"/>
    </row>
    <row r="173" spans="3:44" x14ac:dyDescent="0.25">
      <c r="C173" s="105"/>
      <c r="D173" s="2"/>
      <c r="AR173" s="106"/>
    </row>
    <row r="174" spans="3:44" x14ac:dyDescent="0.25">
      <c r="C174" s="105"/>
      <c r="D174" s="2"/>
      <c r="E174" s="75" t="s">
        <v>950</v>
      </c>
      <c r="AR174" s="106"/>
    </row>
    <row r="175" spans="3:44" x14ac:dyDescent="0.25">
      <c r="C175" s="105"/>
      <c r="D175" s="2"/>
      <c r="E175" s="75"/>
      <c r="F175" s="86" t="s">
        <v>951</v>
      </c>
      <c r="AR175" s="106"/>
    </row>
    <row r="176" spans="3:44" ht="60" x14ac:dyDescent="0.25">
      <c r="C176" s="105"/>
      <c r="D176" s="2"/>
      <c r="E176" s="75"/>
      <c r="F176" s="50" t="s">
        <v>952</v>
      </c>
      <c r="J176" s="107" t="s">
        <v>1116</v>
      </c>
      <c r="K176" s="107" t="s">
        <v>786</v>
      </c>
      <c r="L176" s="107" t="s">
        <v>1117</v>
      </c>
      <c r="M176" s="107" t="s">
        <v>1118</v>
      </c>
      <c r="N176" s="107" t="s">
        <v>1119</v>
      </c>
      <c r="O176" s="107" t="s">
        <v>1120</v>
      </c>
      <c r="P176" s="107" t="s">
        <v>1121</v>
      </c>
      <c r="Q176" s="107" t="s">
        <v>787</v>
      </c>
      <c r="R176" s="107" t="s">
        <v>863</v>
      </c>
      <c r="S176" s="107" t="s">
        <v>864</v>
      </c>
      <c r="T176" s="107" t="s">
        <v>865</v>
      </c>
      <c r="U176" s="107" t="s">
        <v>866</v>
      </c>
      <c r="V176" s="107" t="s">
        <v>867</v>
      </c>
      <c r="W176" s="107" t="s">
        <v>868</v>
      </c>
      <c r="X176" s="107" t="s">
        <v>869</v>
      </c>
      <c r="Y176" s="107" t="s">
        <v>870</v>
      </c>
      <c r="Z176" s="107" t="s">
        <v>871</v>
      </c>
      <c r="AA176" s="107" t="s">
        <v>872</v>
      </c>
      <c r="AB176" s="107" t="s">
        <v>873</v>
      </c>
      <c r="AC176" s="107" t="s">
        <v>874</v>
      </c>
      <c r="AD176" s="107" t="s">
        <v>875</v>
      </c>
      <c r="AE176" s="107" t="s">
        <v>876</v>
      </c>
      <c r="AF176" s="107" t="s">
        <v>877</v>
      </c>
      <c r="AG176" s="107" t="s">
        <v>796</v>
      </c>
      <c r="AH176" s="107" t="s">
        <v>788</v>
      </c>
      <c r="AI176" s="107" t="s">
        <v>789</v>
      </c>
      <c r="AJ176" s="107" t="s">
        <v>790</v>
      </c>
      <c r="AK176" s="107" t="s">
        <v>799</v>
      </c>
      <c r="AL176" s="107" t="s">
        <v>791</v>
      </c>
      <c r="AM176" s="107" t="s">
        <v>798</v>
      </c>
      <c r="AN176" s="107" t="s">
        <v>792</v>
      </c>
      <c r="AO176" s="107" t="s">
        <v>797</v>
      </c>
      <c r="AR176" s="106"/>
    </row>
    <row r="177" spans="2:44" x14ac:dyDescent="0.25">
      <c r="C177" s="105"/>
      <c r="D177" s="2"/>
      <c r="F177" s="95" t="s">
        <v>942</v>
      </c>
      <c r="G177" s="95" t="s">
        <v>150</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943</v>
      </c>
      <c r="G178" t="s">
        <v>150</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944</v>
      </c>
      <c r="G179" t="s">
        <v>150</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945</v>
      </c>
      <c r="G180" t="s">
        <v>150</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946</v>
      </c>
      <c r="G181" t="s">
        <v>150</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947</v>
      </c>
      <c r="G182" t="s">
        <v>150</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948</v>
      </c>
      <c r="G183" t="s">
        <v>150</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949</v>
      </c>
      <c r="G184" s="96" t="s">
        <v>150</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232</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233</v>
      </c>
      <c r="G188" s="6" t="s">
        <v>57</v>
      </c>
      <c r="H188" s="109">
        <f t="array" ref="H188">SUM(IF(ISERROR(H15:Y147), 1))</f>
        <v>0</v>
      </c>
      <c r="I188" s="3"/>
    </row>
    <row r="189" spans="2:44" x14ac:dyDescent="0.25">
      <c r="I189" s="3"/>
    </row>
    <row r="190" spans="2:44" x14ac:dyDescent="0.25">
      <c r="E190" s="75" t="s">
        <v>234</v>
      </c>
      <c r="I190" s="3"/>
    </row>
    <row r="191" spans="2:44" x14ac:dyDescent="0.25">
      <c r="F191" s="95" t="s">
        <v>235</v>
      </c>
      <c r="G191" s="110" t="s">
        <v>57</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236</v>
      </c>
      <c r="G192" s="6" t="s">
        <v>57</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237</v>
      </c>
      <c r="G193" s="6" t="s">
        <v>57</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238</v>
      </c>
      <c r="G194" s="6" t="s">
        <v>57</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239</v>
      </c>
      <c r="G195" s="77" t="s">
        <v>57</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240</v>
      </c>
      <c r="G197" s="6" t="s">
        <v>57</v>
      </c>
      <c r="H197" s="113">
        <f>H188 + SUM(H191:H195)</f>
        <v>0</v>
      </c>
      <c r="I197" s="3"/>
    </row>
    <row r="198" spans="2:43" x14ac:dyDescent="0.25">
      <c r="I198" s="3"/>
    </row>
    <row r="199" spans="2:43" x14ac:dyDescent="0.25">
      <c r="B199" s="85" t="s">
        <v>108</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xr:uid="{00000000-0002-0000-0500-000000000000}">
      <formula1>0</formula1>
      <formula2>10</formula2>
    </dataValidation>
    <dataValidation type="decimal" allowBlank="1" showInputMessage="1" showErrorMessage="1" sqref="H40 K146 Q150:Y150 J123:Y123 J119:Y119 J115:Y115 J111:Y111 J107:Y107 J89:Y98 M146:Y146" xr:uid="{00000000-0002-0000-0500-000001000000}">
      <formula1>0</formula1>
      <formula2>1</formula2>
    </dataValidation>
    <dataValidation type="whole" allowBlank="1" showInputMessage="1" showErrorMessage="1" sqref="L146 J146 J150:P150" xr:uid="{00000000-0002-0000-0500-000002000000}">
      <formula1>0</formula1>
      <formula2>33</formula2>
    </dataValidation>
    <dataValidation type="decimal" allowBlank="1" showInputMessage="1" showErrorMessage="1" sqref="H36" xr:uid="{00000000-0002-0000-0500-000003000000}">
      <formula1>0</formula1>
      <formula2>999999</formula2>
    </dataValidation>
    <dataValidation type="decimal" allowBlank="1" showInputMessage="1" showErrorMessage="1" sqref="H38" xr:uid="{00000000-0002-0000-0500-000004000000}">
      <formula1>0.001</formula1>
      <formula2>1</formula2>
    </dataValidation>
    <dataValidation type="decimal" allowBlank="1" showInputMessage="1" showErrorMessage="1" sqref="H42" xr:uid="{00000000-0002-0000-0500-000005000000}">
      <formula1>0.001</formula1>
      <formula2>999999.999</formula2>
    </dataValidation>
    <dataValidation type="whole" allowBlank="1" showInputMessage="1" showErrorMessage="1" sqref="J47:Y50 J54:Y57" xr:uid="{00000000-0002-0000-0500-000006000000}">
      <formula1>0</formula1>
      <formula2>1</formula2>
    </dataValidation>
    <dataValidation type="whole" allowBlank="1" showInputMessage="1" showErrorMessage="1" sqref="J61:Y70 J74:Y83" xr:uid="{00000000-0002-0000-0500-000007000000}">
      <formula1>-1</formula1>
      <formula2>1</formula2>
    </dataValidation>
    <dataValidation type="list" allowBlank="1" showInputMessage="1" showErrorMessage="1" sqref="J128:Y128 J122:Y122 J118:Y118 J114:Y114 J110:Y110 J106:Y106 J132:Y132" xr:uid="{00000000-0002-0000-0500-000008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80" zoomScaleNormal="80" workbookViewId="0">
      <pane xSplit="9" ySplit="5" topLeftCell="J168" activePane="bottomRight" state="frozen"/>
      <selection pane="topRight"/>
      <selection pane="bottomLeft"/>
      <selection pane="bottomRight" activeCell="J187" sqref="J18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114" t="s">
        <v>144</v>
      </c>
      <c r="H5" s="115" t="s">
        <v>145</v>
      </c>
      <c r="I5" s="62"/>
      <c r="J5" s="115" t="s">
        <v>1114</v>
      </c>
      <c r="K5" s="115" t="s">
        <v>786</v>
      </c>
      <c r="L5" s="115" t="s">
        <v>1115</v>
      </c>
      <c r="M5" s="115" t="s">
        <v>787</v>
      </c>
      <c r="N5" s="115" t="s">
        <v>793</v>
      </c>
      <c r="O5" s="115" t="s">
        <v>794</v>
      </c>
      <c r="P5" s="115" t="s">
        <v>795</v>
      </c>
      <c r="Q5" s="115" t="s">
        <v>796</v>
      </c>
      <c r="R5" s="115" t="s">
        <v>788</v>
      </c>
      <c r="S5" s="115" t="s">
        <v>789</v>
      </c>
      <c r="T5" s="115" t="s">
        <v>790</v>
      </c>
      <c r="U5" s="115" t="s">
        <v>799</v>
      </c>
      <c r="V5" s="115" t="s">
        <v>791</v>
      </c>
      <c r="W5" s="115" t="s">
        <v>798</v>
      </c>
      <c r="X5" s="115" t="s">
        <v>792</v>
      </c>
      <c r="Y5" s="115"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241</v>
      </c>
    </row>
    <row r="11" spans="1:43" x14ac:dyDescent="0.25">
      <c r="B11" s="85" t="s">
        <v>58</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control'!$H$42:$H$65,MATCH($A$1,'Version control'!$F$42:$F$65,0),1)&amp;"-A: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242</v>
      </c>
      <c r="G15" s="61" t="s">
        <v>168</v>
      </c>
      <c r="I15" t="s">
        <v>155</v>
      </c>
      <c r="J15" s="426">
        <v>0.42655107893391708</v>
      </c>
      <c r="K15" s="426">
        <v>0.13014636404142343</v>
      </c>
      <c r="L15" s="426">
        <v>0.43452597532609877</v>
      </c>
      <c r="M15" s="426">
        <v>0.16348776224447439</v>
      </c>
      <c r="N15" s="426">
        <v>0.54784543850635292</v>
      </c>
      <c r="O15" s="426">
        <v>0.60177942640278592</v>
      </c>
      <c r="P15" s="426">
        <v>0.73307505945788753</v>
      </c>
      <c r="Q15" s="426">
        <v>0.49990620990783308</v>
      </c>
      <c r="R15" s="103"/>
      <c r="S15" s="103"/>
      <c r="T15" s="103"/>
      <c r="U15" s="103"/>
      <c r="V15" s="103"/>
      <c r="W15" s="103"/>
      <c r="X15" s="103"/>
      <c r="Y15" s="103"/>
      <c r="AQ15" t="s">
        <v>243</v>
      </c>
    </row>
    <row r="16" spans="1:43" x14ac:dyDescent="0.25">
      <c r="E16" s="94" t="s">
        <v>244</v>
      </c>
      <c r="G16" s="61" t="s">
        <v>168</v>
      </c>
      <c r="I16" t="s">
        <v>155</v>
      </c>
      <c r="J16" s="426">
        <v>0.94287666544264592</v>
      </c>
      <c r="K16" s="103"/>
      <c r="L16" s="426">
        <v>0.73025082092930893</v>
      </c>
      <c r="M16" s="103"/>
      <c r="N16" s="426">
        <v>0.78830648139323367</v>
      </c>
      <c r="O16" s="426">
        <v>0.78135756752974661</v>
      </c>
      <c r="P16" s="426">
        <v>0.85285211551601581</v>
      </c>
      <c r="Q16" s="426">
        <v>0.9903632355418871</v>
      </c>
      <c r="R16" s="103"/>
      <c r="S16" s="103"/>
      <c r="T16" s="103"/>
      <c r="U16" s="103"/>
      <c r="V16" s="103"/>
      <c r="W16" s="103"/>
      <c r="X16" s="103"/>
      <c r="Y16" s="103"/>
      <c r="AQ16" t="s">
        <v>245</v>
      </c>
    </row>
    <row r="17" spans="3:43" x14ac:dyDescent="0.25">
      <c r="G17" s="61"/>
    </row>
    <row r="18" spans="3:43" x14ac:dyDescent="0.25">
      <c r="C18" s="93" t="str">
        <f ca="1">INDEX('Version control'!$H$42:$H$65,MATCH($A$1,'Version control'!$F$42:$F$65,0),1)&amp;"-B: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905</v>
      </c>
      <c r="G20" s="61"/>
      <c r="I20" t="s">
        <v>155</v>
      </c>
      <c r="AQ20" t="s">
        <v>247</v>
      </c>
    </row>
    <row r="21" spans="3:43" x14ac:dyDescent="0.25">
      <c r="G21" s="61"/>
    </row>
    <row r="22" spans="3:43" x14ac:dyDescent="0.25">
      <c r="E22" s="75" t="s">
        <v>859</v>
      </c>
      <c r="G22" s="61"/>
    </row>
    <row r="23" spans="3:43" x14ac:dyDescent="0.25">
      <c r="E23" s="75"/>
      <c r="F23" s="116" t="s">
        <v>248</v>
      </c>
      <c r="G23" s="116" t="s">
        <v>208</v>
      </c>
      <c r="H23" s="95"/>
      <c r="I23" s="95"/>
      <c r="J23" s="117"/>
      <c r="K23" s="427">
        <v>36.928307828276772</v>
      </c>
      <c r="L23" s="427">
        <v>50.358703853308725</v>
      </c>
      <c r="M23" s="427">
        <v>26.004708483632935</v>
      </c>
      <c r="N23" s="427">
        <v>125.49138254410158</v>
      </c>
      <c r="O23" s="427">
        <v>39.501171005630091</v>
      </c>
      <c r="P23" s="427">
        <v>471.94648344763874</v>
      </c>
      <c r="Q23" s="117"/>
      <c r="R23" s="427">
        <v>10587.587865436757</v>
      </c>
      <c r="S23" s="427">
        <v>1296.193700379747</v>
      </c>
      <c r="T23" s="427">
        <v>4431.5548953009256</v>
      </c>
      <c r="U23" s="427">
        <v>0</v>
      </c>
      <c r="V23" s="427">
        <v>0</v>
      </c>
      <c r="W23" s="427">
        <v>0</v>
      </c>
      <c r="X23" s="427">
        <v>57918.120807023566</v>
      </c>
      <c r="Y23" s="427">
        <v>0</v>
      </c>
    </row>
    <row r="24" spans="3:43" x14ac:dyDescent="0.25">
      <c r="E24" s="75"/>
      <c r="F24" s="118" t="s">
        <v>249</v>
      </c>
      <c r="G24" s="118" t="s">
        <v>208</v>
      </c>
      <c r="J24" s="119"/>
      <c r="K24" s="428">
        <v>2889.7541426122689</v>
      </c>
      <c r="L24" s="428">
        <v>416.84454248674842</v>
      </c>
      <c r="M24" s="428">
        <v>1591.5677042444584</v>
      </c>
      <c r="N24" s="428">
        <v>819.29798175632334</v>
      </c>
      <c r="O24" s="428">
        <v>434.30240671719349</v>
      </c>
      <c r="P24" s="428">
        <v>7574.7482435674356</v>
      </c>
      <c r="Q24" s="119"/>
      <c r="R24" s="429">
        <v>116333.97645091746</v>
      </c>
      <c r="S24" s="429">
        <v>11378.491454160423</v>
      </c>
      <c r="T24" s="428">
        <v>41911.942901306917</v>
      </c>
      <c r="U24" s="428">
        <v>0</v>
      </c>
      <c r="V24" s="428">
        <v>0</v>
      </c>
      <c r="W24" s="428">
        <v>0</v>
      </c>
      <c r="X24" s="428">
        <v>316726.54989568843</v>
      </c>
      <c r="Y24" s="428">
        <v>0</v>
      </c>
    </row>
    <row r="25" spans="3:43" x14ac:dyDescent="0.25">
      <c r="E25" s="75"/>
      <c r="F25" s="118" t="s">
        <v>250</v>
      </c>
      <c r="G25" s="118" t="s">
        <v>208</v>
      </c>
      <c r="J25" s="119"/>
      <c r="K25" s="428">
        <v>22694.611658437898</v>
      </c>
      <c r="L25" s="428">
        <v>418.6875958340014</v>
      </c>
      <c r="M25" s="428">
        <v>11266.245993465296</v>
      </c>
      <c r="N25" s="428">
        <v>993.46137074850367</v>
      </c>
      <c r="O25" s="428">
        <v>289.40239347849558</v>
      </c>
      <c r="P25" s="428">
        <v>10292.028157480876</v>
      </c>
      <c r="Q25" s="119"/>
      <c r="R25" s="429">
        <v>48093.062634059701</v>
      </c>
      <c r="S25" s="429">
        <v>11582.900696102439</v>
      </c>
      <c r="T25" s="428">
        <v>30515.320471081926</v>
      </c>
      <c r="U25" s="428">
        <v>0</v>
      </c>
      <c r="V25" s="428">
        <v>0</v>
      </c>
      <c r="W25" s="428">
        <v>0</v>
      </c>
      <c r="X25" s="428">
        <v>252665.02390971759</v>
      </c>
      <c r="Y25" s="428">
        <v>0</v>
      </c>
    </row>
    <row r="26" spans="3:43" x14ac:dyDescent="0.25">
      <c r="E26" s="75"/>
      <c r="F26" s="118" t="s">
        <v>213</v>
      </c>
      <c r="G26" s="118" t="s">
        <v>213</v>
      </c>
      <c r="J26" s="119"/>
      <c r="K26" s="428">
        <v>0</v>
      </c>
      <c r="L26" s="428">
        <v>59.653485944506635</v>
      </c>
      <c r="M26" s="428">
        <v>0</v>
      </c>
      <c r="N26" s="428">
        <v>69.143304330549142</v>
      </c>
      <c r="O26" s="428">
        <v>11.234604758434388</v>
      </c>
      <c r="P26" s="428">
        <v>166.27312445158776</v>
      </c>
      <c r="Q26" s="119"/>
      <c r="R26" s="428">
        <v>0</v>
      </c>
      <c r="S26" s="428">
        <v>0</v>
      </c>
      <c r="T26" s="428">
        <v>0</v>
      </c>
      <c r="U26" s="428">
        <v>0</v>
      </c>
      <c r="V26" s="428">
        <v>0</v>
      </c>
      <c r="W26" s="428">
        <v>0</v>
      </c>
      <c r="X26" s="428">
        <v>320.50176836858998</v>
      </c>
      <c r="Y26" s="428">
        <v>0</v>
      </c>
    </row>
    <row r="27" spans="3:43" x14ac:dyDescent="0.25">
      <c r="E27" s="75"/>
      <c r="F27" s="118" t="s">
        <v>251</v>
      </c>
      <c r="G27" s="118" t="s">
        <v>252</v>
      </c>
      <c r="J27" s="119"/>
      <c r="K27" s="119"/>
      <c r="L27" s="119"/>
      <c r="M27" s="119"/>
      <c r="N27" s="428">
        <v>2268.2248972609177</v>
      </c>
      <c r="O27" s="428">
        <v>823.52012126469754</v>
      </c>
      <c r="P27" s="428">
        <v>29704.539007986918</v>
      </c>
      <c r="Q27" s="119"/>
      <c r="R27" s="119"/>
      <c r="S27" s="119"/>
      <c r="T27" s="119"/>
      <c r="U27" s="119"/>
      <c r="V27" s="119"/>
      <c r="W27" s="119"/>
      <c r="X27" s="119"/>
      <c r="Y27" s="119"/>
    </row>
    <row r="28" spans="3:43" x14ac:dyDescent="0.25">
      <c r="E28" s="75"/>
      <c r="F28" s="118" t="s">
        <v>253</v>
      </c>
      <c r="G28" s="118" t="s">
        <v>252</v>
      </c>
      <c r="J28" s="119"/>
      <c r="K28" s="119"/>
      <c r="L28" s="119"/>
      <c r="M28" s="119"/>
      <c r="N28" s="428">
        <v>193.55191256830602</v>
      </c>
      <c r="O28" s="428">
        <v>66.306010928961754</v>
      </c>
      <c r="P28" s="428">
        <v>7327.4153005464477</v>
      </c>
      <c r="Q28" s="119"/>
      <c r="R28" s="119"/>
      <c r="S28" s="119"/>
      <c r="T28" s="119"/>
      <c r="U28" s="119"/>
      <c r="V28" s="119"/>
      <c r="W28" s="119"/>
      <c r="X28" s="119"/>
      <c r="Y28" s="119"/>
    </row>
    <row r="29" spans="3:43" x14ac:dyDescent="0.25">
      <c r="E29" s="75"/>
      <c r="F29" s="120" t="s">
        <v>254</v>
      </c>
      <c r="G29" s="120" t="s">
        <v>255</v>
      </c>
      <c r="H29" s="96"/>
      <c r="I29" s="96"/>
      <c r="J29" s="121"/>
      <c r="K29" s="121"/>
      <c r="L29" s="121"/>
      <c r="M29" s="121"/>
      <c r="N29" s="430">
        <v>439.04600000000005</v>
      </c>
      <c r="O29" s="430">
        <v>101.444</v>
      </c>
      <c r="P29" s="430">
        <v>5273.9209999999994</v>
      </c>
      <c r="Q29" s="121"/>
      <c r="R29" s="121"/>
      <c r="S29" s="121"/>
      <c r="T29" s="430">
        <v>5802.6510000000007</v>
      </c>
      <c r="U29" s="121"/>
      <c r="V29" s="430">
        <v>0</v>
      </c>
      <c r="W29" s="121"/>
      <c r="X29" s="430">
        <v>7364.4659999999994</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893</v>
      </c>
      <c r="G31" s="61"/>
    </row>
    <row r="32" spans="3:43" x14ac:dyDescent="0.25">
      <c r="E32" s="75"/>
      <c r="F32" s="116" t="s">
        <v>248</v>
      </c>
      <c r="G32" s="116" t="s">
        <v>208</v>
      </c>
      <c r="H32" s="95"/>
      <c r="I32" s="95"/>
      <c r="J32" s="427">
        <v>429498.00447633024</v>
      </c>
      <c r="K32" s="117"/>
      <c r="L32" s="427">
        <v>8735.751197250971</v>
      </c>
      <c r="M32" s="117"/>
      <c r="N32" s="427">
        <v>28724.549447405552</v>
      </c>
      <c r="O32" s="427">
        <v>2911.3441055235471</v>
      </c>
      <c r="P32" s="427">
        <v>16762.861996605359</v>
      </c>
      <c r="Q32" s="427">
        <v>2852.3860826192404</v>
      </c>
      <c r="R32" s="117"/>
      <c r="S32" s="117"/>
      <c r="T32" s="117"/>
      <c r="U32" s="117"/>
      <c r="V32" s="117"/>
      <c r="W32" s="117"/>
      <c r="X32" s="117"/>
      <c r="Y32" s="117"/>
    </row>
    <row r="33" spans="5:42" x14ac:dyDescent="0.25">
      <c r="E33" s="75"/>
      <c r="F33" s="118" t="s">
        <v>249</v>
      </c>
      <c r="G33" s="118" t="s">
        <v>208</v>
      </c>
      <c r="J33" s="428">
        <v>2277341.5081239403</v>
      </c>
      <c r="K33" s="119"/>
      <c r="L33" s="428">
        <v>73574.972435373813</v>
      </c>
      <c r="M33" s="126"/>
      <c r="N33" s="428">
        <v>204909.67182679847</v>
      </c>
      <c r="O33" s="428">
        <v>20771.059895505616</v>
      </c>
      <c r="P33" s="428">
        <v>114767.35735141508</v>
      </c>
      <c r="Q33" s="429">
        <v>30353.026811276453</v>
      </c>
      <c r="R33" s="119"/>
      <c r="S33" s="119"/>
      <c r="T33" s="119"/>
      <c r="U33" s="119"/>
      <c r="V33" s="119"/>
      <c r="W33" s="119"/>
      <c r="X33" s="119"/>
      <c r="Y33" s="119"/>
    </row>
    <row r="34" spans="5:42" x14ac:dyDescent="0.25">
      <c r="E34" s="75"/>
      <c r="F34" s="118" t="s">
        <v>250</v>
      </c>
      <c r="G34" s="118" t="s">
        <v>208</v>
      </c>
      <c r="J34" s="428">
        <v>2713027.6525349491</v>
      </c>
      <c r="K34" s="119"/>
      <c r="L34" s="428">
        <v>59421.086870513507</v>
      </c>
      <c r="M34" s="126"/>
      <c r="N34" s="428">
        <v>187053.87283772082</v>
      </c>
      <c r="O34" s="428">
        <v>21026.992263570053</v>
      </c>
      <c r="P34" s="428">
        <v>129314.08575096208</v>
      </c>
      <c r="Q34" s="429">
        <v>65533.820926985551</v>
      </c>
      <c r="R34" s="119"/>
      <c r="S34" s="119"/>
      <c r="T34" s="119"/>
      <c r="U34" s="119"/>
      <c r="V34" s="119"/>
      <c r="W34" s="119"/>
      <c r="X34" s="119"/>
      <c r="Y34" s="119"/>
    </row>
    <row r="35" spans="5:42" x14ac:dyDescent="0.25">
      <c r="E35" s="75"/>
      <c r="F35" s="118" t="s">
        <v>213</v>
      </c>
      <c r="G35" s="118" t="s">
        <v>213</v>
      </c>
      <c r="J35" s="428">
        <v>1521199.0698093434</v>
      </c>
      <c r="K35" s="119"/>
      <c r="L35" s="428">
        <v>60221.519816087362</v>
      </c>
      <c r="M35" s="126"/>
      <c r="N35" s="428">
        <v>4798.5149664263536</v>
      </c>
      <c r="O35" s="428">
        <v>382.30885363765054</v>
      </c>
      <c r="P35" s="428">
        <v>398.38278381854622</v>
      </c>
      <c r="Q35" s="428">
        <v>1657</v>
      </c>
      <c r="R35" s="119"/>
      <c r="S35" s="119"/>
      <c r="T35" s="119"/>
      <c r="U35" s="119"/>
      <c r="V35" s="119"/>
      <c r="W35" s="119"/>
      <c r="X35" s="119"/>
      <c r="Y35" s="119"/>
    </row>
    <row r="36" spans="5:42" x14ac:dyDescent="0.25">
      <c r="E36" s="75"/>
      <c r="F36" s="118" t="s">
        <v>251</v>
      </c>
      <c r="G36" s="118" t="s">
        <v>252</v>
      </c>
      <c r="J36" s="119"/>
      <c r="K36" s="119"/>
      <c r="L36" s="119"/>
      <c r="M36" s="126"/>
      <c r="N36" s="428">
        <v>213276.84362733067</v>
      </c>
      <c r="O36" s="428">
        <v>20797.24763972445</v>
      </c>
      <c r="P36" s="428">
        <v>110180.2301965691</v>
      </c>
      <c r="Q36" s="119"/>
      <c r="R36" s="119"/>
      <c r="S36" s="119"/>
      <c r="T36" s="119"/>
      <c r="U36" s="119"/>
      <c r="V36" s="119"/>
      <c r="W36" s="119"/>
      <c r="X36" s="119"/>
      <c r="Y36" s="119"/>
    </row>
    <row r="37" spans="5:42" x14ac:dyDescent="0.25">
      <c r="E37" s="75"/>
      <c r="F37" s="118" t="s">
        <v>253</v>
      </c>
      <c r="G37" s="118" t="s">
        <v>252</v>
      </c>
      <c r="J37" s="119"/>
      <c r="K37" s="119"/>
      <c r="L37" s="119"/>
      <c r="M37" s="126"/>
      <c r="N37" s="428">
        <v>6738.1077126657474</v>
      </c>
      <c r="O37" s="428">
        <v>243.38073583802102</v>
      </c>
      <c r="P37" s="428">
        <v>908.32726340729596</v>
      </c>
      <c r="Q37" s="119"/>
      <c r="R37" s="119"/>
      <c r="S37" s="119"/>
      <c r="T37" s="119"/>
      <c r="U37" s="119"/>
      <c r="V37" s="119"/>
      <c r="W37" s="119"/>
      <c r="X37" s="119"/>
      <c r="Y37" s="119"/>
    </row>
    <row r="38" spans="5:42" x14ac:dyDescent="0.25">
      <c r="E38" s="75"/>
      <c r="F38" s="120" t="s">
        <v>254</v>
      </c>
      <c r="G38" s="120" t="s">
        <v>255</v>
      </c>
      <c r="H38" s="96"/>
      <c r="I38" s="96"/>
      <c r="J38" s="121"/>
      <c r="K38" s="121"/>
      <c r="L38" s="121"/>
      <c r="M38" s="121"/>
      <c r="N38" s="430">
        <v>33026.349881135131</v>
      </c>
      <c r="O38" s="430">
        <v>4054.4751424410956</v>
      </c>
      <c r="P38" s="430">
        <v>18597.524525406883</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894</v>
      </c>
      <c r="G40" s="61"/>
    </row>
    <row r="41" spans="5:42" x14ac:dyDescent="0.25">
      <c r="E41" s="75"/>
      <c r="F41" s="116" t="s">
        <v>248</v>
      </c>
      <c r="G41" s="116" t="s">
        <v>208</v>
      </c>
      <c r="H41" s="95"/>
      <c r="I41" s="95"/>
      <c r="J41" s="117"/>
      <c r="K41" s="117"/>
      <c r="L41" s="427">
        <v>25769.463264329806</v>
      </c>
      <c r="M41" s="117"/>
      <c r="N41" s="427">
        <v>24851.33203546681</v>
      </c>
      <c r="O41" s="427">
        <v>5338.6479864067196</v>
      </c>
      <c r="P41" s="427">
        <v>30917.080888968274</v>
      </c>
      <c r="Q41" s="117"/>
      <c r="R41" s="117"/>
      <c r="S41" s="117"/>
      <c r="T41" s="117"/>
      <c r="U41" s="117"/>
      <c r="V41" s="117"/>
      <c r="W41" s="117"/>
      <c r="X41" s="117"/>
      <c r="Y41" s="117"/>
    </row>
    <row r="42" spans="5:42" x14ac:dyDescent="0.25">
      <c r="E42" s="75"/>
      <c r="F42" s="118" t="s">
        <v>249</v>
      </c>
      <c r="G42" s="118" t="s">
        <v>208</v>
      </c>
      <c r="J42" s="119"/>
      <c r="K42" s="119"/>
      <c r="L42" s="428">
        <v>217037.72309175745</v>
      </c>
      <c r="M42" s="119"/>
      <c r="N42" s="428">
        <v>177279.65763815492</v>
      </c>
      <c r="O42" s="428">
        <v>38088.722276521541</v>
      </c>
      <c r="P42" s="428">
        <v>211674.57391019422</v>
      </c>
      <c r="Q42" s="119"/>
      <c r="R42" s="119"/>
      <c r="S42" s="119"/>
      <c r="T42" s="119"/>
      <c r="U42" s="119"/>
      <c r="V42" s="119"/>
      <c r="W42" s="119"/>
      <c r="X42" s="119"/>
      <c r="Y42" s="119"/>
    </row>
    <row r="43" spans="5:42" x14ac:dyDescent="0.25">
      <c r="E43" s="75"/>
      <c r="F43" s="118" t="s">
        <v>250</v>
      </c>
      <c r="G43" s="118" t="s">
        <v>208</v>
      </c>
      <c r="J43" s="119"/>
      <c r="K43" s="119"/>
      <c r="L43" s="428">
        <v>175285.38538484398</v>
      </c>
      <c r="M43" s="119"/>
      <c r="N43" s="428">
        <v>161831.53406536893</v>
      </c>
      <c r="O43" s="428">
        <v>38558.035683628332</v>
      </c>
      <c r="P43" s="428">
        <v>238504.26317744018</v>
      </c>
      <c r="Q43" s="119"/>
      <c r="R43" s="119"/>
      <c r="S43" s="119"/>
      <c r="T43" s="119"/>
      <c r="U43" s="119"/>
      <c r="V43" s="119"/>
      <c r="W43" s="119"/>
      <c r="X43" s="119"/>
      <c r="Y43" s="119"/>
    </row>
    <row r="44" spans="5:42" x14ac:dyDescent="0.25">
      <c r="E44" s="75"/>
      <c r="F44" s="118" t="s">
        <v>213</v>
      </c>
      <c r="G44" s="118" t="s">
        <v>213</v>
      </c>
      <c r="J44" s="119"/>
      <c r="K44" s="119"/>
      <c r="L44" s="428">
        <v>43306.077079995252</v>
      </c>
      <c r="M44" s="119"/>
      <c r="N44" s="428">
        <v>2317.7008524796479</v>
      </c>
      <c r="O44" s="428">
        <v>408.91282025676543</v>
      </c>
      <c r="P44" s="428">
        <v>317.74626853961161</v>
      </c>
      <c r="Q44" s="119"/>
      <c r="R44" s="119"/>
      <c r="S44" s="119"/>
      <c r="T44" s="119"/>
      <c r="U44" s="119"/>
      <c r="V44" s="119"/>
      <c r="W44" s="119"/>
      <c r="X44" s="119"/>
      <c r="Y44" s="119"/>
    </row>
    <row r="45" spans="5:42" x14ac:dyDescent="0.25">
      <c r="E45" s="75"/>
      <c r="F45" s="118" t="s">
        <v>251</v>
      </c>
      <c r="G45" s="118" t="s">
        <v>252</v>
      </c>
      <c r="J45" s="119"/>
      <c r="K45" s="119"/>
      <c r="L45" s="119"/>
      <c r="M45" s="119"/>
      <c r="N45" s="428">
        <v>269221.98410561716</v>
      </c>
      <c r="O45" s="428">
        <v>50913.793249317838</v>
      </c>
      <c r="P45" s="428">
        <v>230230.59745152827</v>
      </c>
      <c r="Q45" s="119"/>
      <c r="R45" s="119"/>
      <c r="S45" s="119"/>
      <c r="T45" s="119"/>
      <c r="U45" s="119"/>
      <c r="V45" s="119"/>
      <c r="W45" s="119"/>
      <c r="X45" s="119"/>
      <c r="Y45" s="119"/>
    </row>
    <row r="46" spans="5:42" x14ac:dyDescent="0.25">
      <c r="E46" s="75"/>
      <c r="F46" s="118" t="s">
        <v>253</v>
      </c>
      <c r="G46" s="118" t="s">
        <v>252</v>
      </c>
      <c r="J46" s="119"/>
      <c r="K46" s="119"/>
      <c r="L46" s="119"/>
      <c r="M46" s="119"/>
      <c r="N46" s="428">
        <v>8505.5962788487686</v>
      </c>
      <c r="O46" s="428">
        <v>595.82097977499575</v>
      </c>
      <c r="P46" s="428">
        <v>1898.0240662293093</v>
      </c>
      <c r="Q46" s="119"/>
      <c r="R46" s="119"/>
      <c r="S46" s="119"/>
      <c r="T46" s="119"/>
      <c r="U46" s="119"/>
      <c r="V46" s="119"/>
      <c r="W46" s="119"/>
      <c r="X46" s="119"/>
      <c r="Y46" s="119"/>
    </row>
    <row r="47" spans="5:42" x14ac:dyDescent="0.25">
      <c r="E47" s="75"/>
      <c r="F47" s="120" t="s">
        <v>254</v>
      </c>
      <c r="G47" s="120" t="s">
        <v>255</v>
      </c>
      <c r="H47" s="96"/>
      <c r="I47" s="96"/>
      <c r="J47" s="121"/>
      <c r="K47" s="121"/>
      <c r="L47" s="121"/>
      <c r="M47" s="121"/>
      <c r="N47" s="430">
        <v>28573.077823844527</v>
      </c>
      <c r="O47" s="430">
        <v>7434.8530337112988</v>
      </c>
      <c r="P47" s="430">
        <v>34300.895050201761</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895</v>
      </c>
      <c r="G49" s="61"/>
    </row>
    <row r="50" spans="5:42" x14ac:dyDescent="0.25">
      <c r="E50" s="75"/>
      <c r="F50" s="116" t="s">
        <v>248</v>
      </c>
      <c r="G50" s="116" t="s">
        <v>208</v>
      </c>
      <c r="H50" s="95"/>
      <c r="I50" s="95"/>
      <c r="J50" s="117"/>
      <c r="K50" s="117"/>
      <c r="L50" s="427">
        <v>21037.956485530522</v>
      </c>
      <c r="M50" s="117"/>
      <c r="N50" s="427">
        <v>17849.611396800741</v>
      </c>
      <c r="O50" s="427">
        <v>8114.0896127325132</v>
      </c>
      <c r="P50" s="427">
        <v>28510.151168283563</v>
      </c>
      <c r="Q50" s="117"/>
      <c r="R50" s="117"/>
      <c r="S50" s="117"/>
      <c r="T50" s="117"/>
      <c r="U50" s="117"/>
      <c r="V50" s="117"/>
      <c r="W50" s="117"/>
      <c r="X50" s="117"/>
      <c r="Y50" s="117"/>
    </row>
    <row r="51" spans="5:42" x14ac:dyDescent="0.25">
      <c r="E51" s="75"/>
      <c r="F51" s="118" t="s">
        <v>249</v>
      </c>
      <c r="G51" s="118" t="s">
        <v>208</v>
      </c>
      <c r="J51" s="119"/>
      <c r="K51" s="119"/>
      <c r="L51" s="428">
        <v>177187.63201573284</v>
      </c>
      <c r="M51" s="119"/>
      <c r="N51" s="428">
        <v>127332.12822889656</v>
      </c>
      <c r="O51" s="428">
        <v>57890.182415677999</v>
      </c>
      <c r="P51" s="428">
        <v>195195.46888448298</v>
      </c>
      <c r="Q51" s="119"/>
      <c r="R51" s="119"/>
      <c r="S51" s="119"/>
      <c r="T51" s="119"/>
      <c r="U51" s="119"/>
      <c r="V51" s="119"/>
      <c r="W51" s="119"/>
      <c r="X51" s="119"/>
      <c r="Y51" s="119"/>
    </row>
    <row r="52" spans="5:42" x14ac:dyDescent="0.25">
      <c r="E52" s="75"/>
      <c r="F52" s="118" t="s">
        <v>250</v>
      </c>
      <c r="G52" s="118" t="s">
        <v>208</v>
      </c>
      <c r="J52" s="119"/>
      <c r="K52" s="119"/>
      <c r="L52" s="428">
        <v>143101.40154840745</v>
      </c>
      <c r="M52" s="119"/>
      <c r="N52" s="428">
        <v>116236.42510157697</v>
      </c>
      <c r="O52" s="428">
        <v>58603.481185594508</v>
      </c>
      <c r="P52" s="428">
        <v>219936.43649246282</v>
      </c>
      <c r="Q52" s="119"/>
      <c r="R52" s="119"/>
      <c r="S52" s="119"/>
      <c r="T52" s="119"/>
      <c r="U52" s="119"/>
      <c r="V52" s="119"/>
      <c r="W52" s="119"/>
      <c r="X52" s="119"/>
      <c r="Y52" s="119"/>
    </row>
    <row r="53" spans="5:42" x14ac:dyDescent="0.25">
      <c r="E53" s="75"/>
      <c r="F53" s="118" t="s">
        <v>213</v>
      </c>
      <c r="G53" s="118" t="s">
        <v>213</v>
      </c>
      <c r="J53" s="119"/>
      <c r="K53" s="119"/>
      <c r="L53" s="428">
        <v>17515.591197828475</v>
      </c>
      <c r="M53" s="119"/>
      <c r="N53" s="428">
        <v>1083.1573441211233</v>
      </c>
      <c r="O53" s="428">
        <v>383.29418573465477</v>
      </c>
      <c r="P53" s="428">
        <v>129.5943995554307</v>
      </c>
      <c r="Q53" s="119"/>
      <c r="R53" s="119"/>
      <c r="S53" s="119"/>
      <c r="T53" s="119"/>
      <c r="U53" s="119"/>
      <c r="V53" s="119"/>
      <c r="W53" s="119"/>
      <c r="X53" s="119"/>
      <c r="Y53" s="119"/>
    </row>
    <row r="54" spans="5:42" x14ac:dyDescent="0.25">
      <c r="E54" s="75"/>
      <c r="F54" s="118" t="s">
        <v>251</v>
      </c>
      <c r="G54" s="118" t="s">
        <v>252</v>
      </c>
      <c r="J54" s="119"/>
      <c r="K54" s="119"/>
      <c r="L54" s="119"/>
      <c r="M54" s="119"/>
      <c r="N54" s="428">
        <v>204025.46814122697</v>
      </c>
      <c r="O54" s="428">
        <v>78470.146371952724</v>
      </c>
      <c r="P54" s="428">
        <v>186602.07719441602</v>
      </c>
      <c r="Q54" s="119"/>
      <c r="R54" s="119"/>
      <c r="S54" s="119"/>
      <c r="T54" s="119"/>
      <c r="U54" s="119"/>
      <c r="V54" s="119"/>
      <c r="W54" s="119"/>
      <c r="X54" s="119"/>
      <c r="Y54" s="119"/>
    </row>
    <row r="55" spans="5:42" x14ac:dyDescent="0.25">
      <c r="E55" s="75"/>
      <c r="F55" s="118" t="s">
        <v>253</v>
      </c>
      <c r="G55" s="118" t="s">
        <v>252</v>
      </c>
      <c r="J55" s="119"/>
      <c r="K55" s="119"/>
      <c r="L55" s="119"/>
      <c r="M55" s="119"/>
      <c r="N55" s="428">
        <v>6445.8267343115913</v>
      </c>
      <c r="O55" s="428">
        <v>918.3004547603739</v>
      </c>
      <c r="P55" s="428">
        <v>1538.3499727830376</v>
      </c>
      <c r="Q55" s="119"/>
      <c r="R55" s="119"/>
      <c r="S55" s="119"/>
      <c r="T55" s="119"/>
      <c r="U55" s="119"/>
      <c r="V55" s="119"/>
      <c r="W55" s="119"/>
      <c r="X55" s="119"/>
      <c r="Y55" s="119"/>
    </row>
    <row r="56" spans="5:42" x14ac:dyDescent="0.25">
      <c r="E56" s="75"/>
      <c r="F56" s="120" t="s">
        <v>254</v>
      </c>
      <c r="G56" s="120" t="s">
        <v>255</v>
      </c>
      <c r="H56" s="96"/>
      <c r="I56" s="96"/>
      <c r="J56" s="121"/>
      <c r="K56" s="121"/>
      <c r="L56" s="121"/>
      <c r="M56" s="121"/>
      <c r="N56" s="430">
        <v>20522.776599592027</v>
      </c>
      <c r="O56" s="430">
        <v>11300.063972495396</v>
      </c>
      <c r="P56" s="430">
        <v>31630.531569286057</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896</v>
      </c>
      <c r="G58" s="61"/>
    </row>
    <row r="59" spans="5:42" x14ac:dyDescent="0.25">
      <c r="E59" s="75"/>
      <c r="F59" s="116" t="s">
        <v>248</v>
      </c>
      <c r="G59" s="116" t="s">
        <v>208</v>
      </c>
      <c r="H59" s="95"/>
      <c r="I59" s="95"/>
      <c r="J59" s="117"/>
      <c r="K59" s="117"/>
      <c r="L59" s="427">
        <v>53169.050995237463</v>
      </c>
      <c r="M59" s="117"/>
      <c r="N59" s="427">
        <v>14721.230163139453</v>
      </c>
      <c r="O59" s="427">
        <v>23229.064363608362</v>
      </c>
      <c r="P59" s="427">
        <v>50008.961611187864</v>
      </c>
      <c r="Q59" s="117"/>
      <c r="R59" s="117"/>
      <c r="S59" s="117"/>
      <c r="T59" s="117"/>
      <c r="U59" s="117"/>
      <c r="V59" s="117"/>
      <c r="W59" s="117"/>
      <c r="X59" s="117"/>
      <c r="Y59" s="117"/>
    </row>
    <row r="60" spans="5:42" x14ac:dyDescent="0.25">
      <c r="E60" s="75"/>
      <c r="F60" s="118" t="s">
        <v>249</v>
      </c>
      <c r="G60" s="118" t="s">
        <v>208</v>
      </c>
      <c r="J60" s="119"/>
      <c r="K60" s="119"/>
      <c r="L60" s="428">
        <v>447804.81644447596</v>
      </c>
      <c r="M60" s="119"/>
      <c r="N60" s="428">
        <v>105015.48325897694</v>
      </c>
      <c r="O60" s="428">
        <v>165728.36110223309</v>
      </c>
      <c r="P60" s="428">
        <v>342387.61669497</v>
      </c>
      <c r="Q60" s="119"/>
      <c r="R60" s="119"/>
      <c r="S60" s="119"/>
      <c r="T60" s="119"/>
      <c r="U60" s="119"/>
      <c r="V60" s="119"/>
      <c r="W60" s="119"/>
      <c r="X60" s="119"/>
      <c r="Y60" s="119"/>
    </row>
    <row r="61" spans="5:42" x14ac:dyDescent="0.25">
      <c r="E61" s="75"/>
      <c r="F61" s="118" t="s">
        <v>250</v>
      </c>
      <c r="G61" s="118" t="s">
        <v>208</v>
      </c>
      <c r="J61" s="119"/>
      <c r="K61" s="119"/>
      <c r="L61" s="428">
        <v>361658.97204180667</v>
      </c>
      <c r="M61" s="119"/>
      <c r="N61" s="428">
        <v>95864.44932731305</v>
      </c>
      <c r="O61" s="428">
        <v>167770.39709489379</v>
      </c>
      <c r="P61" s="428">
        <v>385785.14524639776</v>
      </c>
      <c r="Q61" s="119"/>
      <c r="R61" s="119"/>
      <c r="S61" s="119"/>
      <c r="T61" s="119"/>
      <c r="U61" s="119"/>
      <c r="V61" s="119"/>
      <c r="W61" s="119"/>
      <c r="X61" s="119"/>
      <c r="Y61" s="119"/>
    </row>
    <row r="62" spans="5:42" x14ac:dyDescent="0.25">
      <c r="E62" s="75"/>
      <c r="F62" s="118" t="s">
        <v>213</v>
      </c>
      <c r="G62" s="118" t="s">
        <v>213</v>
      </c>
      <c r="J62" s="119"/>
      <c r="K62" s="119"/>
      <c r="L62" s="428">
        <v>18241.929816254426</v>
      </c>
      <c r="M62" s="119"/>
      <c r="N62" s="428">
        <v>486.14148515672457</v>
      </c>
      <c r="O62" s="428">
        <v>511.38735834520776</v>
      </c>
      <c r="P62" s="428">
        <v>114.23506331182409</v>
      </c>
      <c r="Q62" s="119"/>
      <c r="R62" s="119"/>
      <c r="S62" s="119"/>
      <c r="T62" s="119"/>
      <c r="U62" s="119"/>
      <c r="V62" s="119"/>
      <c r="W62" s="119"/>
      <c r="X62" s="119"/>
      <c r="Y62" s="119"/>
    </row>
    <row r="63" spans="5:42" x14ac:dyDescent="0.25">
      <c r="E63" s="75"/>
      <c r="F63" s="118" t="s">
        <v>251</v>
      </c>
      <c r="G63" s="118" t="s">
        <v>252</v>
      </c>
      <c r="J63" s="119"/>
      <c r="K63" s="119"/>
      <c r="L63" s="119"/>
      <c r="M63" s="119"/>
      <c r="N63" s="428">
        <v>176333.7541917249</v>
      </c>
      <c r="O63" s="428">
        <v>223136.31397896013</v>
      </c>
      <c r="P63" s="428">
        <v>414069.42583366984</v>
      </c>
      <c r="Q63" s="119"/>
      <c r="R63" s="119"/>
      <c r="S63" s="119"/>
      <c r="T63" s="119"/>
      <c r="U63" s="119"/>
      <c r="V63" s="119"/>
      <c r="W63" s="119"/>
      <c r="X63" s="119"/>
      <c r="Y63" s="119"/>
    </row>
    <row r="64" spans="5:42" x14ac:dyDescent="0.25">
      <c r="E64" s="75"/>
      <c r="F64" s="118" t="s">
        <v>253</v>
      </c>
      <c r="G64" s="118" t="s">
        <v>252</v>
      </c>
      <c r="J64" s="119"/>
      <c r="K64" s="119"/>
      <c r="L64" s="119"/>
      <c r="M64" s="119"/>
      <c r="N64" s="428">
        <v>5570.9556129717103</v>
      </c>
      <c r="O64" s="428">
        <v>2611.2628569490134</v>
      </c>
      <c r="P64" s="428">
        <v>3413.5937795475702</v>
      </c>
      <c r="Q64" s="119"/>
      <c r="R64" s="119"/>
      <c r="S64" s="119"/>
      <c r="T64" s="119"/>
      <c r="U64" s="119"/>
      <c r="V64" s="119"/>
      <c r="W64" s="119"/>
      <c r="X64" s="119"/>
      <c r="Y64" s="119"/>
    </row>
    <row r="65" spans="4:43" x14ac:dyDescent="0.25">
      <c r="E65" s="75"/>
      <c r="F65" s="120" t="s">
        <v>254</v>
      </c>
      <c r="G65" s="120" t="s">
        <v>255</v>
      </c>
      <c r="H65" s="96"/>
      <c r="I65" s="96"/>
      <c r="J65" s="121"/>
      <c r="K65" s="121"/>
      <c r="L65" s="121"/>
      <c r="M65" s="121"/>
      <c r="N65" s="430">
        <v>16925.887695428311</v>
      </c>
      <c r="O65" s="430">
        <v>32349.890851352215</v>
      </c>
      <c r="P65" s="430">
        <v>55482.344855105308</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906</v>
      </c>
      <c r="G67" s="61"/>
      <c r="I67" t="s">
        <v>155</v>
      </c>
      <c r="AQ67" t="s">
        <v>247</v>
      </c>
    </row>
    <row r="68" spans="4:43" x14ac:dyDescent="0.25">
      <c r="G68" s="61"/>
    </row>
    <row r="69" spans="4:43" x14ac:dyDescent="0.25">
      <c r="E69" s="75" t="s">
        <v>860</v>
      </c>
      <c r="G69" s="61"/>
    </row>
    <row r="70" spans="4:43" x14ac:dyDescent="0.25">
      <c r="E70" s="75"/>
      <c r="F70" s="116" t="s">
        <v>248</v>
      </c>
      <c r="G70" s="116" t="s">
        <v>208</v>
      </c>
      <c r="H70" s="95"/>
      <c r="I70" s="95"/>
      <c r="J70" s="117"/>
      <c r="K70" s="427">
        <v>0</v>
      </c>
      <c r="L70" s="427">
        <v>50.018702202795161</v>
      </c>
      <c r="M70" s="427">
        <v>0</v>
      </c>
      <c r="N70" s="427">
        <v>0</v>
      </c>
      <c r="O70" s="117"/>
      <c r="P70" s="117"/>
      <c r="Q70" s="117"/>
      <c r="R70" s="427">
        <v>145.32512484445286</v>
      </c>
      <c r="S70" s="117"/>
      <c r="T70" s="427">
        <v>5.0228258684195506</v>
      </c>
      <c r="U70" s="117"/>
      <c r="V70" s="117"/>
      <c r="W70" s="117"/>
      <c r="X70" s="117"/>
      <c r="Y70" s="117"/>
    </row>
    <row r="71" spans="4:43" x14ac:dyDescent="0.25">
      <c r="E71" s="75"/>
      <c r="F71" s="118" t="s">
        <v>249</v>
      </c>
      <c r="G71" s="118" t="s">
        <v>208</v>
      </c>
      <c r="J71" s="119"/>
      <c r="K71" s="428">
        <v>0</v>
      </c>
      <c r="L71" s="428">
        <v>446.54394615532738</v>
      </c>
      <c r="M71" s="428">
        <v>0</v>
      </c>
      <c r="N71" s="428">
        <v>0</v>
      </c>
      <c r="O71" s="119"/>
      <c r="P71" s="119"/>
      <c r="Q71" s="119"/>
      <c r="R71" s="429">
        <v>1495.6729981168003</v>
      </c>
      <c r="S71" s="119"/>
      <c r="T71" s="428">
        <v>51.732406322701706</v>
      </c>
      <c r="U71" s="119"/>
      <c r="V71" s="119"/>
      <c r="W71" s="119"/>
      <c r="X71" s="119"/>
      <c r="Y71" s="119"/>
    </row>
    <row r="72" spans="4:43" x14ac:dyDescent="0.25">
      <c r="E72" s="75"/>
      <c r="F72" s="118" t="s">
        <v>250</v>
      </c>
      <c r="G72" s="118" t="s">
        <v>208</v>
      </c>
      <c r="J72" s="119"/>
      <c r="K72" s="428">
        <v>0</v>
      </c>
      <c r="L72" s="428">
        <v>317.74771534502293</v>
      </c>
      <c r="M72" s="428">
        <v>0</v>
      </c>
      <c r="N72" s="428">
        <v>0</v>
      </c>
      <c r="O72" s="119"/>
      <c r="P72" s="119"/>
      <c r="Q72" s="119"/>
      <c r="R72" s="429">
        <v>617.57032877021857</v>
      </c>
      <c r="S72" s="119"/>
      <c r="T72" s="428">
        <v>23.479247066598283</v>
      </c>
      <c r="U72" s="119"/>
      <c r="V72" s="119"/>
      <c r="W72" s="119"/>
      <c r="X72" s="119"/>
      <c r="Y72" s="119"/>
    </row>
    <row r="73" spans="4:43" x14ac:dyDescent="0.25">
      <c r="E73" s="75"/>
      <c r="F73" s="118" t="s">
        <v>213</v>
      </c>
      <c r="G73" s="118" t="s">
        <v>213</v>
      </c>
      <c r="J73" s="119"/>
      <c r="K73" s="428">
        <v>0</v>
      </c>
      <c r="L73" s="428">
        <v>129.78707548677909</v>
      </c>
      <c r="M73" s="428">
        <v>0</v>
      </c>
      <c r="N73" s="428">
        <v>0</v>
      </c>
      <c r="O73" s="119"/>
      <c r="P73" s="119"/>
      <c r="Q73" s="119"/>
      <c r="R73" s="428">
        <v>0</v>
      </c>
      <c r="S73" s="119"/>
      <c r="T73" s="428">
        <v>1.2850205493740503</v>
      </c>
      <c r="U73" s="119"/>
      <c r="V73" s="119"/>
      <c r="W73" s="119"/>
      <c r="X73" s="119"/>
      <c r="Y73" s="119"/>
    </row>
    <row r="74" spans="4:43" x14ac:dyDescent="0.25">
      <c r="E74" s="75"/>
      <c r="F74" s="118" t="s">
        <v>251</v>
      </c>
      <c r="G74" s="118" t="s">
        <v>252</v>
      </c>
      <c r="J74" s="119"/>
      <c r="K74" s="119"/>
      <c r="L74" s="119"/>
      <c r="M74" s="119"/>
      <c r="N74" s="428">
        <v>0</v>
      </c>
      <c r="O74" s="119"/>
      <c r="P74" s="119"/>
      <c r="Q74" s="119"/>
      <c r="R74" s="119"/>
      <c r="S74" s="119"/>
      <c r="T74" s="119"/>
      <c r="U74" s="119"/>
      <c r="V74" s="119"/>
      <c r="W74" s="119"/>
      <c r="X74" s="119"/>
      <c r="Y74" s="119"/>
    </row>
    <row r="75" spans="4:43" x14ac:dyDescent="0.25">
      <c r="E75" s="75"/>
      <c r="F75" s="118" t="s">
        <v>253</v>
      </c>
      <c r="G75" s="118" t="s">
        <v>252</v>
      </c>
      <c r="J75" s="119"/>
      <c r="K75" s="119"/>
      <c r="L75" s="119"/>
      <c r="M75" s="119"/>
      <c r="N75" s="428">
        <v>0</v>
      </c>
      <c r="O75" s="119"/>
      <c r="P75" s="119"/>
      <c r="Q75" s="119"/>
      <c r="R75" s="119"/>
      <c r="S75" s="119"/>
      <c r="T75" s="119"/>
      <c r="U75" s="119"/>
      <c r="V75" s="119"/>
      <c r="W75" s="119"/>
      <c r="X75" s="119"/>
      <c r="Y75" s="119"/>
    </row>
    <row r="76" spans="4:43" x14ac:dyDescent="0.25">
      <c r="E76" s="75"/>
      <c r="F76" s="120" t="s">
        <v>254</v>
      </c>
      <c r="G76" s="120" t="s">
        <v>255</v>
      </c>
      <c r="H76" s="96"/>
      <c r="I76" s="96"/>
      <c r="J76" s="121"/>
      <c r="K76" s="121"/>
      <c r="L76" s="121"/>
      <c r="M76" s="121"/>
      <c r="N76" s="430">
        <v>0</v>
      </c>
      <c r="O76" s="121"/>
      <c r="P76" s="121"/>
      <c r="Q76" s="121"/>
      <c r="R76" s="121"/>
      <c r="S76" s="121"/>
      <c r="T76" s="430">
        <v>4.4468923790347121</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897</v>
      </c>
      <c r="G78" s="61"/>
    </row>
    <row r="79" spans="4:43" x14ac:dyDescent="0.25">
      <c r="E79" s="75"/>
      <c r="F79" s="116" t="s">
        <v>248</v>
      </c>
      <c r="G79" s="116" t="s">
        <v>208</v>
      </c>
      <c r="H79" s="95"/>
      <c r="I79" s="95"/>
      <c r="J79" s="427">
        <v>5009.561936578516</v>
      </c>
      <c r="K79" s="117"/>
      <c r="L79" s="427">
        <v>23.034454520968403</v>
      </c>
      <c r="M79" s="117"/>
      <c r="N79" s="427">
        <v>49.862711264564581</v>
      </c>
      <c r="O79" s="117"/>
      <c r="P79" s="117"/>
      <c r="Q79" s="427">
        <v>1.9402031056287485</v>
      </c>
      <c r="R79" s="117"/>
      <c r="S79" s="117"/>
      <c r="T79" s="117"/>
      <c r="U79" s="117"/>
      <c r="V79" s="117"/>
      <c r="W79" s="117"/>
      <c r="X79" s="117"/>
      <c r="Y79" s="117"/>
    </row>
    <row r="80" spans="4:43" x14ac:dyDescent="0.25">
      <c r="E80" s="75"/>
      <c r="F80" s="118" t="s">
        <v>249</v>
      </c>
      <c r="G80" s="118" t="s">
        <v>208</v>
      </c>
      <c r="J80" s="428">
        <v>26428.293129180023</v>
      </c>
      <c r="K80" s="119"/>
      <c r="L80" s="428">
        <v>180.53231818517546</v>
      </c>
      <c r="M80" s="126"/>
      <c r="N80" s="428">
        <v>376.84059290710013</v>
      </c>
      <c r="O80" s="119"/>
      <c r="P80" s="119"/>
      <c r="Q80" s="429">
        <v>21.14065363266138</v>
      </c>
      <c r="R80" s="119"/>
      <c r="S80" s="119"/>
      <c r="T80" s="119"/>
      <c r="U80" s="119"/>
      <c r="V80" s="119"/>
      <c r="W80" s="119"/>
      <c r="X80" s="119"/>
      <c r="Y80" s="119"/>
    </row>
    <row r="81" spans="5:42" x14ac:dyDescent="0.25">
      <c r="E81" s="75"/>
      <c r="F81" s="118" t="s">
        <v>250</v>
      </c>
      <c r="G81" s="118" t="s">
        <v>208</v>
      </c>
      <c r="J81" s="428">
        <v>28347.544883023802</v>
      </c>
      <c r="K81" s="119"/>
      <c r="L81" s="428">
        <v>140.11924237600525</v>
      </c>
      <c r="M81" s="126"/>
      <c r="N81" s="428">
        <v>349.01530778948353</v>
      </c>
      <c r="O81" s="119"/>
      <c r="P81" s="119"/>
      <c r="Q81" s="429">
        <v>112.2474972102397</v>
      </c>
      <c r="R81" s="119"/>
      <c r="S81" s="119"/>
      <c r="T81" s="119"/>
      <c r="U81" s="119"/>
      <c r="V81" s="119"/>
      <c r="W81" s="119"/>
      <c r="X81" s="119"/>
      <c r="Y81" s="119"/>
    </row>
    <row r="82" spans="5:42" x14ac:dyDescent="0.25">
      <c r="E82" s="75"/>
      <c r="F82" s="118" t="s">
        <v>213</v>
      </c>
      <c r="G82" s="118" t="s">
        <v>213</v>
      </c>
      <c r="J82" s="428">
        <v>21273.515194887394</v>
      </c>
      <c r="K82" s="119"/>
      <c r="L82" s="428">
        <v>98.946582301801897</v>
      </c>
      <c r="M82" s="126"/>
      <c r="N82" s="428">
        <v>19.275308240610748</v>
      </c>
      <c r="O82" s="119"/>
      <c r="P82" s="119"/>
      <c r="Q82" s="428">
        <v>80.95629461056518</v>
      </c>
      <c r="R82" s="119"/>
      <c r="S82" s="119"/>
      <c r="T82" s="119"/>
      <c r="U82" s="119"/>
      <c r="V82" s="119"/>
      <c r="W82" s="119"/>
      <c r="X82" s="119"/>
      <c r="Y82" s="119"/>
    </row>
    <row r="83" spans="5:42" x14ac:dyDescent="0.25">
      <c r="E83" s="75"/>
      <c r="F83" s="118" t="s">
        <v>251</v>
      </c>
      <c r="G83" s="118" t="s">
        <v>252</v>
      </c>
      <c r="J83" s="119"/>
      <c r="K83" s="119"/>
      <c r="L83" s="119"/>
      <c r="M83" s="126"/>
      <c r="N83" s="428">
        <v>1368.5468850833636</v>
      </c>
      <c r="O83" s="119"/>
      <c r="P83" s="119"/>
      <c r="Q83" s="119"/>
      <c r="R83" s="119"/>
      <c r="S83" s="119"/>
      <c r="T83" s="119"/>
      <c r="U83" s="119"/>
      <c r="V83" s="119"/>
      <c r="W83" s="119"/>
      <c r="X83" s="119"/>
      <c r="Y83" s="119"/>
    </row>
    <row r="84" spans="5:42" x14ac:dyDescent="0.25">
      <c r="E84" s="75"/>
      <c r="F84" s="118" t="s">
        <v>253</v>
      </c>
      <c r="G84" s="118" t="s">
        <v>252</v>
      </c>
      <c r="J84" s="119"/>
      <c r="K84" s="119"/>
      <c r="L84" s="119"/>
      <c r="M84" s="126"/>
      <c r="N84" s="428">
        <v>47.193077345640631</v>
      </c>
      <c r="O84" s="119"/>
      <c r="P84" s="119"/>
      <c r="Q84" s="119"/>
      <c r="R84" s="119"/>
      <c r="S84" s="119"/>
      <c r="T84" s="119"/>
      <c r="U84" s="119"/>
      <c r="V84" s="119"/>
      <c r="W84" s="119"/>
      <c r="X84" s="119"/>
      <c r="Y84" s="119"/>
    </row>
    <row r="85" spans="5:42" x14ac:dyDescent="0.25">
      <c r="E85" s="75"/>
      <c r="F85" s="120" t="s">
        <v>254</v>
      </c>
      <c r="G85" s="120" t="s">
        <v>255</v>
      </c>
      <c r="H85" s="96"/>
      <c r="I85" s="96"/>
      <c r="J85" s="121"/>
      <c r="K85" s="121"/>
      <c r="L85" s="121"/>
      <c r="M85" s="121"/>
      <c r="N85" s="430">
        <v>100.24690465152386</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898</v>
      </c>
      <c r="G87" s="61"/>
    </row>
    <row r="88" spans="5:42" x14ac:dyDescent="0.25">
      <c r="E88" s="75"/>
      <c r="F88" s="116" t="s">
        <v>248</v>
      </c>
      <c r="G88" s="116" t="s">
        <v>208</v>
      </c>
      <c r="H88" s="95"/>
      <c r="I88" s="95"/>
      <c r="J88" s="117"/>
      <c r="K88" s="117"/>
      <c r="L88" s="427">
        <v>19.461345814514374</v>
      </c>
      <c r="M88" s="117"/>
      <c r="N88" s="427">
        <v>236.29618899806331</v>
      </c>
      <c r="O88" s="117"/>
      <c r="P88" s="117"/>
      <c r="Q88" s="117"/>
      <c r="R88" s="117"/>
      <c r="S88" s="117"/>
      <c r="T88" s="117"/>
      <c r="U88" s="117"/>
      <c r="V88" s="117"/>
      <c r="W88" s="117"/>
      <c r="X88" s="117"/>
      <c r="Y88" s="117"/>
    </row>
    <row r="89" spans="5:42" x14ac:dyDescent="0.25">
      <c r="E89" s="75"/>
      <c r="F89" s="118" t="s">
        <v>249</v>
      </c>
      <c r="G89" s="118" t="s">
        <v>208</v>
      </c>
      <c r="J89" s="119"/>
      <c r="K89" s="119"/>
      <c r="L89" s="428">
        <v>169.52238477196778</v>
      </c>
      <c r="M89" s="119"/>
      <c r="N89" s="428">
        <v>1647.665928148374</v>
      </c>
      <c r="O89" s="119"/>
      <c r="P89" s="119"/>
      <c r="Q89" s="119"/>
      <c r="R89" s="119"/>
      <c r="S89" s="119"/>
      <c r="T89" s="119"/>
      <c r="U89" s="119"/>
      <c r="V89" s="119"/>
      <c r="W89" s="119"/>
      <c r="X89" s="119"/>
      <c r="Y89" s="119"/>
    </row>
    <row r="90" spans="5:42" x14ac:dyDescent="0.25">
      <c r="E90" s="75"/>
      <c r="F90" s="118" t="s">
        <v>250</v>
      </c>
      <c r="G90" s="118" t="s">
        <v>208</v>
      </c>
      <c r="J90" s="119"/>
      <c r="K90" s="119"/>
      <c r="L90" s="428">
        <v>125.96825494237993</v>
      </c>
      <c r="M90" s="119"/>
      <c r="N90" s="428">
        <v>1250.6362636885997</v>
      </c>
      <c r="O90" s="119"/>
      <c r="P90" s="119"/>
      <c r="Q90" s="119"/>
      <c r="R90" s="119"/>
      <c r="S90" s="119"/>
      <c r="T90" s="119"/>
      <c r="U90" s="119"/>
      <c r="V90" s="119"/>
      <c r="W90" s="119"/>
      <c r="X90" s="119"/>
      <c r="Y90" s="119"/>
    </row>
    <row r="91" spans="5:42" x14ac:dyDescent="0.25">
      <c r="E91" s="75"/>
      <c r="F91" s="118" t="s">
        <v>213</v>
      </c>
      <c r="G91" s="118" t="s">
        <v>213</v>
      </c>
      <c r="J91" s="119"/>
      <c r="K91" s="119"/>
      <c r="L91" s="428">
        <v>57.82592472183228</v>
      </c>
      <c r="M91" s="119"/>
      <c r="N91" s="428">
        <v>55.255883623084188</v>
      </c>
      <c r="O91" s="119"/>
      <c r="P91" s="119"/>
      <c r="Q91" s="119"/>
      <c r="R91" s="119"/>
      <c r="S91" s="119"/>
      <c r="T91" s="119"/>
      <c r="U91" s="119"/>
      <c r="V91" s="119"/>
      <c r="W91" s="119"/>
      <c r="X91" s="119"/>
      <c r="Y91" s="119"/>
    </row>
    <row r="92" spans="5:42" x14ac:dyDescent="0.25">
      <c r="E92" s="75"/>
      <c r="F92" s="118" t="s">
        <v>251</v>
      </c>
      <c r="G92" s="118" t="s">
        <v>252</v>
      </c>
      <c r="J92" s="119"/>
      <c r="K92" s="119"/>
      <c r="L92" s="119"/>
      <c r="M92" s="119"/>
      <c r="N92" s="428">
        <v>6736.0777198187743</v>
      </c>
      <c r="O92" s="119"/>
      <c r="P92" s="119"/>
      <c r="Q92" s="119"/>
      <c r="R92" s="119"/>
      <c r="S92" s="119"/>
      <c r="T92" s="119"/>
      <c r="U92" s="119"/>
      <c r="V92" s="119"/>
      <c r="W92" s="119"/>
      <c r="X92" s="119"/>
      <c r="Y92" s="119"/>
    </row>
    <row r="93" spans="5:42" x14ac:dyDescent="0.25">
      <c r="E93" s="75"/>
      <c r="F93" s="118" t="s">
        <v>253</v>
      </c>
      <c r="G93" s="118" t="s">
        <v>252</v>
      </c>
      <c r="J93" s="119"/>
      <c r="K93" s="119"/>
      <c r="L93" s="119"/>
      <c r="M93" s="119"/>
      <c r="N93" s="428">
        <v>6.2940381216252854</v>
      </c>
      <c r="O93" s="119"/>
      <c r="P93" s="119"/>
      <c r="Q93" s="119"/>
      <c r="R93" s="119"/>
      <c r="S93" s="119"/>
      <c r="T93" s="119"/>
      <c r="U93" s="119"/>
      <c r="V93" s="119"/>
      <c r="W93" s="119"/>
      <c r="X93" s="119"/>
      <c r="Y93" s="119"/>
    </row>
    <row r="94" spans="5:42" x14ac:dyDescent="0.25">
      <c r="E94" s="75"/>
      <c r="F94" s="120" t="s">
        <v>254</v>
      </c>
      <c r="G94" s="120" t="s">
        <v>255</v>
      </c>
      <c r="H94" s="96"/>
      <c r="I94" s="96"/>
      <c r="J94" s="121"/>
      <c r="K94" s="121"/>
      <c r="L94" s="121"/>
      <c r="M94" s="121"/>
      <c r="N94" s="430">
        <v>396.92456096931852</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899</v>
      </c>
      <c r="G96" s="61"/>
    </row>
    <row r="97" spans="5:42" x14ac:dyDescent="0.25">
      <c r="E97" s="75"/>
      <c r="F97" s="116" t="s">
        <v>248</v>
      </c>
      <c r="G97" s="116" t="s">
        <v>208</v>
      </c>
      <c r="H97" s="95"/>
      <c r="I97" s="95"/>
      <c r="J97" s="117"/>
      <c r="K97" s="117"/>
      <c r="L97" s="427">
        <v>35.556670499308211</v>
      </c>
      <c r="M97" s="117"/>
      <c r="N97" s="427">
        <v>464.90920282181202</v>
      </c>
      <c r="O97" s="117"/>
      <c r="P97" s="117"/>
      <c r="Q97" s="117"/>
      <c r="R97" s="117"/>
      <c r="S97" s="117"/>
      <c r="T97" s="117"/>
      <c r="U97" s="117"/>
      <c r="V97" s="117"/>
      <c r="W97" s="117"/>
      <c r="X97" s="117"/>
      <c r="Y97" s="117"/>
    </row>
    <row r="98" spans="5:42" x14ac:dyDescent="0.25">
      <c r="E98" s="75"/>
      <c r="F98" s="118" t="s">
        <v>249</v>
      </c>
      <c r="G98" s="118" t="s">
        <v>208</v>
      </c>
      <c r="J98" s="119"/>
      <c r="K98" s="119"/>
      <c r="L98" s="428">
        <v>299.01499334835563</v>
      </c>
      <c r="M98" s="119"/>
      <c r="N98" s="428">
        <v>3223.5102845475449</v>
      </c>
      <c r="O98" s="119"/>
      <c r="P98" s="119"/>
      <c r="Q98" s="119"/>
      <c r="R98" s="119"/>
      <c r="S98" s="119"/>
      <c r="T98" s="119"/>
      <c r="U98" s="119"/>
      <c r="V98" s="119"/>
      <c r="W98" s="119"/>
      <c r="X98" s="119"/>
      <c r="Y98" s="119"/>
    </row>
    <row r="99" spans="5:42" x14ac:dyDescent="0.25">
      <c r="E99" s="75"/>
      <c r="F99" s="118" t="s">
        <v>250</v>
      </c>
      <c r="G99" s="118" t="s">
        <v>208</v>
      </c>
      <c r="J99" s="119"/>
      <c r="K99" s="119"/>
      <c r="L99" s="428">
        <v>211.99680996545302</v>
      </c>
      <c r="M99" s="119"/>
      <c r="N99" s="428">
        <v>1680.7995411231332</v>
      </c>
      <c r="O99" s="119"/>
      <c r="P99" s="119"/>
      <c r="Q99" s="119"/>
      <c r="R99" s="119"/>
      <c r="S99" s="119"/>
      <c r="T99" s="119"/>
      <c r="U99" s="119"/>
      <c r="V99" s="119"/>
      <c r="W99" s="119"/>
      <c r="X99" s="119"/>
      <c r="Y99" s="119"/>
    </row>
    <row r="100" spans="5:42" x14ac:dyDescent="0.25">
      <c r="E100" s="75"/>
      <c r="F100" s="118" t="s">
        <v>213</v>
      </c>
      <c r="G100" s="118" t="s">
        <v>213</v>
      </c>
      <c r="J100" s="119"/>
      <c r="K100" s="119"/>
      <c r="L100" s="428">
        <v>104.08666449929808</v>
      </c>
      <c r="M100" s="119"/>
      <c r="N100" s="428">
        <v>73.24617131432089</v>
      </c>
      <c r="O100" s="119"/>
      <c r="P100" s="119"/>
      <c r="Q100" s="119"/>
      <c r="R100" s="119"/>
      <c r="S100" s="119"/>
      <c r="T100" s="119"/>
      <c r="U100" s="119"/>
      <c r="V100" s="119"/>
      <c r="W100" s="119"/>
      <c r="X100" s="119"/>
      <c r="Y100" s="119"/>
    </row>
    <row r="101" spans="5:42" x14ac:dyDescent="0.25">
      <c r="E101" s="75"/>
      <c r="F101" s="118" t="s">
        <v>251</v>
      </c>
      <c r="G101" s="118" t="s">
        <v>252</v>
      </c>
      <c r="J101" s="119"/>
      <c r="K101" s="119"/>
      <c r="L101" s="119"/>
      <c r="M101" s="119"/>
      <c r="N101" s="428">
        <v>13099.499480319068</v>
      </c>
      <c r="O101" s="119"/>
      <c r="P101" s="119"/>
      <c r="Q101" s="119"/>
      <c r="R101" s="119"/>
      <c r="S101" s="119"/>
      <c r="T101" s="119"/>
      <c r="U101" s="119"/>
      <c r="V101" s="119"/>
      <c r="W101" s="119"/>
      <c r="X101" s="119"/>
      <c r="Y101" s="119"/>
    </row>
    <row r="102" spans="5:42" x14ac:dyDescent="0.25">
      <c r="E102" s="75"/>
      <c r="F102" s="118" t="s">
        <v>253</v>
      </c>
      <c r="G102" s="118" t="s">
        <v>252</v>
      </c>
      <c r="J102" s="119"/>
      <c r="K102" s="119"/>
      <c r="L102" s="119"/>
      <c r="M102" s="119"/>
      <c r="N102" s="428">
        <v>77.88891118914691</v>
      </c>
      <c r="O102" s="119"/>
      <c r="P102" s="119"/>
      <c r="Q102" s="119"/>
      <c r="R102" s="119"/>
      <c r="S102" s="119"/>
      <c r="T102" s="119"/>
      <c r="U102" s="119"/>
      <c r="V102" s="119"/>
      <c r="W102" s="119"/>
      <c r="X102" s="119"/>
      <c r="Y102" s="119"/>
    </row>
    <row r="103" spans="5:42" x14ac:dyDescent="0.25">
      <c r="E103" s="75"/>
      <c r="F103" s="120" t="s">
        <v>254</v>
      </c>
      <c r="G103" s="120" t="s">
        <v>255</v>
      </c>
      <c r="H103" s="96"/>
      <c r="I103" s="96"/>
      <c r="J103" s="121"/>
      <c r="K103" s="121"/>
      <c r="L103" s="121"/>
      <c r="M103" s="121"/>
      <c r="N103" s="430">
        <v>274.62998398677485</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900</v>
      </c>
      <c r="G105" s="61"/>
    </row>
    <row r="106" spans="5:42" x14ac:dyDescent="0.25">
      <c r="E106" s="75"/>
      <c r="F106" s="116" t="s">
        <v>248</v>
      </c>
      <c r="G106" s="116" t="s">
        <v>208</v>
      </c>
      <c r="H106" s="95"/>
      <c r="I106" s="95"/>
      <c r="J106" s="117"/>
      <c r="K106" s="117"/>
      <c r="L106" s="427">
        <v>143.39996181803627</v>
      </c>
      <c r="M106" s="117"/>
      <c r="N106" s="427">
        <v>307.42897457873391</v>
      </c>
      <c r="O106" s="117"/>
      <c r="P106" s="117"/>
      <c r="Q106" s="117"/>
      <c r="R106" s="117"/>
      <c r="S106" s="117"/>
      <c r="T106" s="117"/>
      <c r="U106" s="117"/>
      <c r="V106" s="117"/>
      <c r="W106" s="117"/>
      <c r="X106" s="117"/>
      <c r="Y106" s="117"/>
    </row>
    <row r="107" spans="5:42" x14ac:dyDescent="0.25">
      <c r="E107" s="75"/>
      <c r="F107" s="118" t="s">
        <v>249</v>
      </c>
      <c r="G107" s="118" t="s">
        <v>208</v>
      </c>
      <c r="J107" s="119"/>
      <c r="K107" s="119"/>
      <c r="L107" s="428">
        <v>1227.3135094812021</v>
      </c>
      <c r="M107" s="119"/>
      <c r="N107" s="428">
        <v>2030.8747481892758</v>
      </c>
      <c r="O107" s="119"/>
      <c r="P107" s="119"/>
      <c r="Q107" s="119"/>
      <c r="R107" s="119"/>
      <c r="S107" s="119"/>
      <c r="T107" s="119"/>
      <c r="U107" s="119"/>
      <c r="V107" s="119"/>
      <c r="W107" s="119"/>
      <c r="X107" s="119"/>
      <c r="Y107" s="119"/>
    </row>
    <row r="108" spans="5:42" x14ac:dyDescent="0.25">
      <c r="E108" s="75"/>
      <c r="F108" s="118" t="s">
        <v>250</v>
      </c>
      <c r="G108" s="118" t="s">
        <v>208</v>
      </c>
      <c r="J108" s="119"/>
      <c r="K108" s="119"/>
      <c r="L108" s="428">
        <v>923.18584150417723</v>
      </c>
      <c r="M108" s="119"/>
      <c r="N108" s="428">
        <v>1647.1769874933709</v>
      </c>
      <c r="O108" s="119"/>
      <c r="P108" s="119"/>
      <c r="Q108" s="119"/>
      <c r="R108" s="119"/>
      <c r="S108" s="119"/>
      <c r="T108" s="119"/>
      <c r="U108" s="119"/>
      <c r="V108" s="119"/>
      <c r="W108" s="119"/>
      <c r="X108" s="119"/>
      <c r="Y108" s="119"/>
    </row>
    <row r="109" spans="5:42" x14ac:dyDescent="0.25">
      <c r="E109" s="75"/>
      <c r="F109" s="118" t="s">
        <v>213</v>
      </c>
      <c r="G109" s="118" t="s">
        <v>213</v>
      </c>
      <c r="J109" s="119"/>
      <c r="K109" s="119"/>
      <c r="L109" s="428">
        <v>124.64699328928289</v>
      </c>
      <c r="M109" s="119"/>
      <c r="N109" s="428">
        <v>14.135226043114551</v>
      </c>
      <c r="O109" s="119"/>
      <c r="P109" s="119"/>
      <c r="Q109" s="119"/>
      <c r="R109" s="119"/>
      <c r="S109" s="119"/>
      <c r="T109" s="119"/>
      <c r="U109" s="119"/>
      <c r="V109" s="119"/>
      <c r="W109" s="119"/>
      <c r="X109" s="119"/>
      <c r="Y109" s="119"/>
    </row>
    <row r="110" spans="5:42" x14ac:dyDescent="0.25">
      <c r="E110" s="75"/>
      <c r="F110" s="118" t="s">
        <v>251</v>
      </c>
      <c r="G110" s="118" t="s">
        <v>252</v>
      </c>
      <c r="J110" s="119"/>
      <c r="K110" s="119"/>
      <c r="L110" s="119"/>
      <c r="M110" s="119"/>
      <c r="N110" s="428">
        <v>6065.2969930455183</v>
      </c>
      <c r="O110" s="119"/>
      <c r="P110" s="119"/>
      <c r="Q110" s="119"/>
      <c r="R110" s="119"/>
      <c r="S110" s="119"/>
      <c r="T110" s="119"/>
      <c r="U110" s="119"/>
      <c r="V110" s="119"/>
      <c r="W110" s="119"/>
      <c r="X110" s="119"/>
      <c r="Y110" s="119"/>
    </row>
    <row r="111" spans="5:42" x14ac:dyDescent="0.25">
      <c r="E111" s="75"/>
      <c r="F111" s="118" t="s">
        <v>253</v>
      </c>
      <c r="G111" s="118" t="s">
        <v>252</v>
      </c>
      <c r="J111" s="119"/>
      <c r="K111" s="119"/>
      <c r="L111" s="119"/>
      <c r="M111" s="119"/>
      <c r="N111" s="428">
        <v>3.3056556766634309</v>
      </c>
      <c r="O111" s="119"/>
      <c r="P111" s="119"/>
      <c r="Q111" s="119"/>
      <c r="R111" s="119"/>
      <c r="S111" s="119"/>
      <c r="T111" s="119"/>
      <c r="U111" s="119"/>
      <c r="V111" s="119"/>
      <c r="W111" s="119"/>
      <c r="X111" s="119"/>
      <c r="Y111" s="119"/>
    </row>
    <row r="112" spans="5:42" x14ac:dyDescent="0.25">
      <c r="E112" s="75"/>
      <c r="F112" s="120" t="s">
        <v>254</v>
      </c>
      <c r="G112" s="120" t="s">
        <v>255</v>
      </c>
      <c r="H112" s="96"/>
      <c r="I112" s="96"/>
      <c r="J112" s="121"/>
      <c r="K112" s="121"/>
      <c r="L112" s="121"/>
      <c r="M112" s="121"/>
      <c r="N112" s="430">
        <v>181.76915770842257</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907</v>
      </c>
      <c r="G114" s="61"/>
      <c r="I114" t="s">
        <v>155</v>
      </c>
      <c r="AQ114" t="s">
        <v>247</v>
      </c>
    </row>
    <row r="115" spans="4:43" x14ac:dyDescent="0.25">
      <c r="G115" s="61"/>
    </row>
    <row r="116" spans="4:43" x14ac:dyDescent="0.25">
      <c r="E116" s="75" t="s">
        <v>861</v>
      </c>
      <c r="G116" s="61"/>
    </row>
    <row r="117" spans="4:43" x14ac:dyDescent="0.25">
      <c r="E117" s="75"/>
      <c r="F117" s="116" t="s">
        <v>248</v>
      </c>
      <c r="G117" s="116" t="s">
        <v>208</v>
      </c>
      <c r="H117" s="95"/>
      <c r="I117" s="95"/>
      <c r="J117" s="117"/>
      <c r="K117" s="427">
        <v>0</v>
      </c>
      <c r="L117" s="427">
        <v>75.768036304895688</v>
      </c>
      <c r="M117" s="427">
        <v>0</v>
      </c>
      <c r="N117" s="427">
        <v>10.084379144733067</v>
      </c>
      <c r="O117" s="427">
        <v>0</v>
      </c>
      <c r="P117" s="427">
        <v>0</v>
      </c>
      <c r="Q117" s="117"/>
      <c r="R117" s="427">
        <v>466.59485317295298</v>
      </c>
      <c r="S117" s="427">
        <v>0</v>
      </c>
      <c r="T117" s="427">
        <v>16.956105770532645</v>
      </c>
      <c r="U117" s="117"/>
      <c r="V117" s="427">
        <v>0</v>
      </c>
      <c r="W117" s="117"/>
      <c r="X117" s="427">
        <v>0</v>
      </c>
      <c r="Y117" s="117"/>
    </row>
    <row r="118" spans="4:43" x14ac:dyDescent="0.25">
      <c r="E118" s="75"/>
      <c r="F118" s="118" t="s">
        <v>249</v>
      </c>
      <c r="G118" s="118" t="s">
        <v>208</v>
      </c>
      <c r="J118" s="119"/>
      <c r="K118" s="428">
        <v>0</v>
      </c>
      <c r="L118" s="428">
        <v>653.24645200183147</v>
      </c>
      <c r="M118" s="428">
        <v>0</v>
      </c>
      <c r="N118" s="428">
        <v>93.992366960969548</v>
      </c>
      <c r="O118" s="428">
        <v>0</v>
      </c>
      <c r="P118" s="428">
        <v>0</v>
      </c>
      <c r="Q118" s="119"/>
      <c r="R118" s="429">
        <v>4555.8514617856754</v>
      </c>
      <c r="S118" s="429">
        <v>0</v>
      </c>
      <c r="T118" s="428">
        <v>198.68381871026503</v>
      </c>
      <c r="U118" s="119"/>
      <c r="V118" s="428">
        <v>0</v>
      </c>
      <c r="W118" s="119"/>
      <c r="X118" s="428">
        <v>0</v>
      </c>
      <c r="Y118" s="119"/>
    </row>
    <row r="119" spans="4:43" x14ac:dyDescent="0.25">
      <c r="E119" s="75"/>
      <c r="F119" s="118" t="s">
        <v>250</v>
      </c>
      <c r="G119" s="118" t="s">
        <v>208</v>
      </c>
      <c r="J119" s="119"/>
      <c r="K119" s="428">
        <v>0</v>
      </c>
      <c r="L119" s="428">
        <v>481.63037708283349</v>
      </c>
      <c r="M119" s="428">
        <v>0</v>
      </c>
      <c r="N119" s="428">
        <v>62.79135917895487</v>
      </c>
      <c r="O119" s="428">
        <v>0</v>
      </c>
      <c r="P119" s="428">
        <v>0</v>
      </c>
      <c r="Q119" s="119"/>
      <c r="R119" s="429">
        <v>1893.3826305946161</v>
      </c>
      <c r="S119" s="429">
        <v>0</v>
      </c>
      <c r="T119" s="428">
        <v>172.2190311826773</v>
      </c>
      <c r="U119" s="119"/>
      <c r="V119" s="428">
        <v>0</v>
      </c>
      <c r="W119" s="119"/>
      <c r="X119" s="428">
        <v>0</v>
      </c>
      <c r="Y119" s="119"/>
    </row>
    <row r="120" spans="4:43" x14ac:dyDescent="0.25">
      <c r="E120" s="75"/>
      <c r="F120" s="118" t="s">
        <v>213</v>
      </c>
      <c r="G120" s="118" t="s">
        <v>213</v>
      </c>
      <c r="J120" s="119"/>
      <c r="K120" s="428">
        <v>0</v>
      </c>
      <c r="L120" s="428">
        <v>160.62756867175628</v>
      </c>
      <c r="M120" s="428">
        <v>0</v>
      </c>
      <c r="N120" s="428">
        <v>3.855061648122152</v>
      </c>
      <c r="O120" s="428">
        <v>0</v>
      </c>
      <c r="P120" s="428">
        <v>0</v>
      </c>
      <c r="Q120" s="119"/>
      <c r="R120" s="428">
        <v>0</v>
      </c>
      <c r="S120" s="428">
        <v>0</v>
      </c>
      <c r="T120" s="428">
        <v>8.9951438456183546</v>
      </c>
      <c r="U120" s="119"/>
      <c r="V120" s="428">
        <v>0</v>
      </c>
      <c r="W120" s="119"/>
      <c r="X120" s="428">
        <v>0</v>
      </c>
      <c r="Y120" s="119"/>
    </row>
    <row r="121" spans="4:43" x14ac:dyDescent="0.25">
      <c r="E121" s="75"/>
      <c r="F121" s="118" t="s">
        <v>251</v>
      </c>
      <c r="G121" s="118" t="s">
        <v>252</v>
      </c>
      <c r="J121" s="119"/>
      <c r="K121" s="119"/>
      <c r="L121" s="119"/>
      <c r="M121" s="119"/>
      <c r="N121" s="428">
        <v>771.01232962443009</v>
      </c>
      <c r="O121" s="428">
        <v>0</v>
      </c>
      <c r="P121" s="428">
        <v>0</v>
      </c>
      <c r="Q121" s="119"/>
      <c r="R121" s="119"/>
      <c r="S121" s="119"/>
      <c r="T121" s="119"/>
      <c r="U121" s="119"/>
      <c r="V121" s="119"/>
      <c r="W121" s="119"/>
      <c r="X121" s="119"/>
      <c r="Y121" s="119"/>
    </row>
    <row r="122" spans="4:43" x14ac:dyDescent="0.25">
      <c r="E122" s="75"/>
      <c r="F122" s="118" t="s">
        <v>253</v>
      </c>
      <c r="G122" s="118" t="s">
        <v>252</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254</v>
      </c>
      <c r="G123" s="120" t="s">
        <v>255</v>
      </c>
      <c r="H123" s="96"/>
      <c r="I123" s="96"/>
      <c r="J123" s="121"/>
      <c r="K123" s="121"/>
      <c r="L123" s="121"/>
      <c r="M123" s="121"/>
      <c r="N123" s="430">
        <v>0.86849550433873268</v>
      </c>
      <c r="O123" s="430">
        <v>0</v>
      </c>
      <c r="P123" s="430">
        <v>0</v>
      </c>
      <c r="Q123" s="121"/>
      <c r="R123" s="121"/>
      <c r="S123" s="121"/>
      <c r="T123" s="430">
        <v>73.562570455005527</v>
      </c>
      <c r="U123" s="121"/>
      <c r="V123" s="430">
        <v>0</v>
      </c>
      <c r="W123" s="121"/>
      <c r="X123" s="430">
        <v>0</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901</v>
      </c>
      <c r="G125" s="61"/>
    </row>
    <row r="126" spans="4:43" x14ac:dyDescent="0.25">
      <c r="E126" s="75"/>
      <c r="F126" s="116" t="s">
        <v>248</v>
      </c>
      <c r="G126" s="116" t="s">
        <v>208</v>
      </c>
      <c r="H126" s="95"/>
      <c r="I126" s="95"/>
      <c r="J126" s="427">
        <v>15806.920141223518</v>
      </c>
      <c r="K126" s="117"/>
      <c r="L126" s="427">
        <v>221.0976401507119</v>
      </c>
      <c r="M126" s="117"/>
      <c r="N126" s="427">
        <v>532.64400981853669</v>
      </c>
      <c r="O126" s="427">
        <v>0</v>
      </c>
      <c r="P126" s="427">
        <v>11.828275515198653</v>
      </c>
      <c r="Q126" s="427">
        <v>17.838169837481313</v>
      </c>
      <c r="R126" s="117"/>
      <c r="S126" s="117"/>
      <c r="T126" s="117"/>
      <c r="U126" s="117"/>
      <c r="V126" s="117"/>
      <c r="W126" s="117"/>
      <c r="X126" s="117"/>
      <c r="Y126" s="117"/>
    </row>
    <row r="127" spans="4:43" x14ac:dyDescent="0.25">
      <c r="E127" s="75"/>
      <c r="F127" s="118" t="s">
        <v>249</v>
      </c>
      <c r="G127" s="118" t="s">
        <v>208</v>
      </c>
      <c r="J127" s="428">
        <v>83250.91527779217</v>
      </c>
      <c r="K127" s="119"/>
      <c r="L127" s="428">
        <v>1901.0212966281558</v>
      </c>
      <c r="M127" s="126"/>
      <c r="N127" s="428">
        <v>3483.359170686716</v>
      </c>
      <c r="O127" s="428">
        <v>0</v>
      </c>
      <c r="P127" s="428">
        <v>166.55630998747046</v>
      </c>
      <c r="Q127" s="429">
        <v>150.1520020333262</v>
      </c>
      <c r="R127" s="119"/>
      <c r="S127" s="119"/>
      <c r="T127" s="119"/>
      <c r="U127" s="119"/>
      <c r="V127" s="119"/>
      <c r="W127" s="119"/>
      <c r="X127" s="119"/>
      <c r="Y127" s="119"/>
    </row>
    <row r="128" spans="4:43" x14ac:dyDescent="0.25">
      <c r="E128" s="75"/>
      <c r="F128" s="118" t="s">
        <v>250</v>
      </c>
      <c r="G128" s="118" t="s">
        <v>208</v>
      </c>
      <c r="J128" s="428">
        <v>89567.546196383468</v>
      </c>
      <c r="K128" s="119"/>
      <c r="L128" s="428">
        <v>1409.8522684173629</v>
      </c>
      <c r="M128" s="126"/>
      <c r="N128" s="428">
        <v>2903.7375446647802</v>
      </c>
      <c r="O128" s="428">
        <v>0</v>
      </c>
      <c r="P128" s="428">
        <v>96.007810459098337</v>
      </c>
      <c r="Q128" s="429">
        <v>552.57196150196364</v>
      </c>
      <c r="R128" s="119"/>
      <c r="S128" s="119"/>
      <c r="T128" s="119"/>
      <c r="U128" s="119"/>
      <c r="V128" s="119"/>
      <c r="W128" s="119"/>
      <c r="X128" s="119"/>
      <c r="Y128" s="119"/>
    </row>
    <row r="129" spans="5:42" x14ac:dyDescent="0.25">
      <c r="E129" s="75"/>
      <c r="F129" s="118" t="s">
        <v>213</v>
      </c>
      <c r="G129" s="118" t="s">
        <v>213</v>
      </c>
      <c r="J129" s="428">
        <v>69257.467529063841</v>
      </c>
      <c r="K129" s="119"/>
      <c r="L129" s="428">
        <v>619.37990479829216</v>
      </c>
      <c r="M129" s="126"/>
      <c r="N129" s="428">
        <v>75.816212413068953</v>
      </c>
      <c r="O129" s="428">
        <v>0</v>
      </c>
      <c r="P129" s="428">
        <v>1.2850205493740503</v>
      </c>
      <c r="Q129" s="428">
        <v>221.02353449233675</v>
      </c>
      <c r="R129" s="119"/>
      <c r="S129" s="119"/>
      <c r="T129" s="119"/>
      <c r="U129" s="119"/>
      <c r="V129" s="119"/>
      <c r="W129" s="119"/>
      <c r="X129" s="119"/>
      <c r="Y129" s="119"/>
    </row>
    <row r="130" spans="5:42" x14ac:dyDescent="0.25">
      <c r="E130" s="75"/>
      <c r="F130" s="118" t="s">
        <v>251</v>
      </c>
      <c r="G130" s="118" t="s">
        <v>252</v>
      </c>
      <c r="J130" s="119"/>
      <c r="K130" s="119"/>
      <c r="L130" s="119"/>
      <c r="M130" s="126"/>
      <c r="N130" s="428">
        <v>4433.3208953404746</v>
      </c>
      <c r="O130" s="428">
        <v>0</v>
      </c>
      <c r="P130" s="428">
        <v>514.00821974962003</v>
      </c>
      <c r="Q130" s="119"/>
      <c r="R130" s="119"/>
      <c r="S130" s="119"/>
      <c r="T130" s="119"/>
      <c r="U130" s="119"/>
      <c r="V130" s="119"/>
      <c r="W130" s="119"/>
      <c r="X130" s="119"/>
      <c r="Y130" s="119"/>
    </row>
    <row r="131" spans="5:42" x14ac:dyDescent="0.25">
      <c r="E131" s="75"/>
      <c r="F131" s="118" t="s">
        <v>253</v>
      </c>
      <c r="G131" s="118" t="s">
        <v>252</v>
      </c>
      <c r="J131" s="119"/>
      <c r="K131" s="119"/>
      <c r="L131" s="119"/>
      <c r="M131" s="126"/>
      <c r="N131" s="428">
        <v>118.50988828457238</v>
      </c>
      <c r="O131" s="428">
        <v>0</v>
      </c>
      <c r="P131" s="428">
        <v>0</v>
      </c>
      <c r="Q131" s="119"/>
      <c r="R131" s="119"/>
      <c r="S131" s="119"/>
      <c r="T131" s="119"/>
      <c r="U131" s="119"/>
      <c r="V131" s="119"/>
      <c r="W131" s="119"/>
      <c r="X131" s="119"/>
      <c r="Y131" s="119"/>
    </row>
    <row r="132" spans="5:42" x14ac:dyDescent="0.25">
      <c r="E132" s="75"/>
      <c r="F132" s="120" t="s">
        <v>254</v>
      </c>
      <c r="G132" s="120" t="s">
        <v>255</v>
      </c>
      <c r="H132" s="96"/>
      <c r="I132" s="96"/>
      <c r="J132" s="121"/>
      <c r="K132" s="121"/>
      <c r="L132" s="121"/>
      <c r="M132" s="121"/>
      <c r="N132" s="430">
        <v>376.24068549320873</v>
      </c>
      <c r="O132" s="430">
        <v>0</v>
      </c>
      <c r="P132" s="430">
        <v>64.975262718999474</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902</v>
      </c>
      <c r="G134" s="61"/>
    </row>
    <row r="135" spans="5:42" x14ac:dyDescent="0.25">
      <c r="E135" s="75"/>
      <c r="F135" s="116" t="s">
        <v>248</v>
      </c>
      <c r="G135" s="116" t="s">
        <v>208</v>
      </c>
      <c r="H135" s="95"/>
      <c r="I135" s="95"/>
      <c r="J135" s="117"/>
      <c r="K135" s="117"/>
      <c r="L135" s="427">
        <v>228.87620453840037</v>
      </c>
      <c r="M135" s="117"/>
      <c r="N135" s="427">
        <v>1286.2864693358279</v>
      </c>
      <c r="O135" s="427">
        <v>0.8830231608691691</v>
      </c>
      <c r="P135" s="427">
        <v>226.46388569430451</v>
      </c>
      <c r="Q135" s="117"/>
      <c r="R135" s="117"/>
      <c r="S135" s="117"/>
      <c r="T135" s="117"/>
      <c r="U135" s="117"/>
      <c r="V135" s="117"/>
      <c r="W135" s="117"/>
      <c r="X135" s="117"/>
      <c r="Y135" s="117"/>
    </row>
    <row r="136" spans="5:42" x14ac:dyDescent="0.25">
      <c r="E136" s="75"/>
      <c r="F136" s="118" t="s">
        <v>249</v>
      </c>
      <c r="G136" s="118" t="s">
        <v>208</v>
      </c>
      <c r="J136" s="119"/>
      <c r="K136" s="119"/>
      <c r="L136" s="431">
        <v>1970.8267774722444</v>
      </c>
      <c r="M136" s="119"/>
      <c r="N136" s="428">
        <v>8702.9493116590893</v>
      </c>
      <c r="O136" s="428">
        <v>5.4076114840573819</v>
      </c>
      <c r="P136" s="428">
        <v>1781.3035416643515</v>
      </c>
      <c r="Q136" s="119"/>
      <c r="R136" s="119"/>
      <c r="S136" s="119"/>
      <c r="T136" s="119"/>
      <c r="U136" s="119"/>
      <c r="V136" s="119"/>
      <c r="W136" s="119"/>
      <c r="X136" s="119"/>
      <c r="Y136" s="119"/>
    </row>
    <row r="137" spans="5:42" x14ac:dyDescent="0.25">
      <c r="E137" s="75"/>
      <c r="F137" s="118" t="s">
        <v>250</v>
      </c>
      <c r="G137" s="118" t="s">
        <v>208</v>
      </c>
      <c r="J137" s="119"/>
      <c r="K137" s="119"/>
      <c r="L137" s="431">
        <v>1492.1571074392637</v>
      </c>
      <c r="M137" s="119"/>
      <c r="N137" s="428">
        <v>7784.0752282234153</v>
      </c>
      <c r="O137" s="428">
        <v>7.3729827779716315</v>
      </c>
      <c r="P137" s="428">
        <v>1453.741530529981</v>
      </c>
      <c r="Q137" s="119"/>
      <c r="R137" s="119"/>
      <c r="S137" s="119"/>
      <c r="T137" s="119"/>
      <c r="U137" s="119"/>
      <c r="V137" s="119"/>
      <c r="W137" s="119"/>
      <c r="X137" s="119"/>
      <c r="Y137" s="119"/>
    </row>
    <row r="138" spans="5:42" x14ac:dyDescent="0.25">
      <c r="E138" s="75"/>
      <c r="F138" s="118" t="s">
        <v>213</v>
      </c>
      <c r="G138" s="118" t="s">
        <v>213</v>
      </c>
      <c r="J138" s="119"/>
      <c r="K138" s="119"/>
      <c r="L138" s="428">
        <v>424.05678129343676</v>
      </c>
      <c r="M138" s="119"/>
      <c r="N138" s="428">
        <v>161.91258922113036</v>
      </c>
      <c r="O138" s="428">
        <v>1.2850205493740503</v>
      </c>
      <c r="P138" s="428">
        <v>3.855061648122152</v>
      </c>
      <c r="Q138" s="119"/>
      <c r="R138" s="119"/>
      <c r="S138" s="119"/>
      <c r="T138" s="119"/>
      <c r="U138" s="119"/>
      <c r="V138" s="119"/>
      <c r="W138" s="119"/>
      <c r="X138" s="119"/>
      <c r="Y138" s="119"/>
    </row>
    <row r="139" spans="5:42" x14ac:dyDescent="0.25">
      <c r="E139" s="75"/>
      <c r="F139" s="118" t="s">
        <v>251</v>
      </c>
      <c r="G139" s="118" t="s">
        <v>252</v>
      </c>
      <c r="J139" s="119"/>
      <c r="K139" s="119"/>
      <c r="L139" s="119"/>
      <c r="M139" s="119"/>
      <c r="N139" s="428">
        <v>19281.733343357624</v>
      </c>
      <c r="O139" s="428">
        <v>178.61785636299294</v>
      </c>
      <c r="P139" s="428">
        <v>3084.0493184977204</v>
      </c>
      <c r="Q139" s="119"/>
      <c r="R139" s="119"/>
      <c r="S139" s="119"/>
      <c r="T139" s="119"/>
      <c r="U139" s="119"/>
      <c r="V139" s="119"/>
      <c r="W139" s="119"/>
      <c r="X139" s="119"/>
      <c r="Y139" s="119"/>
    </row>
    <row r="140" spans="5:42" x14ac:dyDescent="0.25">
      <c r="E140" s="75"/>
      <c r="F140" s="118" t="s">
        <v>253</v>
      </c>
      <c r="G140" s="118" t="s">
        <v>252</v>
      </c>
      <c r="J140" s="119"/>
      <c r="K140" s="119"/>
      <c r="L140" s="119"/>
      <c r="M140" s="119"/>
      <c r="N140" s="428">
        <v>266.02412611386438</v>
      </c>
      <c r="O140" s="428">
        <v>0</v>
      </c>
      <c r="P140" s="428">
        <v>0</v>
      </c>
      <c r="Q140" s="119"/>
      <c r="R140" s="119"/>
      <c r="S140" s="119"/>
      <c r="T140" s="119"/>
      <c r="U140" s="119"/>
      <c r="V140" s="119"/>
      <c r="W140" s="119"/>
      <c r="X140" s="119"/>
      <c r="Y140" s="119"/>
    </row>
    <row r="141" spans="5:42" x14ac:dyDescent="0.25">
      <c r="E141" s="75"/>
      <c r="F141" s="120" t="s">
        <v>254</v>
      </c>
      <c r="G141" s="120" t="s">
        <v>255</v>
      </c>
      <c r="H141" s="96"/>
      <c r="I141" s="96"/>
      <c r="J141" s="121"/>
      <c r="K141" s="121"/>
      <c r="L141" s="121"/>
      <c r="M141" s="121"/>
      <c r="N141" s="430">
        <v>1699.0366761264336</v>
      </c>
      <c r="O141" s="430">
        <v>0</v>
      </c>
      <c r="P141" s="430">
        <v>3.2211396759161994</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903</v>
      </c>
      <c r="G143" s="61"/>
    </row>
    <row r="144" spans="5:42" x14ac:dyDescent="0.25">
      <c r="E144" s="75"/>
      <c r="F144" s="116" t="s">
        <v>248</v>
      </c>
      <c r="G144" s="116" t="s">
        <v>208</v>
      </c>
      <c r="H144" s="95"/>
      <c r="I144" s="95"/>
      <c r="J144" s="117"/>
      <c r="K144" s="117"/>
      <c r="L144" s="427">
        <v>211.18781617334031</v>
      </c>
      <c r="M144" s="117"/>
      <c r="N144" s="427">
        <v>971.62832438512078</v>
      </c>
      <c r="O144" s="427">
        <v>53.419328036461323</v>
      </c>
      <c r="P144" s="427">
        <v>739.51424869484208</v>
      </c>
      <c r="Q144" s="117"/>
      <c r="R144" s="117"/>
      <c r="S144" s="117"/>
      <c r="T144" s="117"/>
      <c r="U144" s="117"/>
      <c r="V144" s="117"/>
      <c r="W144" s="117"/>
      <c r="X144" s="117"/>
      <c r="Y144" s="117"/>
    </row>
    <row r="145" spans="5:42" x14ac:dyDescent="0.25">
      <c r="E145" s="75"/>
      <c r="F145" s="118" t="s">
        <v>249</v>
      </c>
      <c r="G145" s="118" t="s">
        <v>208</v>
      </c>
      <c r="J145" s="119"/>
      <c r="K145" s="119"/>
      <c r="L145" s="428">
        <v>1794.493530306318</v>
      </c>
      <c r="M145" s="119"/>
      <c r="N145" s="428">
        <v>6365.3850643034702</v>
      </c>
      <c r="O145" s="428">
        <v>295.8439627411588</v>
      </c>
      <c r="P145" s="428">
        <v>4793.6805561843385</v>
      </c>
      <c r="Q145" s="119"/>
      <c r="R145" s="119"/>
      <c r="S145" s="119"/>
      <c r="T145" s="119"/>
      <c r="U145" s="119"/>
      <c r="V145" s="119"/>
      <c r="W145" s="119"/>
      <c r="X145" s="119"/>
      <c r="Y145" s="119"/>
    </row>
    <row r="146" spans="5:42" x14ac:dyDescent="0.25">
      <c r="E146" s="75"/>
      <c r="F146" s="118" t="s">
        <v>250</v>
      </c>
      <c r="G146" s="118" t="s">
        <v>208</v>
      </c>
      <c r="J146" s="119"/>
      <c r="K146" s="119"/>
      <c r="L146" s="428">
        <v>1367.7193567680827</v>
      </c>
      <c r="M146" s="119"/>
      <c r="N146" s="428">
        <v>5901.6457531921151</v>
      </c>
      <c r="O146" s="428">
        <v>364.48874257329459</v>
      </c>
      <c r="P146" s="428">
        <v>5684.4425387956808</v>
      </c>
      <c r="Q146" s="119"/>
      <c r="R146" s="119"/>
      <c r="S146" s="119"/>
      <c r="T146" s="119"/>
      <c r="U146" s="119"/>
      <c r="V146" s="119"/>
      <c r="W146" s="119"/>
      <c r="X146" s="119"/>
      <c r="Y146" s="119"/>
    </row>
    <row r="147" spans="5:42" x14ac:dyDescent="0.25">
      <c r="E147" s="75"/>
      <c r="F147" s="118" t="s">
        <v>213</v>
      </c>
      <c r="G147" s="118" t="s">
        <v>213</v>
      </c>
      <c r="J147" s="119"/>
      <c r="K147" s="119"/>
      <c r="L147" s="428">
        <v>276.27941811542075</v>
      </c>
      <c r="M147" s="119"/>
      <c r="N147" s="428">
        <v>80.95629461056518</v>
      </c>
      <c r="O147" s="428">
        <v>1.2850205493740503</v>
      </c>
      <c r="P147" s="428">
        <v>3.855061648122152</v>
      </c>
      <c r="Q147" s="119"/>
      <c r="R147" s="119"/>
      <c r="S147" s="119"/>
      <c r="T147" s="119"/>
      <c r="U147" s="119"/>
      <c r="V147" s="119"/>
      <c r="W147" s="119"/>
      <c r="X147" s="119"/>
      <c r="Y147" s="119"/>
    </row>
    <row r="148" spans="5:42" x14ac:dyDescent="0.25">
      <c r="E148" s="75"/>
      <c r="F148" s="118" t="s">
        <v>251</v>
      </c>
      <c r="G148" s="118" t="s">
        <v>252</v>
      </c>
      <c r="J148" s="119"/>
      <c r="K148" s="119"/>
      <c r="L148" s="119"/>
      <c r="M148" s="119"/>
      <c r="N148" s="428">
        <v>15386.836058204879</v>
      </c>
      <c r="O148" s="428">
        <v>263.42921262168034</v>
      </c>
      <c r="P148" s="428">
        <v>5140.0821974962009</v>
      </c>
      <c r="Q148" s="119"/>
      <c r="R148" s="119"/>
      <c r="S148" s="119"/>
      <c r="T148" s="119"/>
      <c r="U148" s="119"/>
      <c r="V148" s="119"/>
      <c r="W148" s="119"/>
      <c r="X148" s="119"/>
      <c r="Y148" s="119"/>
    </row>
    <row r="149" spans="5:42" x14ac:dyDescent="0.25">
      <c r="E149" s="75"/>
      <c r="F149" s="118" t="s">
        <v>253</v>
      </c>
      <c r="G149" s="118" t="s">
        <v>252</v>
      </c>
      <c r="J149" s="119"/>
      <c r="K149" s="119"/>
      <c r="L149" s="119"/>
      <c r="M149" s="119"/>
      <c r="N149" s="428">
        <v>36.165026071836628</v>
      </c>
      <c r="O149" s="428">
        <v>0</v>
      </c>
      <c r="P149" s="428">
        <v>0</v>
      </c>
      <c r="Q149" s="119"/>
      <c r="R149" s="119"/>
      <c r="S149" s="119"/>
      <c r="T149" s="119"/>
      <c r="U149" s="119"/>
      <c r="V149" s="119"/>
      <c r="W149" s="119"/>
      <c r="X149" s="119"/>
      <c r="Y149" s="119"/>
    </row>
    <row r="150" spans="5:42" x14ac:dyDescent="0.25">
      <c r="E150" s="75"/>
      <c r="F150" s="120" t="s">
        <v>254</v>
      </c>
      <c r="G150" s="120" t="s">
        <v>255</v>
      </c>
      <c r="H150" s="96"/>
      <c r="I150" s="96"/>
      <c r="J150" s="121"/>
      <c r="K150" s="121"/>
      <c r="L150" s="121"/>
      <c r="M150" s="121"/>
      <c r="N150" s="430">
        <v>941.16471442770035</v>
      </c>
      <c r="O150" s="430">
        <v>1.126330782834281</v>
      </c>
      <c r="P150" s="430">
        <v>317.24923875012496</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904</v>
      </c>
      <c r="G152" s="61"/>
    </row>
    <row r="153" spans="5:42" x14ac:dyDescent="0.25">
      <c r="E153" s="75"/>
      <c r="F153" s="116" t="s">
        <v>248</v>
      </c>
      <c r="G153" s="116" t="s">
        <v>208</v>
      </c>
      <c r="H153" s="95"/>
      <c r="I153" s="95"/>
      <c r="J153" s="117"/>
      <c r="K153" s="117"/>
      <c r="L153" s="427">
        <v>544.94308149188896</v>
      </c>
      <c r="M153" s="117"/>
      <c r="N153" s="427">
        <v>5760.9095884408171</v>
      </c>
      <c r="O153" s="427">
        <v>2288.9188811631361</v>
      </c>
      <c r="P153" s="427">
        <v>0.73132909303466487</v>
      </c>
      <c r="Q153" s="117"/>
      <c r="R153" s="117"/>
      <c r="S153" s="117"/>
      <c r="T153" s="117"/>
      <c r="U153" s="117"/>
      <c r="V153" s="117"/>
      <c r="W153" s="117"/>
      <c r="X153" s="117"/>
      <c r="Y153" s="117"/>
    </row>
    <row r="154" spans="5:42" x14ac:dyDescent="0.25">
      <c r="E154" s="75"/>
      <c r="F154" s="118" t="s">
        <v>249</v>
      </c>
      <c r="G154" s="118" t="s">
        <v>208</v>
      </c>
      <c r="J154" s="119"/>
      <c r="K154" s="119"/>
      <c r="L154" s="428">
        <v>4377.9946186267316</v>
      </c>
      <c r="M154" s="119"/>
      <c r="N154" s="428">
        <v>38596.969333671732</v>
      </c>
      <c r="O154" s="428">
        <v>15542.229328048776</v>
      </c>
      <c r="P154" s="428">
        <v>8.5644551414816128</v>
      </c>
      <c r="Q154" s="119"/>
      <c r="R154" s="119"/>
      <c r="S154" s="119"/>
      <c r="T154" s="119"/>
      <c r="U154" s="119"/>
      <c r="V154" s="119"/>
      <c r="W154" s="119"/>
      <c r="X154" s="119"/>
      <c r="Y154" s="119"/>
    </row>
    <row r="155" spans="5:42" x14ac:dyDescent="0.25">
      <c r="E155" s="75"/>
      <c r="F155" s="118" t="s">
        <v>250</v>
      </c>
      <c r="G155" s="118" t="s">
        <v>208</v>
      </c>
      <c r="J155" s="119"/>
      <c r="K155" s="119"/>
      <c r="L155" s="428">
        <v>3364.6279003146424</v>
      </c>
      <c r="M155" s="119"/>
      <c r="N155" s="428">
        <v>35831.326004892202</v>
      </c>
      <c r="O155" s="428">
        <v>11599.322989608727</v>
      </c>
      <c r="P155" s="428">
        <v>16.782925492097885</v>
      </c>
      <c r="Q155" s="119"/>
      <c r="R155" s="119"/>
      <c r="S155" s="119"/>
      <c r="T155" s="119"/>
      <c r="U155" s="119"/>
      <c r="V155" s="119"/>
      <c r="W155" s="119"/>
      <c r="X155" s="119"/>
      <c r="Y155" s="119"/>
    </row>
    <row r="156" spans="5:42" x14ac:dyDescent="0.25">
      <c r="E156" s="75"/>
      <c r="F156" s="118" t="s">
        <v>213</v>
      </c>
      <c r="G156" s="118" t="s">
        <v>213</v>
      </c>
      <c r="J156" s="119"/>
      <c r="K156" s="119"/>
      <c r="L156" s="428">
        <v>215.88345229484048</v>
      </c>
      <c r="M156" s="119"/>
      <c r="N156" s="428">
        <v>185.04295910986326</v>
      </c>
      <c r="O156" s="428">
        <v>37.265595931847471</v>
      </c>
      <c r="P156" s="428">
        <v>5.1400821974962012</v>
      </c>
      <c r="Q156" s="119"/>
      <c r="R156" s="119"/>
      <c r="S156" s="119"/>
      <c r="T156" s="119"/>
      <c r="U156" s="119"/>
      <c r="V156" s="119"/>
      <c r="W156" s="119"/>
      <c r="X156" s="119"/>
      <c r="Y156" s="119"/>
    </row>
    <row r="157" spans="5:42" x14ac:dyDescent="0.25">
      <c r="E157" s="75"/>
      <c r="F157" s="118" t="s">
        <v>251</v>
      </c>
      <c r="G157" s="118" t="s">
        <v>252</v>
      </c>
      <c r="J157" s="119"/>
      <c r="K157" s="119"/>
      <c r="L157" s="119"/>
      <c r="M157" s="119"/>
      <c r="N157" s="428">
        <v>124401.55436435241</v>
      </c>
      <c r="O157" s="428">
        <v>32670.362447285857</v>
      </c>
      <c r="P157" s="428">
        <v>15227.493510082499</v>
      </c>
      <c r="Q157" s="119"/>
      <c r="R157" s="119"/>
      <c r="S157" s="119"/>
      <c r="T157" s="119"/>
      <c r="U157" s="119"/>
      <c r="V157" s="119"/>
      <c r="W157" s="119"/>
      <c r="X157" s="119"/>
      <c r="Y157" s="119"/>
    </row>
    <row r="158" spans="5:42" x14ac:dyDescent="0.25">
      <c r="E158" s="75"/>
      <c r="F158" s="118" t="s">
        <v>253</v>
      </c>
      <c r="G158" s="118" t="s">
        <v>252</v>
      </c>
      <c r="J158" s="119"/>
      <c r="K158" s="119"/>
      <c r="L158" s="119"/>
      <c r="M158" s="119"/>
      <c r="N158" s="428">
        <v>151.1559036280355</v>
      </c>
      <c r="O158" s="428">
        <v>0</v>
      </c>
      <c r="P158" s="428">
        <v>0</v>
      </c>
      <c r="Q158" s="119"/>
      <c r="R158" s="119"/>
      <c r="S158" s="119"/>
      <c r="T158" s="119"/>
      <c r="U158" s="119"/>
      <c r="V158" s="119"/>
      <c r="W158" s="119"/>
      <c r="X158" s="119"/>
      <c r="Y158" s="119"/>
    </row>
    <row r="159" spans="5:42" x14ac:dyDescent="0.25">
      <c r="E159" s="75"/>
      <c r="F159" s="120" t="s">
        <v>254</v>
      </c>
      <c r="G159" s="120" t="s">
        <v>255</v>
      </c>
      <c r="H159" s="96"/>
      <c r="I159" s="96"/>
      <c r="J159" s="121"/>
      <c r="K159" s="121"/>
      <c r="L159" s="121"/>
      <c r="M159" s="121"/>
      <c r="N159" s="430">
        <v>6762.2226311799368</v>
      </c>
      <c r="O159" s="430">
        <v>759.48966979241914</v>
      </c>
      <c r="P159" s="430">
        <v>6.1482657692558957</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840</v>
      </c>
      <c r="G161" s="61" t="s">
        <v>213</v>
      </c>
      <c r="I161" t="s">
        <v>155</v>
      </c>
      <c r="J161" s="432">
        <v>7354.1726040676895</v>
      </c>
      <c r="K161" s="432"/>
      <c r="L161" s="432">
        <v>65.536048018076571</v>
      </c>
      <c r="M161" s="432"/>
      <c r="N161" s="432">
        <v>10.280164394992402</v>
      </c>
      <c r="O161" s="432">
        <v>1.2850205493740503</v>
      </c>
      <c r="P161" s="432">
        <v>7.7101232962443014</v>
      </c>
      <c r="Q161" s="432"/>
      <c r="R161" s="432"/>
      <c r="S161" s="432"/>
      <c r="T161" s="432"/>
      <c r="U161" s="432"/>
      <c r="V161" s="432"/>
      <c r="W161" s="432"/>
      <c r="X161" s="432"/>
      <c r="Y161" s="432"/>
      <c r="AQ161" t="s">
        <v>856</v>
      </c>
    </row>
    <row r="162" spans="3:43" x14ac:dyDescent="0.25">
      <c r="G162" s="61"/>
    </row>
    <row r="163" spans="3:43" x14ac:dyDescent="0.25">
      <c r="C163" s="93" t="str">
        <f ca="1">INDEX('Version control'!$H$42:$H$65,MATCH($A$1,'Version control'!$F$42:$F$65,0),1)&amp;"-C: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1075</v>
      </c>
      <c r="G165" s="61"/>
      <c r="I165" t="s">
        <v>155</v>
      </c>
      <c r="AQ165" t="s">
        <v>1087</v>
      </c>
    </row>
    <row r="166" spans="3:43" x14ac:dyDescent="0.25">
      <c r="D166" s="86" t="s">
        <v>1076</v>
      </c>
      <c r="G166" s="61"/>
    </row>
    <row r="167" spans="3:43" x14ac:dyDescent="0.25">
      <c r="G167" s="61"/>
    </row>
    <row r="168" spans="3:43" x14ac:dyDescent="0.25">
      <c r="E168" s="75" t="s">
        <v>936</v>
      </c>
      <c r="G168" s="61"/>
      <c r="J168" s="115" t="s">
        <v>927</v>
      </c>
      <c r="K168" s="115" t="s">
        <v>932</v>
      </c>
      <c r="L168" s="115" t="s">
        <v>933</v>
      </c>
      <c r="M168" s="115" t="s">
        <v>934</v>
      </c>
      <c r="N168" s="115" t="s">
        <v>935</v>
      </c>
    </row>
    <row r="169" spans="3:43" x14ac:dyDescent="0.25">
      <c r="E169" s="75"/>
      <c r="F169" s="116" t="s">
        <v>248</v>
      </c>
      <c r="G169" s="116" t="s">
        <v>168</v>
      </c>
      <c r="H169" s="128"/>
      <c r="I169" s="95"/>
      <c r="J169" s="438">
        <f>$L23/SUM($L23,$L32,$L41,$L50,$L59)</f>
        <v>4.6301497770747518E-4</v>
      </c>
      <c r="K169" s="433">
        <f>$L32/SUM($L23,$L32,$L41,$L50,$L59)</f>
        <v>8.0319454957287456E-2</v>
      </c>
      <c r="L169" s="438">
        <f>$L41/SUM($L23,$L32,$L41,$L50,$L59)</f>
        <v>0.23693317233944891</v>
      </c>
      <c r="M169" s="438">
        <f>$L50/SUM($L23,$L32,$L41,$L50,$L59)</f>
        <v>0.19343009664294092</v>
      </c>
      <c r="N169" s="438">
        <f>$L59/SUM($L23,$L32,$L41,$L50,$L59)</f>
        <v>0.48885426108261526</v>
      </c>
    </row>
    <row r="170" spans="3:43" x14ac:dyDescent="0.25">
      <c r="E170" s="75"/>
      <c r="F170" s="129" t="s">
        <v>249</v>
      </c>
      <c r="G170" s="129" t="s">
        <v>168</v>
      </c>
      <c r="H170" s="130"/>
      <c r="J170" s="439">
        <f t="shared" ref="J170:J171" si="0">$L24/SUM($L24,$L33,$L42,$L51,$L60)</f>
        <v>4.5505953755080135E-4</v>
      </c>
      <c r="K170" s="434">
        <f t="shared" ref="K170:K171" si="1">$L33/SUM($L24,$L33,$L42,$L51,$L60)</f>
        <v>8.032009422989754E-2</v>
      </c>
      <c r="L170" s="434">
        <f t="shared" ref="L170:L171" si="2">$L42/SUM($L24,$L33,$L42,$L51,$L60)</f>
        <v>0.23693505812026744</v>
      </c>
      <c r="M170" s="434">
        <f t="shared" ref="M170:M171" si="3">$L51/SUM($L24,$L33,$L42,$L51,$L60)</f>
        <v>0.19343163617732678</v>
      </c>
      <c r="N170" s="434">
        <f t="shared" ref="N170:N171" si="4">$L60/SUM($L24,$L33,$L42,$L51,$L60)</f>
        <v>0.48885815193495752</v>
      </c>
    </row>
    <row r="171" spans="3:43" x14ac:dyDescent="0.25">
      <c r="E171" s="75"/>
      <c r="F171" s="120" t="s">
        <v>250</v>
      </c>
      <c r="G171" s="120" t="s">
        <v>168</v>
      </c>
      <c r="H171" s="131"/>
      <c r="I171" s="96"/>
      <c r="J171" s="435">
        <f t="shared" si="0"/>
        <v>5.6588158155569462E-4</v>
      </c>
      <c r="K171" s="435">
        <f t="shared" si="1"/>
        <v>8.0311188940443437E-2</v>
      </c>
      <c r="L171" s="435">
        <f t="shared" si="2"/>
        <v>0.23690878853860642</v>
      </c>
      <c r="M171" s="435">
        <f t="shared" si="3"/>
        <v>0.19341018992871037</v>
      </c>
      <c r="N171" s="435">
        <f t="shared" si="4"/>
        <v>0.48880395101068402</v>
      </c>
    </row>
    <row r="172" spans="3:43" x14ac:dyDescent="0.25">
      <c r="E172" s="122"/>
      <c r="F172" s="123"/>
      <c r="G172" s="123"/>
      <c r="H172" s="14"/>
      <c r="I172" s="14"/>
      <c r="J172" s="124"/>
      <c r="K172" s="124"/>
      <c r="L172" s="124"/>
      <c r="M172" s="124"/>
      <c r="N172" s="124"/>
    </row>
    <row r="173" spans="3:43" x14ac:dyDescent="0.25">
      <c r="E173" s="75" t="s">
        <v>937</v>
      </c>
      <c r="G173" s="61"/>
      <c r="J173" s="115" t="s">
        <v>927</v>
      </c>
      <c r="K173" s="115" t="s">
        <v>932</v>
      </c>
      <c r="L173" s="115" t="s">
        <v>933</v>
      </c>
      <c r="M173" s="115" t="s">
        <v>934</v>
      </c>
      <c r="N173" s="115" t="s">
        <v>935</v>
      </c>
    </row>
    <row r="174" spans="3:43" x14ac:dyDescent="0.25">
      <c r="E174" s="75"/>
      <c r="F174" s="116" t="s">
        <v>248</v>
      </c>
      <c r="G174" s="116" t="s">
        <v>168</v>
      </c>
      <c r="H174" s="128"/>
      <c r="I174" s="95"/>
      <c r="J174" s="433">
        <f>J169</f>
        <v>4.6301497770747518E-4</v>
      </c>
      <c r="K174" s="433">
        <f t="shared" ref="K174:N176" si="5">K169</f>
        <v>8.0319454957287456E-2</v>
      </c>
      <c r="L174" s="433">
        <f t="shared" si="5"/>
        <v>0.23693317233944891</v>
      </c>
      <c r="M174" s="433">
        <f t="shared" si="5"/>
        <v>0.19343009664294092</v>
      </c>
      <c r="N174" s="433">
        <f t="shared" si="5"/>
        <v>0.48885426108261526</v>
      </c>
    </row>
    <row r="175" spans="3:43" x14ac:dyDescent="0.25">
      <c r="E175" s="75"/>
      <c r="F175" s="129" t="s">
        <v>249</v>
      </c>
      <c r="G175" s="129" t="s">
        <v>168</v>
      </c>
      <c r="H175" s="130"/>
      <c r="J175" s="434">
        <f>J170</f>
        <v>4.5505953755080135E-4</v>
      </c>
      <c r="K175" s="434">
        <f t="shared" si="5"/>
        <v>8.032009422989754E-2</v>
      </c>
      <c r="L175" s="434">
        <f t="shared" si="5"/>
        <v>0.23693505812026744</v>
      </c>
      <c r="M175" s="434">
        <f t="shared" si="5"/>
        <v>0.19343163617732678</v>
      </c>
      <c r="N175" s="434">
        <f t="shared" si="5"/>
        <v>0.48885815193495752</v>
      </c>
    </row>
    <row r="176" spans="3:43" x14ac:dyDescent="0.25">
      <c r="E176" s="75"/>
      <c r="F176" s="120" t="s">
        <v>250</v>
      </c>
      <c r="G176" s="120" t="s">
        <v>168</v>
      </c>
      <c r="H176" s="131"/>
      <c r="I176" s="96"/>
      <c r="J176" s="435">
        <f>J171</f>
        <v>5.6588158155569462E-4</v>
      </c>
      <c r="K176" s="435">
        <f t="shared" si="5"/>
        <v>8.0311188940443437E-2</v>
      </c>
      <c r="L176" s="435">
        <f t="shared" si="5"/>
        <v>0.23690878853860642</v>
      </c>
      <c r="M176" s="435">
        <f t="shared" si="5"/>
        <v>0.19341018992871037</v>
      </c>
      <c r="N176" s="435">
        <f t="shared" si="5"/>
        <v>0.48880395101068402</v>
      </c>
    </row>
    <row r="177" spans="3:43" x14ac:dyDescent="0.25">
      <c r="E177" s="122"/>
      <c r="F177" s="123"/>
      <c r="G177" s="123"/>
      <c r="H177" s="14"/>
      <c r="I177" s="14"/>
      <c r="J177" s="124"/>
      <c r="K177" s="124"/>
      <c r="L177" s="124"/>
      <c r="M177" s="124"/>
      <c r="N177" s="124"/>
    </row>
    <row r="178" spans="3:43" x14ac:dyDescent="0.25">
      <c r="E178" s="75" t="s">
        <v>938</v>
      </c>
      <c r="G178" s="61"/>
      <c r="J178" s="115" t="s">
        <v>927</v>
      </c>
      <c r="K178" s="115" t="s">
        <v>932</v>
      </c>
      <c r="L178" s="115" t="s">
        <v>933</v>
      </c>
      <c r="M178" s="115" t="s">
        <v>934</v>
      </c>
      <c r="N178" s="115" t="s">
        <v>935</v>
      </c>
    </row>
    <row r="179" spans="3:43" x14ac:dyDescent="0.25">
      <c r="E179" s="75"/>
      <c r="F179" s="116" t="s">
        <v>248</v>
      </c>
      <c r="G179" s="116" t="s">
        <v>168</v>
      </c>
      <c r="H179" s="128"/>
      <c r="I179" s="95"/>
      <c r="J179" s="433">
        <f>J174</f>
        <v>4.6301497770747518E-4</v>
      </c>
      <c r="K179" s="433">
        <f t="shared" ref="K179:N181" si="6">K174</f>
        <v>8.0319454957287456E-2</v>
      </c>
      <c r="L179" s="433">
        <f t="shared" si="6"/>
        <v>0.23693317233944891</v>
      </c>
      <c r="M179" s="433">
        <f t="shared" si="6"/>
        <v>0.19343009664294092</v>
      </c>
      <c r="N179" s="433">
        <f t="shared" si="6"/>
        <v>0.48885426108261526</v>
      </c>
    </row>
    <row r="180" spans="3:43" x14ac:dyDescent="0.25">
      <c r="E180" s="75"/>
      <c r="F180" s="129" t="s">
        <v>249</v>
      </c>
      <c r="G180" s="129" t="s">
        <v>168</v>
      </c>
      <c r="H180" s="130"/>
      <c r="J180" s="434">
        <f>J175</f>
        <v>4.5505953755080135E-4</v>
      </c>
      <c r="K180" s="434">
        <f t="shared" si="6"/>
        <v>8.032009422989754E-2</v>
      </c>
      <c r="L180" s="434">
        <f t="shared" si="6"/>
        <v>0.23693505812026744</v>
      </c>
      <c r="M180" s="434">
        <f t="shared" si="6"/>
        <v>0.19343163617732678</v>
      </c>
      <c r="N180" s="434">
        <f t="shared" si="6"/>
        <v>0.48885815193495752</v>
      </c>
    </row>
    <row r="181" spans="3:43" x14ac:dyDescent="0.25">
      <c r="E181" s="75"/>
      <c r="F181" s="120" t="s">
        <v>250</v>
      </c>
      <c r="G181" s="120" t="s">
        <v>168</v>
      </c>
      <c r="H181" s="131"/>
      <c r="I181" s="96"/>
      <c r="J181" s="435">
        <f>J176</f>
        <v>5.6588158155569462E-4</v>
      </c>
      <c r="K181" s="435">
        <f t="shared" si="6"/>
        <v>8.0311188940443437E-2</v>
      </c>
      <c r="L181" s="435">
        <f t="shared" si="6"/>
        <v>0.23690878853860642</v>
      </c>
      <c r="M181" s="435">
        <f t="shared" si="6"/>
        <v>0.19341018992871037</v>
      </c>
      <c r="N181" s="435">
        <f t="shared" si="6"/>
        <v>0.48880395101068402</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control'!$H$42:$H$65,MATCH($A$1,'Version control'!$F$42:$F$65,0),1)&amp;"-D: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259</v>
      </c>
      <c r="H185" s="97"/>
    </row>
    <row r="186" spans="3:43" x14ac:dyDescent="0.25">
      <c r="G186" s="61"/>
      <c r="I186" t="s">
        <v>155</v>
      </c>
      <c r="AQ186" t="s">
        <v>260</v>
      </c>
    </row>
    <row r="187" spans="3:43" x14ac:dyDescent="0.25">
      <c r="D187" s="105"/>
      <c r="E187" t="s">
        <v>261</v>
      </c>
      <c r="G187" t="s">
        <v>262</v>
      </c>
      <c r="H187" s="78"/>
      <c r="J187" s="428">
        <v>269.38782309498231</v>
      </c>
      <c r="K187" s="119"/>
      <c r="L187" s="428">
        <v>789.88180929747637</v>
      </c>
      <c r="M187" s="119"/>
      <c r="N187" s="428">
        <v>1575.9229526519534</v>
      </c>
      <c r="O187" s="440">
        <v>1230.1772191560049</v>
      </c>
      <c r="P187" s="119"/>
      <c r="Q187" s="119"/>
      <c r="R187" s="428">
        <v>0</v>
      </c>
      <c r="S187" s="428">
        <v>0</v>
      </c>
      <c r="T187" s="428">
        <v>0</v>
      </c>
      <c r="U187" s="428">
        <v>0</v>
      </c>
      <c r="V187" s="428">
        <v>0</v>
      </c>
      <c r="W187" s="428">
        <v>0</v>
      </c>
      <c r="X187" s="119"/>
      <c r="Y187" s="119"/>
    </row>
    <row r="188" spans="3:43" x14ac:dyDescent="0.25">
      <c r="D188" s="105"/>
      <c r="E188" t="s">
        <v>263</v>
      </c>
      <c r="G188" t="s">
        <v>262</v>
      </c>
      <c r="H188" s="78"/>
      <c r="J188" s="119"/>
      <c r="K188" s="119"/>
      <c r="L188" s="119"/>
      <c r="M188" s="119"/>
      <c r="N188" s="119"/>
      <c r="O188" s="119"/>
      <c r="P188" s="428">
        <v>11356.793905550356</v>
      </c>
      <c r="Q188" s="119"/>
      <c r="R188" s="119"/>
      <c r="S188" s="119"/>
      <c r="T188" s="119"/>
      <c r="U188" s="119"/>
      <c r="V188" s="119"/>
      <c r="W188" s="119"/>
      <c r="X188" s="428">
        <v>7107.5663724404194</v>
      </c>
      <c r="Y188" s="428">
        <v>7107.5663724404194</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264</v>
      </c>
      <c r="G190" t="s">
        <v>265</v>
      </c>
      <c r="I190" t="s">
        <v>155</v>
      </c>
      <c r="J190" s="119"/>
      <c r="K190" s="119"/>
      <c r="L190" s="119"/>
      <c r="M190" s="119"/>
      <c r="N190" s="119"/>
      <c r="O190" s="119"/>
      <c r="P190" s="119"/>
      <c r="Q190" s="428">
        <v>304.52583745521042</v>
      </c>
      <c r="R190" s="119"/>
      <c r="S190" s="119"/>
      <c r="T190" s="119"/>
      <c r="U190" s="119"/>
      <c r="V190" s="119"/>
      <c r="W190" s="119"/>
      <c r="X190" s="119"/>
      <c r="Y190" s="119"/>
      <c r="AQ190" t="s">
        <v>266</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control'!$H$42:$H$65,MATCH($A$1,'Version control'!$F$42:$F$65,0),1)&amp;"-E: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267</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268</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269</v>
      </c>
      <c r="G197" s="61"/>
      <c r="J197" s="107" t="s">
        <v>1116</v>
      </c>
      <c r="K197" s="107" t="s">
        <v>786</v>
      </c>
      <c r="L197" s="107" t="s">
        <v>1117</v>
      </c>
      <c r="M197" s="107" t="s">
        <v>1118</v>
      </c>
      <c r="N197" s="107" t="s">
        <v>1119</v>
      </c>
      <c r="O197" s="107" t="s">
        <v>1120</v>
      </c>
      <c r="P197" s="107" t="s">
        <v>1121</v>
      </c>
      <c r="Q197" s="107" t="s">
        <v>787</v>
      </c>
      <c r="R197" s="107" t="s">
        <v>863</v>
      </c>
      <c r="S197" s="107" t="s">
        <v>864</v>
      </c>
      <c r="T197" s="107" t="s">
        <v>865</v>
      </c>
      <c r="U197" s="107" t="s">
        <v>866</v>
      </c>
      <c r="V197" s="107" t="s">
        <v>867</v>
      </c>
      <c r="W197" s="107" t="s">
        <v>868</v>
      </c>
      <c r="X197" s="107" t="s">
        <v>869</v>
      </c>
      <c r="Y197" s="107" t="s">
        <v>870</v>
      </c>
      <c r="Z197" s="107" t="s">
        <v>871</v>
      </c>
      <c r="AA197" s="107" t="s">
        <v>872</v>
      </c>
      <c r="AB197" s="107" t="s">
        <v>873</v>
      </c>
      <c r="AC197" s="107" t="s">
        <v>874</v>
      </c>
      <c r="AD197" s="107" t="s">
        <v>875</v>
      </c>
      <c r="AE197" s="107" t="s">
        <v>876</v>
      </c>
      <c r="AF197" s="107" t="s">
        <v>877</v>
      </c>
      <c r="AG197" s="107" t="s">
        <v>796</v>
      </c>
      <c r="AH197" s="107" t="s">
        <v>788</v>
      </c>
      <c r="AI197" s="107" t="s">
        <v>789</v>
      </c>
      <c r="AJ197" s="107" t="s">
        <v>790</v>
      </c>
      <c r="AK197" s="107" t="s">
        <v>799</v>
      </c>
      <c r="AL197" s="107" t="s">
        <v>791</v>
      </c>
      <c r="AM197" s="107" t="s">
        <v>798</v>
      </c>
      <c r="AN197" s="107" t="s">
        <v>792</v>
      </c>
      <c r="AO197" s="107" t="s">
        <v>797</v>
      </c>
    </row>
    <row r="198" spans="3:43" x14ac:dyDescent="0.25">
      <c r="D198" s="75"/>
      <c r="F198" s="95" t="s">
        <v>157</v>
      </c>
      <c r="G198" s="95" t="s">
        <v>270</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158</v>
      </c>
      <c r="G199" t="s">
        <v>270</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159</v>
      </c>
      <c r="G200" t="s">
        <v>270</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160</v>
      </c>
      <c r="G201" t="s">
        <v>271</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161</v>
      </c>
      <c r="G202" t="s">
        <v>272</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162</v>
      </c>
      <c r="G203" t="s">
        <v>272</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163</v>
      </c>
      <c r="G204" s="96" t="s">
        <v>273</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control'!$H$42:$H$65,MATCH($A$1,'Version control'!$F$42:$F$65,0),1)&amp;"-F: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274</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275</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276</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786</v>
      </c>
      <c r="L212" s="136" t="s">
        <v>1117</v>
      </c>
      <c r="M212" s="136" t="s">
        <v>1118</v>
      </c>
      <c r="N212" s="136" t="s">
        <v>1119</v>
      </c>
      <c r="O212" s="136" t="s">
        <v>1120</v>
      </c>
      <c r="P212" s="136" t="s">
        <v>1121</v>
      </c>
      <c r="Q212" s="136" t="s">
        <v>787</v>
      </c>
      <c r="R212" s="136" t="s">
        <v>863</v>
      </c>
      <c r="S212" s="136" t="s">
        <v>864</v>
      </c>
      <c r="T212" s="136" t="s">
        <v>865</v>
      </c>
      <c r="U212" s="136" t="s">
        <v>866</v>
      </c>
      <c r="V212" s="136" t="s">
        <v>867</v>
      </c>
      <c r="W212" s="136" t="s">
        <v>868</v>
      </c>
      <c r="X212" s="136" t="s">
        <v>869</v>
      </c>
      <c r="Y212" s="136" t="s">
        <v>870</v>
      </c>
      <c r="Z212" s="136" t="s">
        <v>871</v>
      </c>
      <c r="AA212" s="136" t="s">
        <v>872</v>
      </c>
      <c r="AB212" s="136" t="s">
        <v>873</v>
      </c>
      <c r="AC212" s="136" t="s">
        <v>874</v>
      </c>
      <c r="AD212" s="136" t="s">
        <v>875</v>
      </c>
      <c r="AE212" s="136" t="s">
        <v>876</v>
      </c>
      <c r="AF212" s="136" t="s">
        <v>877</v>
      </c>
      <c r="AG212" s="136" t="s">
        <v>796</v>
      </c>
      <c r="AH212" s="136" t="s">
        <v>788</v>
      </c>
      <c r="AI212" s="136" t="s">
        <v>789</v>
      </c>
      <c r="AJ212" s="136" t="s">
        <v>790</v>
      </c>
      <c r="AK212" s="136" t="s">
        <v>799</v>
      </c>
      <c r="AL212" s="136" t="s">
        <v>791</v>
      </c>
      <c r="AM212" s="136" t="s">
        <v>798</v>
      </c>
      <c r="AN212" s="136" t="s">
        <v>792</v>
      </c>
      <c r="AO212" s="136" t="s">
        <v>797</v>
      </c>
    </row>
    <row r="213" spans="2:43" x14ac:dyDescent="0.25">
      <c r="E213" s="94" t="s">
        <v>277</v>
      </c>
      <c r="G213" t="s">
        <v>278</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232</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1062</v>
      </c>
      <c r="G217" s="61"/>
    </row>
    <row r="218" spans="2:43" x14ac:dyDescent="0.25">
      <c r="E218" s="75"/>
      <c r="F218" s="116" t="s">
        <v>248</v>
      </c>
      <c r="G218" s="116" t="s">
        <v>210</v>
      </c>
      <c r="H218" s="128" t="b">
        <f>SUM(J169:N169)=1</f>
        <v>1</v>
      </c>
    </row>
    <row r="219" spans="2:43" x14ac:dyDescent="0.25">
      <c r="E219" s="75"/>
      <c r="F219" s="129" t="s">
        <v>249</v>
      </c>
      <c r="G219" s="129" t="s">
        <v>210</v>
      </c>
      <c r="H219" s="130" t="b">
        <f t="shared" ref="H219:H220" si="7">SUM(J170:N170)=1</f>
        <v>1</v>
      </c>
    </row>
    <row r="220" spans="2:43" x14ac:dyDescent="0.25">
      <c r="E220" s="75"/>
      <c r="F220" s="120" t="s">
        <v>250</v>
      </c>
      <c r="G220" s="120" t="s">
        <v>210</v>
      </c>
      <c r="H220" s="131" t="b">
        <f t="shared" si="7"/>
        <v>1</v>
      </c>
    </row>
    <row r="221" spans="2:43" x14ac:dyDescent="0.25">
      <c r="E221" s="122"/>
      <c r="F221" s="123"/>
      <c r="G221" s="123"/>
      <c r="H221" s="14"/>
    </row>
    <row r="222" spans="2:43" x14ac:dyDescent="0.25">
      <c r="E222" s="75" t="s">
        <v>1063</v>
      </c>
      <c r="G222" s="61"/>
    </row>
    <row r="223" spans="2:43" x14ac:dyDescent="0.25">
      <c r="E223" s="75"/>
      <c r="F223" s="116" t="s">
        <v>248</v>
      </c>
      <c r="G223" s="116" t="s">
        <v>210</v>
      </c>
      <c r="H223" s="128" t="b">
        <f>SUM(J174:N174)=1</f>
        <v>1</v>
      </c>
    </row>
    <row r="224" spans="2:43" x14ac:dyDescent="0.25">
      <c r="E224" s="75"/>
      <c r="F224" s="129" t="s">
        <v>249</v>
      </c>
      <c r="G224" s="129" t="s">
        <v>210</v>
      </c>
      <c r="H224" s="130" t="b">
        <f t="shared" ref="H224:H225" si="8">SUM(J175:N175)=1</f>
        <v>1</v>
      </c>
    </row>
    <row r="225" spans="2:43" x14ac:dyDescent="0.25">
      <c r="E225" s="75"/>
      <c r="F225" s="120" t="s">
        <v>250</v>
      </c>
      <c r="G225" s="120" t="s">
        <v>210</v>
      </c>
      <c r="H225" s="131" t="b">
        <f t="shared" si="8"/>
        <v>1</v>
      </c>
    </row>
    <row r="226" spans="2:43" x14ac:dyDescent="0.25">
      <c r="E226" s="122"/>
      <c r="F226" s="123"/>
      <c r="G226" s="123"/>
      <c r="H226" s="14"/>
    </row>
    <row r="227" spans="2:43" x14ac:dyDescent="0.25">
      <c r="E227" s="75" t="s">
        <v>1064</v>
      </c>
      <c r="G227" s="61"/>
    </row>
    <row r="228" spans="2:43" x14ac:dyDescent="0.25">
      <c r="E228" s="75"/>
      <c r="F228" s="116" t="s">
        <v>248</v>
      </c>
      <c r="G228" s="116" t="s">
        <v>210</v>
      </c>
      <c r="H228" s="128" t="b">
        <f>SUM(J179:N179)=1</f>
        <v>1</v>
      </c>
    </row>
    <row r="229" spans="2:43" x14ac:dyDescent="0.25">
      <c r="E229" s="75"/>
      <c r="F229" s="129" t="s">
        <v>249</v>
      </c>
      <c r="G229" s="129" t="s">
        <v>210</v>
      </c>
      <c r="H229" s="130" t="b">
        <f t="shared" ref="H229:H230" si="9">SUM(J180:N180)=1</f>
        <v>1</v>
      </c>
    </row>
    <row r="230" spans="2:43" x14ac:dyDescent="0.25">
      <c r="E230" s="75"/>
      <c r="F230" s="120" t="s">
        <v>250</v>
      </c>
      <c r="G230" s="120" t="s">
        <v>210</v>
      </c>
      <c r="H230" s="131" t="b">
        <f t="shared" si="9"/>
        <v>1</v>
      </c>
    </row>
    <row r="231" spans="2:43" x14ac:dyDescent="0.25">
      <c r="G231" s="61"/>
    </row>
    <row r="232" spans="2:43" x14ac:dyDescent="0.25">
      <c r="E232" t="s">
        <v>1065</v>
      </c>
      <c r="G232" s="6" t="s">
        <v>57</v>
      </c>
      <c r="H232" s="109">
        <f>COUNTIF(H218:H230,FALSE)</f>
        <v>0</v>
      </c>
    </row>
    <row r="233" spans="2:43" x14ac:dyDescent="0.25">
      <c r="G233" s="61"/>
    </row>
    <row r="234" spans="2:43" x14ac:dyDescent="0.25">
      <c r="E234" t="s">
        <v>233</v>
      </c>
      <c r="G234" s="6" t="s">
        <v>57</v>
      </c>
      <c r="H234" s="109">
        <f t="array" ref="H234">SUM(IF(ISERROR(H13:Y214), 1))</f>
        <v>0</v>
      </c>
    </row>
    <row r="235" spans="2:43" x14ac:dyDescent="0.25">
      <c r="G235" s="61"/>
    </row>
    <row r="236" spans="2:43" x14ac:dyDescent="0.25">
      <c r="E236" t="s">
        <v>240</v>
      </c>
      <c r="G236" s="6" t="s">
        <v>57</v>
      </c>
      <c r="H236" s="113">
        <f xml:space="preserve"> H232 + H234</f>
        <v>0</v>
      </c>
    </row>
    <row r="238" spans="2:43" x14ac:dyDescent="0.25">
      <c r="B238" s="85" t="s">
        <v>108</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1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xr:uid="{00000000-0002-0000-0600-000002000000}">
      <formula1>0</formula1>
    </dataValidation>
    <dataValidation allowBlank="1" sqref="J213:AO213" xr:uid="{00000000-0002-0000-0600-000003000000}"/>
    <dataValidation type="decimal" operator="greaterThanOrEqual" allowBlank="1" showInputMessage="1" showErrorMessage="1" sqref="Y182 Y15:Y116 Y124:Y160" xr:uid="{00000000-0002-0000-0600-000004000000}">
      <formula1>0</formula1>
    </dataValidation>
    <dataValidation type="decimal" allowBlank="1" showInputMessage="1" showErrorMessage="1" errorTitle="Invalid load factor" error="The load factor must be between 0% and 100%." sqref="Q15:Q16 J15:P15"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30" activePane="bottomRight" state="frozen"/>
      <selection pane="topRight"/>
      <selection pane="bottomLeft"/>
      <selection pane="bottomRight" activeCell="M36" sqref="M3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143</v>
      </c>
      <c r="C5" s="90"/>
      <c r="D5" s="90"/>
      <c r="E5" s="90"/>
      <c r="F5" s="90"/>
      <c r="G5" s="1" t="s">
        <v>144</v>
      </c>
      <c r="H5" s="138" t="s">
        <v>145</v>
      </c>
      <c r="I5" s="62"/>
      <c r="J5" s="138" t="s">
        <v>190</v>
      </c>
      <c r="K5" s="138" t="s">
        <v>192</v>
      </c>
      <c r="L5" s="138" t="s">
        <v>193</v>
      </c>
      <c r="M5" s="138" t="s">
        <v>194</v>
      </c>
      <c r="N5" s="138" t="s">
        <v>195</v>
      </c>
      <c r="O5" s="138" t="s">
        <v>196</v>
      </c>
      <c r="P5" s="138" t="s">
        <v>197</v>
      </c>
      <c r="Q5" s="138" t="s">
        <v>198</v>
      </c>
      <c r="R5" s="138" t="s">
        <v>199</v>
      </c>
      <c r="S5" s="138" t="s">
        <v>200</v>
      </c>
      <c r="U5" s="91" t="s">
        <v>146</v>
      </c>
    </row>
    <row r="7" spans="1:27" x14ac:dyDescent="0.25">
      <c r="B7" s="85" t="s">
        <v>12</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279</v>
      </c>
    </row>
    <row r="11" spans="1:27" x14ac:dyDescent="0.25">
      <c r="B11" s="85" t="s">
        <v>60</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control'!$H$42:$H$65,MATCH($A$1,'Version control'!$F$42:$F$65,0),1)&amp;"-A: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280</v>
      </c>
      <c r="G15" s="94" t="s">
        <v>168</v>
      </c>
      <c r="I15" t="s">
        <v>155</v>
      </c>
      <c r="J15" s="139"/>
      <c r="K15" s="436">
        <v>2.1999999999999999E-2</v>
      </c>
      <c r="L15" s="436">
        <v>3.1E-2</v>
      </c>
      <c r="M15" s="139"/>
      <c r="N15" s="436">
        <v>7.4999999999999997E-2</v>
      </c>
      <c r="O15" s="139"/>
      <c r="P15" s="140"/>
      <c r="Q15" s="436">
        <v>0.37</v>
      </c>
      <c r="R15" s="100"/>
      <c r="S15" s="100"/>
      <c r="U15" s="97" t="s">
        <v>281</v>
      </c>
    </row>
    <row r="17" spans="3:27" x14ac:dyDescent="0.25">
      <c r="E17" s="94" t="s">
        <v>282</v>
      </c>
      <c r="G17" s="94" t="s">
        <v>168</v>
      </c>
      <c r="H17" s="94"/>
      <c r="I17" s="141"/>
      <c r="J17" s="139"/>
      <c r="K17" s="100"/>
      <c r="L17" s="100"/>
      <c r="M17" s="100"/>
      <c r="N17" s="100"/>
      <c r="O17" s="100"/>
      <c r="P17" s="436">
        <v>0</v>
      </c>
      <c r="Q17" s="100"/>
      <c r="R17" s="100"/>
      <c r="S17" s="100"/>
    </row>
    <row r="19" spans="3:27" x14ac:dyDescent="0.25">
      <c r="E19" s="94" t="s">
        <v>283</v>
      </c>
      <c r="G19" s="94" t="s">
        <v>284</v>
      </c>
      <c r="I19" t="s">
        <v>155</v>
      </c>
      <c r="J19" s="119"/>
      <c r="K19" s="428">
        <v>1</v>
      </c>
      <c r="L19" s="428">
        <v>1.0009999999999999</v>
      </c>
      <c r="M19" s="428">
        <v>1.0049999999999999</v>
      </c>
      <c r="N19" s="428">
        <v>1.012</v>
      </c>
      <c r="O19" s="428">
        <v>1.018</v>
      </c>
      <c r="P19" s="119"/>
      <c r="Q19" s="428">
        <v>1.034</v>
      </c>
      <c r="R19" s="428">
        <v>1.048</v>
      </c>
      <c r="S19" s="428">
        <v>1.0620000000000001</v>
      </c>
      <c r="U19" s="97" t="s">
        <v>285</v>
      </c>
    </row>
    <row r="20" spans="3:27" x14ac:dyDescent="0.25">
      <c r="J20" s="106"/>
      <c r="K20" s="106"/>
      <c r="L20" s="106"/>
      <c r="M20" s="106"/>
      <c r="N20" s="106"/>
      <c r="O20" s="106"/>
      <c r="P20" s="106"/>
      <c r="Q20" s="106"/>
      <c r="R20" s="106"/>
      <c r="S20" s="106"/>
    </row>
    <row r="21" spans="3:27" x14ac:dyDescent="0.25">
      <c r="E21" s="94" t="s">
        <v>286</v>
      </c>
      <c r="G21" s="94" t="s">
        <v>287</v>
      </c>
      <c r="I21" t="s">
        <v>155</v>
      </c>
      <c r="J21" s="119"/>
      <c r="K21" s="428">
        <v>0.16398733239094856</v>
      </c>
      <c r="L21" s="428">
        <v>0.16398733239094856</v>
      </c>
      <c r="M21" s="428">
        <v>0.16398733239094856</v>
      </c>
      <c r="N21" s="428">
        <v>0.16398733239094856</v>
      </c>
      <c r="O21" s="428">
        <v>0.16398733239094856</v>
      </c>
      <c r="P21" s="428">
        <v>0.16398733239094856</v>
      </c>
      <c r="Q21" s="428">
        <v>0.16398733239094856</v>
      </c>
      <c r="R21" s="428">
        <v>0.16398733239094856</v>
      </c>
      <c r="S21" s="428">
        <v>0.16398733239094856</v>
      </c>
      <c r="U21" s="97" t="s">
        <v>288</v>
      </c>
    </row>
    <row r="23" spans="3:27" x14ac:dyDescent="0.25">
      <c r="C23" s="93" t="str">
        <f ca="1">INDEX('Version control'!$H$42:$H$65,MATCH($A$1,'Version control'!$F$42:$F$65,0),1)&amp;"-B: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155</v>
      </c>
      <c r="U24" t="s">
        <v>289</v>
      </c>
    </row>
    <row r="25" spans="3:27" x14ac:dyDescent="0.25">
      <c r="C25" s="75"/>
      <c r="E25" s="75" t="s">
        <v>290</v>
      </c>
    </row>
    <row r="26" spans="3:27" x14ac:dyDescent="0.25">
      <c r="F26" s="98" t="s">
        <v>187</v>
      </c>
      <c r="G26" s="98" t="s">
        <v>168</v>
      </c>
      <c r="H26" s="95"/>
      <c r="I26" s="95"/>
      <c r="J26" s="99"/>
      <c r="K26" s="99"/>
      <c r="L26" s="433"/>
      <c r="M26" s="433"/>
      <c r="N26" s="433"/>
      <c r="O26" s="433"/>
      <c r="P26" s="433"/>
      <c r="Q26" s="433"/>
      <c r="R26" s="433"/>
      <c r="S26" s="433"/>
    </row>
    <row r="27" spans="3:27" x14ac:dyDescent="0.25">
      <c r="F27" s="94" t="s">
        <v>186</v>
      </c>
      <c r="G27" s="94" t="s">
        <v>168</v>
      </c>
      <c r="J27" s="100"/>
      <c r="K27" s="100"/>
      <c r="L27" s="426"/>
      <c r="M27" s="426"/>
      <c r="N27" s="426"/>
      <c r="O27" s="426"/>
      <c r="P27" s="426"/>
      <c r="Q27" s="426"/>
      <c r="R27" s="426"/>
      <c r="S27" s="103"/>
    </row>
    <row r="28" spans="3:27" x14ac:dyDescent="0.25">
      <c r="F28" s="94" t="s">
        <v>185</v>
      </c>
      <c r="G28" s="94" t="s">
        <v>168</v>
      </c>
      <c r="J28" s="100"/>
      <c r="K28" s="100"/>
      <c r="L28" s="426"/>
      <c r="M28" s="426"/>
      <c r="N28" s="426"/>
      <c r="O28" s="426"/>
      <c r="P28" s="426"/>
      <c r="Q28" s="426"/>
      <c r="R28" s="103"/>
      <c r="S28" s="103"/>
    </row>
    <row r="29" spans="3:27" x14ac:dyDescent="0.25">
      <c r="F29" s="101" t="s">
        <v>184</v>
      </c>
      <c r="G29" s="101" t="s">
        <v>168</v>
      </c>
      <c r="H29" s="96"/>
      <c r="I29" s="96"/>
      <c r="J29" s="102"/>
      <c r="K29" s="102"/>
      <c r="L29" s="435"/>
      <c r="M29" s="435"/>
      <c r="N29" s="435"/>
      <c r="O29" s="435"/>
      <c r="P29" s="104"/>
      <c r="Q29" s="104"/>
      <c r="R29" s="104"/>
      <c r="S29" s="104"/>
    </row>
    <row r="31" spans="3:27" x14ac:dyDescent="0.25">
      <c r="C31" s="93" t="str">
        <f ca="1">INDEX('Version control'!$H$42:$H$65,MATCH($A$1,'Version control'!$F$42:$F$65,0),1)&amp;"-C: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291</v>
      </c>
      <c r="G33" s="94" t="s">
        <v>278</v>
      </c>
      <c r="I33" t="s">
        <v>155</v>
      </c>
      <c r="J33" s="119"/>
      <c r="K33" s="119"/>
      <c r="L33" s="428">
        <v>129103723.74774343</v>
      </c>
      <c r="M33" s="428">
        <v>18493008.227671087</v>
      </c>
      <c r="N33" s="428">
        <v>59133997.209906489</v>
      </c>
      <c r="O33" s="428">
        <v>46772576.464846112</v>
      </c>
      <c r="P33" s="428">
        <v>0</v>
      </c>
      <c r="Q33" s="428">
        <v>215388122.48810512</v>
      </c>
      <c r="R33" s="428">
        <v>88370520.261992991</v>
      </c>
      <c r="S33" s="428">
        <v>218081216.74733481</v>
      </c>
    </row>
    <row r="35" spans="2:27" x14ac:dyDescent="0.25">
      <c r="C35" s="93" t="str">
        <f ca="1">INDEX('Version control'!$H$42:$H$65,MATCH($A$1,'Version control'!$F$42:$F$65,0),1)&amp;"-D: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292</v>
      </c>
    </row>
    <row r="38" spans="2:27" x14ac:dyDescent="0.25">
      <c r="C38" s="86"/>
    </row>
    <row r="39" spans="2:27" x14ac:dyDescent="0.25">
      <c r="D39" s="75"/>
      <c r="E39" s="75" t="s">
        <v>293</v>
      </c>
      <c r="I39" t="s">
        <v>155</v>
      </c>
      <c r="U39" t="s">
        <v>294</v>
      </c>
    </row>
    <row r="40" spans="2:27" x14ac:dyDescent="0.25">
      <c r="F40" s="95" t="s">
        <v>295</v>
      </c>
      <c r="G40" s="116" t="s">
        <v>168</v>
      </c>
      <c r="H40" s="95"/>
      <c r="I40" s="95"/>
      <c r="J40" s="99"/>
      <c r="K40" s="433">
        <v>0.94231270200947836</v>
      </c>
      <c r="L40" s="438">
        <v>0.82221491263415702</v>
      </c>
      <c r="M40" s="438">
        <v>0.82221491263415702</v>
      </c>
      <c r="N40" s="438">
        <v>0.5368830052022483</v>
      </c>
      <c r="O40" s="438">
        <v>0.5368830052022483</v>
      </c>
      <c r="P40" s="438">
        <v>0.82221491263415702</v>
      </c>
      <c r="Q40" s="438">
        <v>0.5368830052022483</v>
      </c>
      <c r="R40" s="438">
        <v>0.5368830052022483</v>
      </c>
      <c r="S40" s="438">
        <v>0.5368830052022483</v>
      </c>
    </row>
    <row r="41" spans="2:27" x14ac:dyDescent="0.25">
      <c r="F41" t="s">
        <v>296</v>
      </c>
      <c r="G41" s="118" t="s">
        <v>168</v>
      </c>
      <c r="J41" s="100"/>
      <c r="K41" s="426">
        <v>5.7687297990521684E-2</v>
      </c>
      <c r="L41" s="437">
        <v>0.14849233662031211</v>
      </c>
      <c r="M41" s="437">
        <v>0.14849233662031211</v>
      </c>
      <c r="N41" s="437">
        <v>0.40957442333583177</v>
      </c>
      <c r="O41" s="437">
        <v>0.40957442333583177</v>
      </c>
      <c r="P41" s="437">
        <v>0.14849233662031211</v>
      </c>
      <c r="Q41" s="437">
        <v>0.40957442333583177</v>
      </c>
      <c r="R41" s="437">
        <v>0.40957442333583177</v>
      </c>
      <c r="S41" s="437">
        <v>0.40957442333583177</v>
      </c>
    </row>
    <row r="42" spans="2:27" x14ac:dyDescent="0.25">
      <c r="F42" s="96" t="s">
        <v>258</v>
      </c>
      <c r="G42" s="120" t="s">
        <v>168</v>
      </c>
      <c r="H42" s="96"/>
      <c r="I42" s="96"/>
      <c r="J42" s="102"/>
      <c r="K42" s="435">
        <v>0</v>
      </c>
      <c r="L42" s="441">
        <v>2.9292750745530938E-2</v>
      </c>
      <c r="M42" s="441">
        <v>2.9292750745530938E-2</v>
      </c>
      <c r="N42" s="441">
        <v>5.3542571461920048E-2</v>
      </c>
      <c r="O42" s="441">
        <v>5.3542571461920048E-2</v>
      </c>
      <c r="P42" s="441">
        <v>2.9292750745530938E-2</v>
      </c>
      <c r="Q42" s="441">
        <v>5.3542571461920048E-2</v>
      </c>
      <c r="R42" s="441">
        <v>5.3542571461920048E-2</v>
      </c>
      <c r="S42" s="441">
        <v>5.3542571461920048E-2</v>
      </c>
    </row>
    <row r="43" spans="2:27" x14ac:dyDescent="0.25">
      <c r="F43" s="96" t="s">
        <v>297</v>
      </c>
      <c r="G43" s="120" t="s">
        <v>168</v>
      </c>
      <c r="H43" s="96"/>
      <c r="I43" s="96"/>
      <c r="J43" s="102"/>
      <c r="K43" s="435">
        <v>0.89762314165729473</v>
      </c>
      <c r="L43" s="441">
        <v>0.7268227731172695</v>
      </c>
      <c r="M43" s="441">
        <v>0.7268227731172695</v>
      </c>
      <c r="N43" s="441">
        <v>0.47979178727836241</v>
      </c>
      <c r="O43" s="441">
        <v>0.47979178727836241</v>
      </c>
      <c r="P43" s="441">
        <v>0.7268227731172695</v>
      </c>
      <c r="Q43" s="441">
        <v>0.47979178727836241</v>
      </c>
      <c r="R43" s="441">
        <v>0.47979178727836241</v>
      </c>
      <c r="S43" s="441">
        <v>0.47979178727836241</v>
      </c>
    </row>
    <row r="45" spans="2:27" x14ac:dyDescent="0.25">
      <c r="B45" s="85" t="s">
        <v>232</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233</v>
      </c>
      <c r="G47" s="6" t="s">
        <v>57</v>
      </c>
      <c r="H47" s="109">
        <f t="array" ref="H47">SUM(IF(ISERROR(H15:AA44), 1))</f>
        <v>0</v>
      </c>
    </row>
    <row r="49" spans="2:27" x14ac:dyDescent="0.25">
      <c r="E49" t="s">
        <v>298</v>
      </c>
      <c r="G49" s="6" t="s">
        <v>57</v>
      </c>
      <c r="H49" s="109">
        <f>IF(K19 = 1, 0, 1)</f>
        <v>0</v>
      </c>
    </row>
    <row r="51" spans="2:27" x14ac:dyDescent="0.25">
      <c r="E51" s="75" t="s">
        <v>299</v>
      </c>
    </row>
    <row r="52" spans="2:27" x14ac:dyDescent="0.25">
      <c r="E52" s="86" t="s">
        <v>300</v>
      </c>
    </row>
    <row r="53" spans="2:27" x14ac:dyDescent="0.25">
      <c r="F53" s="95" t="s">
        <v>301</v>
      </c>
      <c r="G53" s="110" t="s">
        <v>57</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193</v>
      </c>
      <c r="G54" s="77" t="s">
        <v>57</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240</v>
      </c>
      <c r="G56" s="6" t="s">
        <v>57</v>
      </c>
      <c r="H56" s="113">
        <f>SUM(H47:H54)</f>
        <v>0</v>
      </c>
    </row>
    <row r="58" spans="2:27" x14ac:dyDescent="0.25">
      <c r="B58" s="85" t="s">
        <v>108</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21"/>
  <sheetViews>
    <sheetView showGridLines="0" tabSelected="1" zoomScale="80" zoomScaleNormal="80" workbookViewId="0">
      <pane ySplit="5" topLeftCell="A63" activePane="bottomLeft" state="frozen"/>
      <selection pane="bottomLeft" activeCell="H85" sqref="H85"/>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143</v>
      </c>
      <c r="C5" s="90"/>
      <c r="D5" s="90"/>
      <c r="E5" s="90"/>
      <c r="F5" s="90"/>
      <c r="G5" s="142" t="s">
        <v>144</v>
      </c>
      <c r="H5" s="138" t="s">
        <v>145</v>
      </c>
      <c r="J5" s="91" t="s">
        <v>146</v>
      </c>
    </row>
    <row r="6" spans="1:27" x14ac:dyDescent="0.25">
      <c r="G6" s="61"/>
    </row>
    <row r="7" spans="1:27" x14ac:dyDescent="0.25">
      <c r="B7" s="85" t="s">
        <v>12</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302</v>
      </c>
      <c r="G9" s="61"/>
    </row>
    <row r="10" spans="1:27" x14ac:dyDescent="0.25">
      <c r="G10" s="61"/>
    </row>
    <row r="11" spans="1:27" x14ac:dyDescent="0.25">
      <c r="B11" s="85" t="s">
        <v>62</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control'!$H$42:$H$65,MATCH($A$1,'Version control'!$F$42:$F$65,0),1)&amp;"-A: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303</v>
      </c>
      <c r="E15" s="75"/>
      <c r="G15" s="61"/>
      <c r="I15" t="s">
        <v>155</v>
      </c>
      <c r="J15" t="s">
        <v>304</v>
      </c>
    </row>
    <row r="16" spans="1:27" x14ac:dyDescent="0.25">
      <c r="E16" s="98" t="s">
        <v>297</v>
      </c>
      <c r="F16" s="98"/>
      <c r="G16" s="143" t="s">
        <v>305</v>
      </c>
      <c r="H16" s="427">
        <v>154</v>
      </c>
    </row>
    <row r="17" spans="3:27" x14ac:dyDescent="0.25">
      <c r="E17" s="94" t="s">
        <v>306</v>
      </c>
      <c r="F17" s="94"/>
      <c r="G17" s="61" t="s">
        <v>305</v>
      </c>
      <c r="H17" s="428">
        <v>3826</v>
      </c>
    </row>
    <row r="18" spans="3:27" x14ac:dyDescent="0.25">
      <c r="E18" s="101" t="s">
        <v>258</v>
      </c>
      <c r="F18" s="101"/>
      <c r="G18" s="144" t="s">
        <v>305</v>
      </c>
      <c r="H18" s="430">
        <v>4804</v>
      </c>
    </row>
    <row r="19" spans="3:27" x14ac:dyDescent="0.25">
      <c r="G19" s="61"/>
      <c r="H19" s="106"/>
    </row>
    <row r="20" spans="3:27" x14ac:dyDescent="0.25">
      <c r="D20" s="75" t="s">
        <v>307</v>
      </c>
      <c r="E20" s="75"/>
      <c r="G20" s="61"/>
      <c r="H20" s="106"/>
      <c r="I20" t="s">
        <v>155</v>
      </c>
      <c r="J20" t="s">
        <v>304</v>
      </c>
    </row>
    <row r="21" spans="3:27" x14ac:dyDescent="0.25">
      <c r="E21" s="95" t="s">
        <v>295</v>
      </c>
      <c r="F21" s="95"/>
      <c r="G21" s="143" t="s">
        <v>305</v>
      </c>
      <c r="H21" s="427">
        <v>524</v>
      </c>
    </row>
    <row r="22" spans="3:27" x14ac:dyDescent="0.25">
      <c r="E22" t="s">
        <v>296</v>
      </c>
      <c r="G22" s="61" t="s">
        <v>305</v>
      </c>
      <c r="H22" s="428">
        <v>3456</v>
      </c>
    </row>
    <row r="23" spans="3:27" x14ac:dyDescent="0.25">
      <c r="E23" s="96" t="s">
        <v>258</v>
      </c>
      <c r="F23" s="96"/>
      <c r="G23" s="144" t="s">
        <v>305</v>
      </c>
      <c r="H23" s="430">
        <v>4804</v>
      </c>
    </row>
    <row r="24" spans="3:27" x14ac:dyDescent="0.25">
      <c r="G24" s="61"/>
    </row>
    <row r="25" spans="3:27" x14ac:dyDescent="0.25">
      <c r="C25" s="93" t="str">
        <f ca="1">INDEX('Version control'!$H$42:$H$65,MATCH($A$1,'Version control'!$F$42:$F$65,0),1)&amp;"-B: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308</v>
      </c>
      <c r="E27" s="86"/>
      <c r="G27" s="61"/>
    </row>
    <row r="28" spans="3:27" x14ac:dyDescent="0.25">
      <c r="D28" s="86"/>
      <c r="E28" s="86"/>
      <c r="G28" s="61"/>
    </row>
    <row r="29" spans="3:27" x14ac:dyDescent="0.25">
      <c r="D29" s="75" t="s">
        <v>309</v>
      </c>
      <c r="E29" s="75"/>
      <c r="G29" s="61"/>
      <c r="I29" t="s">
        <v>155</v>
      </c>
      <c r="J29" t="s">
        <v>310</v>
      </c>
    </row>
    <row r="30" spans="3:27" x14ac:dyDescent="0.25">
      <c r="E30" s="98" t="s">
        <v>176</v>
      </c>
      <c r="F30" s="95"/>
      <c r="G30" s="116" t="s">
        <v>168</v>
      </c>
      <c r="H30" s="433">
        <v>0.40616372981393162</v>
      </c>
      <c r="J30" s="442">
        <v>0</v>
      </c>
    </row>
    <row r="31" spans="3:27" x14ac:dyDescent="0.25">
      <c r="E31" s="94" t="s">
        <v>178</v>
      </c>
      <c r="G31" s="118" t="s">
        <v>168</v>
      </c>
      <c r="H31" s="426">
        <v>0.60195264388674885</v>
      </c>
      <c r="J31" s="442">
        <v>0</v>
      </c>
    </row>
    <row r="32" spans="3:27" x14ac:dyDescent="0.25">
      <c r="E32" s="94" t="s">
        <v>179</v>
      </c>
      <c r="G32" s="118" t="s">
        <v>168</v>
      </c>
      <c r="H32" s="426">
        <v>0.31001856356310609</v>
      </c>
      <c r="J32" s="442">
        <v>0</v>
      </c>
    </row>
    <row r="33" spans="3:27" x14ac:dyDescent="0.25">
      <c r="E33" s="101" t="s">
        <v>180</v>
      </c>
      <c r="F33" s="96"/>
      <c r="G33" s="120" t="s">
        <v>168</v>
      </c>
      <c r="H33" s="435">
        <v>0.18036070704437224</v>
      </c>
      <c r="J33" s="442">
        <v>0</v>
      </c>
    </row>
    <row r="34" spans="3:27" x14ac:dyDescent="0.25">
      <c r="G34" s="61"/>
    </row>
    <row r="35" spans="3:27" x14ac:dyDescent="0.25">
      <c r="C35" s="93" t="str">
        <f ca="1">INDEX('Version control'!$H$42:$H$65,MATCH($A$1,'Version control'!$F$42:$F$65,0),1)&amp;"-C: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1181</v>
      </c>
      <c r="E37" s="86"/>
      <c r="G37" s="61"/>
      <c r="H37" s="61"/>
      <c r="I37" t="s">
        <v>155</v>
      </c>
      <c r="J37" t="s">
        <v>1180</v>
      </c>
    </row>
    <row r="39" spans="3:27" x14ac:dyDescent="0.25">
      <c r="D39" s="75" t="s">
        <v>1142</v>
      </c>
    </row>
    <row r="40" spans="3:27" x14ac:dyDescent="0.25">
      <c r="E40" s="95" t="s">
        <v>1156</v>
      </c>
      <c r="F40" s="95"/>
      <c r="G40" s="95" t="s">
        <v>1135</v>
      </c>
      <c r="H40" s="427">
        <v>56.379363765707907</v>
      </c>
    </row>
    <row r="41" spans="3:27" x14ac:dyDescent="0.25">
      <c r="E41" t="s">
        <v>1157</v>
      </c>
      <c r="G41" t="s">
        <v>1135</v>
      </c>
      <c r="H41" s="431">
        <v>128.29992338860455</v>
      </c>
    </row>
    <row r="42" spans="3:27" x14ac:dyDescent="0.25">
      <c r="E42" t="s">
        <v>1158</v>
      </c>
      <c r="G42" t="s">
        <v>1135</v>
      </c>
      <c r="H42" s="431">
        <v>97.001666548808387</v>
      </c>
    </row>
    <row r="43" spans="3:27" x14ac:dyDescent="0.25">
      <c r="E43" t="s">
        <v>1143</v>
      </c>
    </row>
    <row r="44" spans="3:27" x14ac:dyDescent="0.25">
      <c r="F44" s="95" t="s">
        <v>1144</v>
      </c>
      <c r="G44" s="95" t="s">
        <v>1135</v>
      </c>
      <c r="H44" s="427">
        <v>1.8526094345640349</v>
      </c>
    </row>
    <row r="45" spans="3:27" x14ac:dyDescent="0.25">
      <c r="F45" t="s">
        <v>1145</v>
      </c>
      <c r="G45" t="s">
        <v>1135</v>
      </c>
      <c r="H45" s="431">
        <v>27.634346026705686</v>
      </c>
    </row>
    <row r="46" spans="3:27" x14ac:dyDescent="0.25">
      <c r="F46" t="s">
        <v>1146</v>
      </c>
      <c r="G46" t="s">
        <v>1135</v>
      </c>
      <c r="H46" s="431">
        <v>7.7300967199024013</v>
      </c>
    </row>
    <row r="47" spans="3:27" x14ac:dyDescent="0.25">
      <c r="F47" t="s">
        <v>1147</v>
      </c>
      <c r="G47" t="s">
        <v>1135</v>
      </c>
      <c r="H47" s="431">
        <v>10.378079174052113</v>
      </c>
    </row>
    <row r="48" spans="3:27" x14ac:dyDescent="0.25">
      <c r="F48" t="s">
        <v>1148</v>
      </c>
      <c r="G48" t="s">
        <v>1135</v>
      </c>
      <c r="H48" s="431">
        <v>0.13737902951019823</v>
      </c>
    </row>
    <row r="49" spans="4:8" x14ac:dyDescent="0.25">
      <c r="F49" t="s">
        <v>1149</v>
      </c>
      <c r="G49" t="s">
        <v>1135</v>
      </c>
      <c r="H49" s="431">
        <v>1.5758410845321532E-2</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0.6</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0">
        <v>0</v>
      </c>
    </row>
    <row r="56" spans="4:8" x14ac:dyDescent="0.25">
      <c r="F56" s="145" t="s">
        <v>1159</v>
      </c>
      <c r="G56" s="145" t="s">
        <v>1135</v>
      </c>
      <c r="H56" s="146">
        <f>(H44 + H45 + H46 + H47 + H48 + H49 + H50 + H51 + H52 + H54) - (H53 + H55)</f>
        <v>48.348268795579756</v>
      </c>
    </row>
    <row r="57" spans="4:8" x14ac:dyDescent="0.25">
      <c r="E57" s="145" t="s">
        <v>1160</v>
      </c>
      <c r="F57" s="145"/>
      <c r="G57" s="145" t="s">
        <v>1135</v>
      </c>
      <c r="H57" s="146">
        <f>H40 + H41 + H42 + H56</f>
        <v>330.02922249870062</v>
      </c>
    </row>
    <row r="59" spans="4:8" x14ac:dyDescent="0.25">
      <c r="D59" s="75" t="s">
        <v>1169</v>
      </c>
    </row>
    <row r="60" spans="4:8" x14ac:dyDescent="0.25">
      <c r="E60" s="95" t="s">
        <v>1170</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3.9650635393749947</v>
      </c>
    </row>
    <row r="64" spans="4:8" x14ac:dyDescent="0.25">
      <c r="E64" t="s">
        <v>1140</v>
      </c>
      <c r="G64" t="s">
        <v>1135</v>
      </c>
      <c r="H64" s="431">
        <v>0</v>
      </c>
    </row>
    <row r="65" spans="4:8" x14ac:dyDescent="0.25">
      <c r="E65" t="s">
        <v>1141</v>
      </c>
      <c r="G65" t="s">
        <v>1135</v>
      </c>
      <c r="H65" s="431">
        <v>0</v>
      </c>
    </row>
    <row r="66" spans="4:8" x14ac:dyDescent="0.25">
      <c r="E66" s="145" t="s">
        <v>1172</v>
      </c>
      <c r="F66" s="145"/>
      <c r="G66" s="145" t="s">
        <v>1135</v>
      </c>
      <c r="H66" s="146">
        <f>SUM(H60:H65)</f>
        <v>3.9650635393749947</v>
      </c>
    </row>
    <row r="68" spans="4:8" x14ac:dyDescent="0.25">
      <c r="D68" s="75" t="s">
        <v>1132</v>
      </c>
    </row>
    <row r="69" spans="4:8" x14ac:dyDescent="0.25">
      <c r="E69" s="95" t="s">
        <v>1131</v>
      </c>
      <c r="F69" s="95"/>
      <c r="G69" s="95" t="s">
        <v>1135</v>
      </c>
      <c r="H69" s="147">
        <f>H57 + H66</f>
        <v>333.99428603807559</v>
      </c>
    </row>
    <row r="70" spans="4:8" x14ac:dyDescent="0.25">
      <c r="E70" t="s">
        <v>1133</v>
      </c>
      <c r="G70" t="s">
        <v>1135</v>
      </c>
      <c r="H70" s="427">
        <v>6.2377628164717542</v>
      </c>
    </row>
    <row r="71" spans="4:8" x14ac:dyDescent="0.25">
      <c r="E71" t="s">
        <v>1134</v>
      </c>
      <c r="G71" t="s">
        <v>1135</v>
      </c>
      <c r="H71" s="430">
        <v>0</v>
      </c>
    </row>
    <row r="72" spans="4:8" x14ac:dyDescent="0.25">
      <c r="E72" s="145" t="s">
        <v>1132</v>
      </c>
      <c r="F72" s="145"/>
      <c r="G72" s="145" t="s">
        <v>1135</v>
      </c>
      <c r="H72" s="146">
        <f>H69 + H70 + H71</f>
        <v>340.23204885454732</v>
      </c>
    </row>
    <row r="74" spans="4:8" ht="18" x14ac:dyDescent="0.35">
      <c r="D74" s="75" t="s">
        <v>1130</v>
      </c>
      <c r="G74" t="s">
        <v>1136</v>
      </c>
      <c r="H74" s="428">
        <v>1.4352422149476913</v>
      </c>
    </row>
    <row r="76" spans="4:8" x14ac:dyDescent="0.25">
      <c r="D76" s="75" t="s">
        <v>1124</v>
      </c>
    </row>
    <row r="77" spans="4:8" x14ac:dyDescent="0.25">
      <c r="E77" s="95" t="s">
        <v>1171</v>
      </c>
      <c r="F77" s="95"/>
      <c r="G77" s="95" t="s">
        <v>1126</v>
      </c>
      <c r="H77" s="146">
        <f>H72 * H74</f>
        <v>488.31539939419162</v>
      </c>
    </row>
    <row r="78" spans="4:8" x14ac:dyDescent="0.25">
      <c r="E78" t="s">
        <v>1127</v>
      </c>
      <c r="G78" t="s">
        <v>1126</v>
      </c>
      <c r="H78" s="431">
        <v>12.392926447763017</v>
      </c>
    </row>
    <row r="79" spans="4:8" x14ac:dyDescent="0.25">
      <c r="E79" t="s">
        <v>1128</v>
      </c>
      <c r="G79" t="s">
        <v>1126</v>
      </c>
      <c r="H79" s="431">
        <v>0</v>
      </c>
    </row>
    <row r="80" spans="4:8" x14ac:dyDescent="0.25">
      <c r="E80" s="96" t="s">
        <v>1129</v>
      </c>
      <c r="F80" s="96"/>
      <c r="G80" s="96" t="s">
        <v>1126</v>
      </c>
      <c r="H80" s="430">
        <v>0.21535391287652855</v>
      </c>
    </row>
    <row r="81" spans="3:27" x14ac:dyDescent="0.25">
      <c r="E81" s="145" t="s">
        <v>1161</v>
      </c>
      <c r="F81" s="145"/>
      <c r="G81" s="145" t="s">
        <v>1126</v>
      </c>
      <c r="H81" s="146">
        <f>SUM(H77:H80)</f>
        <v>500.9236797548312</v>
      </c>
    </row>
    <row r="82" spans="3:27" x14ac:dyDescent="0.25">
      <c r="E82" s="145" t="s">
        <v>1161</v>
      </c>
      <c r="F82" s="145"/>
      <c r="G82" s="145" t="s">
        <v>278</v>
      </c>
      <c r="H82" s="146">
        <f>H81 * million</f>
        <v>500923679.75483119</v>
      </c>
    </row>
    <row r="84" spans="3:27" x14ac:dyDescent="0.25">
      <c r="D84" s="75" t="s">
        <v>1166</v>
      </c>
    </row>
    <row r="85" spans="3:27" x14ac:dyDescent="0.25">
      <c r="E85" s="95" t="s">
        <v>1173</v>
      </c>
      <c r="F85" s="95"/>
      <c r="G85" s="95" t="s">
        <v>278</v>
      </c>
      <c r="H85" s="427">
        <v>12459000.508511629</v>
      </c>
      <c r="J85" s="443">
        <v>0</v>
      </c>
    </row>
    <row r="86" spans="3:27" x14ac:dyDescent="0.25">
      <c r="E86" s="96" t="s">
        <v>1125</v>
      </c>
      <c r="F86" s="96"/>
      <c r="G86" s="96" t="s">
        <v>278</v>
      </c>
      <c r="H86" s="148">
        <f>H82 - H85</f>
        <v>488464679.24631959</v>
      </c>
    </row>
    <row r="88" spans="3:27" x14ac:dyDescent="0.25">
      <c r="D88" s="75" t="s">
        <v>828</v>
      </c>
    </row>
    <row r="89" spans="3:27" x14ac:dyDescent="0.25">
      <c r="E89" s="95" t="s">
        <v>1150</v>
      </c>
      <c r="F89" s="95"/>
      <c r="G89" s="95" t="s">
        <v>278</v>
      </c>
      <c r="H89" s="149">
        <f>H50 * H$74 * million</f>
        <v>0</v>
      </c>
    </row>
    <row r="90" spans="3:27" x14ac:dyDescent="0.25">
      <c r="E90" s="96" t="s">
        <v>1151</v>
      </c>
      <c r="F90" s="96"/>
      <c r="G90" s="96" t="s">
        <v>278</v>
      </c>
      <c r="H90" s="150">
        <f>H51 * H$74 * million</f>
        <v>0</v>
      </c>
    </row>
    <row r="92" spans="3:27" x14ac:dyDescent="0.25">
      <c r="D92" s="75" t="s">
        <v>311</v>
      </c>
      <c r="G92" t="s">
        <v>278</v>
      </c>
      <c r="H92" s="151">
        <f>H47 * H$74 * million</f>
        <v>14895057.34066906</v>
      </c>
    </row>
    <row r="94" spans="3:27" x14ac:dyDescent="0.25">
      <c r="C94" s="93" t="str">
        <f ca="1">INDEX('Version control'!$H$42:$H$65,MATCH($A$1,'Version control'!$F$42:$F$65,0),1)&amp;"-D: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312</v>
      </c>
      <c r="G96" t="s">
        <v>168</v>
      </c>
      <c r="H96" s="436">
        <v>4.87E-2</v>
      </c>
      <c r="I96" t="s">
        <v>155</v>
      </c>
      <c r="J96" s="3" t="s">
        <v>166</v>
      </c>
    </row>
    <row r="97" spans="2:27" x14ac:dyDescent="0.25">
      <c r="E97" s="94" t="s">
        <v>129</v>
      </c>
      <c r="G97" s="94" t="s">
        <v>313</v>
      </c>
      <c r="H97" s="424">
        <v>366</v>
      </c>
    </row>
    <row r="98" spans="2:27" x14ac:dyDescent="0.25">
      <c r="E98" t="s">
        <v>314</v>
      </c>
      <c r="G98" t="s">
        <v>148</v>
      </c>
      <c r="H98" s="113">
        <f>days_in_year * hours_in_day</f>
        <v>8784</v>
      </c>
    </row>
    <row r="100" spans="2:27" x14ac:dyDescent="0.25">
      <c r="C100" s="93" t="str">
        <f ca="1">INDEX('Version control'!$H$42:$H$65,MATCH($A$1,'Version control'!$F$42:$F$65,0),1)&amp;"-E: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315</v>
      </c>
      <c r="G102" t="s">
        <v>316</v>
      </c>
      <c r="H102" s="428">
        <f>H46*H74*1000000</f>
        <v>11094561.138032606</v>
      </c>
      <c r="I102" t="s">
        <v>155</v>
      </c>
      <c r="J102" t="s">
        <v>317</v>
      </c>
    </row>
    <row r="103" spans="2:27" x14ac:dyDescent="0.25">
      <c r="H103" s="106"/>
    </row>
    <row r="104" spans="2:27" x14ac:dyDescent="0.25">
      <c r="C104" s="93" t="str">
        <f ca="1">INDEX('Version control'!$H$42:$H$65,MATCH($A$1,'Version control'!$F$42:$F$65,0),1)&amp;"-F: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318</v>
      </c>
      <c r="F106" s="75"/>
      <c r="H106" s="106"/>
      <c r="I106" t="s">
        <v>155</v>
      </c>
      <c r="J106" t="s">
        <v>171</v>
      </c>
    </row>
    <row r="107" spans="2:27" x14ac:dyDescent="0.25">
      <c r="F107" s="98" t="s">
        <v>319</v>
      </c>
      <c r="G107" s="95" t="s">
        <v>316</v>
      </c>
      <c r="H107" s="427">
        <v>54306471.447758161</v>
      </c>
    </row>
    <row r="108" spans="2:27" x14ac:dyDescent="0.25">
      <c r="F108" s="94" t="s">
        <v>320</v>
      </c>
      <c r="G108" t="s">
        <v>316</v>
      </c>
      <c r="H108" s="428">
        <v>173386666.94234779</v>
      </c>
      <c r="R108" s="105"/>
      <c r="S108" s="105"/>
    </row>
    <row r="109" spans="2:27" x14ac:dyDescent="0.25">
      <c r="F109" s="101" t="s">
        <v>321</v>
      </c>
      <c r="G109" s="96" t="s">
        <v>316</v>
      </c>
      <c r="H109" s="430">
        <f>H45*H74*1000000</f>
        <v>39661980</v>
      </c>
      <c r="R109" s="105"/>
      <c r="S109" s="105"/>
    </row>
    <row r="111" spans="2:27" x14ac:dyDescent="0.25">
      <c r="B111" s="85" t="s">
        <v>232</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233</v>
      </c>
      <c r="G113" s="6" t="s">
        <v>57</v>
      </c>
      <c r="H113" s="109">
        <f t="array" ref="H113">SUM(IF(ISERROR(H6:H110), 1))</f>
        <v>0</v>
      </c>
    </row>
    <row r="115" spans="2:27" x14ac:dyDescent="0.25">
      <c r="E115" s="75" t="s">
        <v>322</v>
      </c>
    </row>
    <row r="116" spans="2:27" x14ac:dyDescent="0.25">
      <c r="F116" s="95" t="s">
        <v>323</v>
      </c>
      <c r="G116" s="110" t="s">
        <v>57</v>
      </c>
      <c r="H116" s="111">
        <f>IF(SUM(H16:H18) = hours_in_year, 0, 1)</f>
        <v>0</v>
      </c>
    </row>
    <row r="117" spans="2:27" x14ac:dyDescent="0.25">
      <c r="F117" s="96" t="s">
        <v>324</v>
      </c>
      <c r="G117" s="77" t="s">
        <v>57</v>
      </c>
      <c r="H117" s="112">
        <f>IF(SUM(H21:H23) = hours_in_year, 0, 1)</f>
        <v>0</v>
      </c>
    </row>
    <row r="119" spans="2:27" x14ac:dyDescent="0.25">
      <c r="E119" t="s">
        <v>240</v>
      </c>
      <c r="G119" s="6" t="s">
        <v>57</v>
      </c>
      <c r="H119" s="113">
        <f>SUM(H113,H116:H117)</f>
        <v>0</v>
      </c>
    </row>
    <row r="121" spans="2:27" x14ac:dyDescent="0.25">
      <c r="B121" s="85" t="s">
        <v>108</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7" xr:uid="{00000000-0002-0000-0800-000001000000}">
      <formula1>365</formula1>
      <formula2>366</formula2>
    </dataValidation>
    <dataValidation type="decimal" operator="greaterThanOrEqual" allowBlank="1" showInputMessage="1" showErrorMessage="1" sqref="H107:H109 H16:H18 H102 H21:H23" xr:uid="{00000000-0002-0000-0800-000002000000}">
      <formula1>0</formula1>
    </dataValidation>
    <dataValidation type="decimal" operator="greaterThanOrEqual" allowBlank="1" showInputMessage="1" showErrorMessage="1" error="The rate of return must be a non-negative percentage value." sqref="H96" xr:uid="{00000000-0002-0000-0800-000003000000}">
      <formula1>0</formula1>
    </dataValidation>
    <dataValidation type="whole" allowBlank="1" showInputMessage="1" showErrorMessage="1" sqref="H98"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733DE1EA7A9042B9513543AFA8931D" ma:contentTypeVersion="11" ma:contentTypeDescription="Create a new document." ma:contentTypeScope="" ma:versionID="39f52d7b4cb142dab88c4fb80e245b4a">
  <xsd:schema xmlns:xsd="http://www.w3.org/2001/XMLSchema" xmlns:xs="http://www.w3.org/2001/XMLSchema" xmlns:p="http://schemas.microsoft.com/office/2006/metadata/properties" xmlns:ns2="93da215e-c526-4fe2-bd54-66754809c9f2" targetNamespace="http://schemas.microsoft.com/office/2006/metadata/properties" ma:root="true" ma:fieldsID="9eee0617289d785160fb713811e5889a" ns2:_="">
    <xsd:import namespace="93da215e-c526-4fe2-bd54-66754809c9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a215e-c526-4fe2-bd54-66754809c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3da215e-c526-4fe2-bd54-66754809c9f2"/>
    <ds:schemaRef ds:uri="http://www.w3.org/XML/1998/namespace"/>
    <ds:schemaRef ds:uri="http://purl.org/dc/dcmitype/"/>
  </ds:schemaRefs>
</ds:datastoreItem>
</file>

<file path=customXml/itemProps2.xml><?xml version="1.0" encoding="utf-8"?>
<ds:datastoreItem xmlns:ds="http://schemas.openxmlformats.org/officeDocument/2006/customXml" ds:itemID="{99F5A4E0-01D8-4A80-8E53-231357071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a215e-c526-4fe2-bd54-66754809c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2025-12-17T08:30:01Z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0x01010093733DE1EA7A9042B9513543AFA8931D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