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hvdcs01\rrp\92 RIIO-ED2\72 ED2 PCFM\AIP 2025\Dry Run 3\Send to Ofgem\"/>
    </mc:Choice>
  </mc:AlternateContent>
  <xr:revisionPtr revIDLastSave="0" documentId="13_ncr:1_{5F165C03-549E-4A1D-8CDB-B6C6C0580F17}" xr6:coauthVersionLast="47" xr6:coauthVersionMax="47" xr10:uidLastSave="{00000000-0000-0000-0000-000000000000}"/>
  <bookViews>
    <workbookView xWindow="16080" yWindow="-120" windowWidth="29040" windowHeight="15840"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60" i="17" l="1"/>
  <c r="B3" i="106" l="1"/>
  <c r="AT283" i="106" l="1"/>
  <c r="AT77" i="15" s="1"/>
  <c r="AU283" i="106"/>
  <c r="AU77" i="15" s="1"/>
  <c r="AV283" i="106"/>
  <c r="AV77" i="15" s="1"/>
  <c r="AS283" i="106"/>
  <c r="AS77" i="15" s="1"/>
  <c r="AR282" i="106"/>
  <c r="AR64" i="15" s="1"/>
  <c r="AS282" i="106"/>
  <c r="AS64" i="15" s="1"/>
  <c r="AT282" i="106"/>
  <c r="AT64" i="15" s="1"/>
  <c r="AV282" i="106"/>
  <c r="AV64" i="15" s="1"/>
  <c r="AU282" i="106"/>
  <c r="AU64" i="15" s="1"/>
  <c r="AR283" i="106"/>
  <c r="AR77" i="15" s="1"/>
  <c r="AU74" i="111" l="1" a="1"/>
  <c r="AU74" i="111" s="1"/>
  <c r="AT74" i="111" a="1"/>
  <c r="AT74" i="111" s="1"/>
  <c r="AS74" i="111" a="1"/>
  <c r="AS74" i="111" s="1"/>
  <c r="AR74" i="111" a="1"/>
  <c r="AR74" i="111" s="1"/>
  <c r="AQ74" i="111" a="1"/>
  <c r="AQ74" i="111" s="1"/>
  <c r="AP74" i="111" a="1"/>
  <c r="AP74" i="111" s="1"/>
  <c r="AO74" i="111" a="1"/>
  <c r="AO74" i="111" s="1"/>
  <c r="AV74" i="111" l="1"/>
  <c r="AV24" i="111" l="1" a="1"/>
  <c r="AV24" i="111" s="1"/>
  <c r="AU24" i="111" a="1"/>
  <c r="AU24" i="111" s="1"/>
  <c r="AT24" i="111" a="1"/>
  <c r="AT24" i="111" s="1"/>
  <c r="AS24" i="111" a="1"/>
  <c r="AS24" i="111" s="1"/>
  <c r="AR24" i="111" a="1"/>
  <c r="AR24" i="111" s="1"/>
  <c r="H353" i="5" l="1"/>
  <c r="AV96" i="111"/>
  <c r="AJ54" i="126" l="1"/>
  <c r="AK52" i="126"/>
  <c r="AJ52" i="126"/>
  <c r="AJ42" i="126"/>
  <c r="AJ43" i="126" s="1"/>
  <c r="W12" i="126"/>
  <c r="V12" i="126"/>
  <c r="U12" i="126"/>
  <c r="T12" i="126"/>
  <c r="S12" i="126"/>
  <c r="R12" i="126"/>
  <c r="Q12" i="126"/>
  <c r="P12" i="126"/>
  <c r="O12" i="126"/>
  <c r="N12" i="126"/>
  <c r="M12" i="126"/>
  <c r="L12" i="126"/>
  <c r="K12" i="126"/>
  <c r="AM1" i="126"/>
  <c r="AV25" i="111" l="1" a="1"/>
  <c r="AV25" i="111" s="1"/>
  <c r="AU25" i="111" a="1"/>
  <c r="AU25" i="111" s="1"/>
  <c r="AT25" i="111" a="1"/>
  <c r="AT25" i="111" s="1"/>
  <c r="AS25" i="111" a="1"/>
  <c r="AS25" i="111" s="1"/>
  <c r="AR25" i="111" a="1"/>
  <c r="AR25" i="111"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U78" i="101"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V63" i="5"/>
  <c r="AS103" i="5"/>
  <c r="AT287" i="5"/>
  <c r="AS67" i="5"/>
  <c r="AU106" i="5"/>
  <c r="AT76" i="5"/>
  <c r="AV101" i="5"/>
  <c r="AV110"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T65" i="5"/>
  <c r="AV104" i="5"/>
  <c r="AV72" i="5"/>
  <c r="AS108" i="5"/>
  <c r="AV62" i="5"/>
  <c r="AU101" i="5"/>
  <c r="AR104" i="5"/>
  <c r="AS64" i="5"/>
  <c r="AV74" i="5"/>
  <c r="AV102" i="5"/>
  <c r="AS76" i="5"/>
  <c r="AS78" i="5"/>
  <c r="AV284" i="5"/>
  <c r="I241" i="5"/>
  <c r="I34" i="125" s="1"/>
  <c r="AL177" i="5"/>
  <c r="AP177" i="5"/>
  <c r="AV129" i="5"/>
  <c r="AV118" i="5"/>
  <c r="AT92" i="5"/>
  <c r="AS66" i="5"/>
  <c r="AR65" i="5"/>
  <c r="AR275" i="5"/>
  <c r="AR100" i="15" s="1"/>
  <c r="AR75" i="5"/>
  <c r="AV119" i="5"/>
  <c r="AR74" i="5"/>
  <c r="AR105" i="5"/>
  <c r="AT64" i="5"/>
  <c r="AS75" i="5"/>
  <c r="AV78" i="5"/>
  <c r="AR67" i="5"/>
  <c r="AT106" i="5"/>
  <c r="AT74" i="5"/>
  <c r="AV109" i="5"/>
  <c r="AR63" i="5"/>
  <c r="AV103" i="5"/>
  <c r="AV287" i="5"/>
  <c r="AS107" i="5"/>
  <c r="AU62" i="5"/>
  <c r="AT67" i="5"/>
  <c r="AR78" i="5"/>
  <c r="AR106" i="5"/>
  <c r="AT101" i="5"/>
  <c r="AS284" i="5"/>
  <c r="I243" i="5"/>
  <c r="I36" i="125" s="1"/>
  <c r="AL180" i="5"/>
  <c r="AP180" i="5"/>
  <c r="AR130" i="5"/>
  <c r="AR119" i="5"/>
  <c r="AS92" i="5"/>
  <c r="AU102" i="5"/>
  <c r="AR77" i="5"/>
  <c r="AR110" i="5"/>
  <c r="AI231" i="5"/>
  <c r="AT94" i="5"/>
  <c r="AT72" i="5"/>
  <c r="AR64" i="5"/>
  <c r="AS72" i="5"/>
  <c r="AR277" i="5"/>
  <c r="AR213" i="17" s="1"/>
  <c r="AT75" i="5"/>
  <c r="AU110" i="5"/>
  <c r="AR62" i="5"/>
  <c r="AV76" i="5"/>
  <c r="AU63" i="5"/>
  <c r="AR103" i="5"/>
  <c r="AS287" i="5"/>
  <c r="AU72" i="5"/>
  <c r="AR108" i="5"/>
  <c r="AR76"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N180" i="5"/>
  <c r="AT119" i="5"/>
  <c r="AR101" i="5"/>
  <c r="AT108" i="5"/>
  <c r="AT78" i="5"/>
  <c r="AS65" i="5"/>
  <c r="AU104" i="5"/>
  <c r="AS74" i="5"/>
  <c r="AU109" i="5"/>
  <c r="AU77" i="5"/>
  <c r="AU287" i="5"/>
  <c r="AR61" i="5"/>
  <c r="AS110" i="5"/>
  <c r="AV61" i="5"/>
  <c r="AV73" i="5"/>
  <c r="AV77" i="5"/>
  <c r="AT105"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87" i="111"/>
  <c r="AV112" i="111"/>
  <c r="AV118" i="111"/>
  <c r="AV90" i="111"/>
  <c r="AV81" i="111"/>
  <c r="AV117" i="111"/>
  <c r="AV106" i="111"/>
  <c r="AV89" i="111"/>
  <c r="AV76" i="111"/>
  <c r="AV110" i="111"/>
  <c r="AV113" i="111"/>
  <c r="AV108" i="111"/>
  <c r="AV78" i="111"/>
  <c r="AV86" i="111"/>
  <c r="AV91" i="111"/>
  <c r="AV120" i="111"/>
  <c r="AV83" i="111"/>
  <c r="AV103" i="111"/>
  <c r="AV115" i="111"/>
  <c r="AV104" i="111"/>
  <c r="AV94" i="111"/>
  <c r="AV101" i="111"/>
  <c r="AV109" i="111"/>
  <c r="AV79" i="111"/>
  <c r="AV85" i="111"/>
  <c r="AV105" i="111"/>
  <c r="AV119" i="111"/>
  <c r="AV95" i="111"/>
  <c r="AV92" i="111"/>
  <c r="AV102" i="111"/>
  <c r="AV107" i="111"/>
  <c r="AV77" i="111"/>
  <c r="AV114" i="111"/>
  <c r="AV121" i="111"/>
  <c r="AV98" i="111"/>
  <c r="AV116" i="111"/>
  <c r="AV88" i="111"/>
  <c r="AV99" i="111"/>
  <c r="AV82" i="111"/>
  <c r="AV97" i="111"/>
  <c r="AV80" i="111"/>
  <c r="AV84" i="111"/>
  <c r="AV111" i="111"/>
  <c r="AV93" i="111"/>
  <c r="AV100" i="111"/>
  <c r="AR153" i="106"/>
  <c r="AU153" i="106"/>
  <c r="AT153" i="106"/>
  <c r="AV153" i="106"/>
  <c r="AS153" i="106"/>
  <c r="AS75" i="111" a="1"/>
  <c r="AS75" i="111" s="1"/>
  <c r="AR75" i="111" a="1"/>
  <c r="AR75" i="111" s="1"/>
  <c r="AU75" i="111" a="1"/>
  <c r="AU75" i="111" s="1"/>
  <c r="AQ75" i="111" a="1"/>
  <c r="AQ75" i="111" s="1"/>
  <c r="AT75" i="111" a="1"/>
  <c r="AT75" i="111" s="1"/>
  <c r="AP75" i="111" a="1"/>
  <c r="AP75" i="111" s="1"/>
  <c r="AO75" i="111" a="1"/>
  <c r="AO75" i="111"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1"/>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1"/>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1"/>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AE8" i="111" s="1"/>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8" i="111" s="1"/>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1"/>
  <c r="U8" i="111"/>
  <c r="K8" i="111"/>
  <c r="N8" i="111"/>
  <c r="V8" i="111"/>
  <c r="L8" i="111"/>
  <c r="O8" i="111"/>
  <c r="W8" i="111"/>
  <c r="M8" i="111"/>
  <c r="Q8" i="111"/>
  <c r="P8" i="111"/>
  <c r="R8" i="111"/>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J8" i="111" l="1"/>
  <c r="AI8" i="111"/>
  <c r="X8" i="111"/>
  <c r="AL196" i="5"/>
  <c r="AG8" i="111"/>
  <c r="AF8" i="111"/>
  <c r="AK8" i="111"/>
  <c r="AD8" i="111"/>
  <c r="AM196" i="5"/>
  <c r="AB8" i="111"/>
  <c r="AH8" i="111"/>
  <c r="AM8" i="111"/>
  <c r="Z8" i="111"/>
  <c r="E217" i="12"/>
  <c r="AN8" i="111"/>
  <c r="AC8" i="111"/>
  <c r="AA8" i="111"/>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1"/>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1"/>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1"/>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AT277" i="106"/>
  <c r="AV277" i="106"/>
  <c r="AS277" i="106"/>
  <c r="AU277" i="106"/>
  <c r="I241" i="106"/>
  <c r="AR277"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R281" i="5"/>
  <c r="AC229" i="5"/>
  <c r="AC24" i="12" s="1"/>
  <c r="R229" i="5"/>
  <c r="R24" i="12" s="1"/>
  <c r="N230" i="5"/>
  <c r="P229" i="5"/>
  <c r="P24" i="12" s="1"/>
  <c r="I219" i="5"/>
  <c r="AH229" i="5"/>
  <c r="AH24" i="12" s="1"/>
  <c r="R230" i="5"/>
  <c r="U230" i="5"/>
  <c r="AU281" i="5"/>
  <c r="X229" i="5"/>
  <c r="X24" i="12" s="1"/>
  <c r="T230" i="5"/>
  <c r="L229" i="5"/>
  <c r="L24" i="12" s="1"/>
  <c r="T229" i="5"/>
  <c r="T24" i="12" s="1"/>
  <c r="AS281" i="5"/>
  <c r="AD229" i="5"/>
  <c r="AD24" i="12" s="1"/>
  <c r="S229" i="5"/>
  <c r="S24" i="12" s="1"/>
  <c r="AC230" i="5"/>
  <c r="O229" i="5"/>
  <c r="O24" i="12" s="1"/>
  <c r="AV281" i="5"/>
  <c r="AH230" i="5"/>
  <c r="AG230" i="5"/>
  <c r="U229" i="5"/>
  <c r="U24" i="12" s="1"/>
  <c r="AD230" i="5"/>
  <c r="AT281"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AV29" i="32" l="1"/>
  <c r="O140" i="12"/>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8" i="111" l="1"/>
  <c r="AR26" i="126"/>
  <c r="AR146" i="126" s="1"/>
  <c r="AR68" i="126"/>
  <c r="AR152" i="126" s="1"/>
  <c r="AR135" i="126"/>
  <c r="AR166" i="126" s="1"/>
  <c r="AP8" i="106"/>
  <c r="AQ8" i="106"/>
  <c r="AQ8" i="111" s="1"/>
  <c r="AR15" i="15"/>
  <c r="AR16" i="101"/>
  <c r="AR17" i="17"/>
  <c r="M316" i="33"/>
  <c r="M317" i="33" s="1"/>
  <c r="AP194" i="5"/>
  <c r="AQ194" i="5"/>
  <c r="AP8" i="111" l="1"/>
  <c r="AP16" i="101"/>
  <c r="AP12" i="126"/>
  <c r="AP13" i="126" s="1"/>
  <c r="AQ12" i="126"/>
  <c r="AQ13" i="126" s="1"/>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1"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1"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1" l="1"/>
  <c r="AU314" i="17"/>
  <c r="AU196" i="5"/>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1"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E398" i="5"/>
  <c r="E397" i="5"/>
  <c r="AR79" i="5"/>
  <c r="E407" i="5"/>
  <c r="E427" i="5"/>
  <c r="E404" i="5"/>
  <c r="E395" i="5"/>
  <c r="E411" i="5"/>
  <c r="E405" i="5"/>
  <c r="AS79" i="5"/>
  <c r="AR68" i="5"/>
  <c r="AR49" i="2"/>
  <c r="AR53" i="2" s="1"/>
  <c r="E418" i="5"/>
  <c r="E403" i="5"/>
  <c r="E392" i="5"/>
  <c r="E402" i="5"/>
  <c r="E413" i="5"/>
  <c r="E390" i="5"/>
  <c r="E426" i="5"/>
  <c r="E420" i="5"/>
  <c r="AU79" i="5"/>
  <c r="E396" i="5"/>
  <c r="E419" i="5"/>
  <c r="E415" i="5"/>
  <c r="AS68" i="5"/>
  <c r="E430" i="5"/>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R320" i="17"/>
  <c r="AA261" i="12"/>
  <c r="AA255" i="12" s="1"/>
  <c r="AA31" i="12" s="1"/>
  <c r="AB263" i="12"/>
  <c r="AT238" i="17"/>
  <c r="AT241" i="17" s="1"/>
  <c r="AT21" i="16" s="1"/>
  <c r="AS320" i="17"/>
  <c r="AT320" i="17"/>
  <c r="AU238" i="17"/>
  <c r="AU241" i="17" s="1"/>
  <c r="AU21" i="16" s="1"/>
  <c r="AR238" i="17"/>
  <c r="AR241" i="17" s="1"/>
  <c r="AR21" i="16" s="1"/>
  <c r="AV238" i="17"/>
  <c r="AV241" i="17" s="1"/>
  <c r="AV21" i="16" s="1"/>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AS281" i="17"/>
  <c r="AS265" i="17" s="1"/>
  <c r="I110" i="12"/>
  <c r="I102" i="12"/>
  <c r="AV102" i="12" s="1"/>
  <c r="I146" i="12"/>
  <c r="AV146" i="12" s="1"/>
  <c r="AU26" i="6"/>
  <c r="AS33" i="15"/>
  <c r="AS11" i="16"/>
  <c r="AS32" i="17"/>
  <c r="AV22" i="15"/>
  <c r="AV307" i="5"/>
  <c r="AV298" i="5"/>
  <c r="I144" i="12"/>
  <c r="I100" i="12"/>
  <c r="AU27" i="15"/>
  <c r="AV281" i="17"/>
  <c r="AV265" i="17" s="1"/>
  <c r="AV33" i="15"/>
  <c r="AV11" i="16"/>
  <c r="AV32" i="17"/>
  <c r="AT26" i="6"/>
  <c r="I103" i="12"/>
  <c r="I147" i="12"/>
  <c r="AS26" i="6"/>
  <c r="AB261" i="12"/>
  <c r="AB255" i="12" s="1"/>
  <c r="AB31" i="12" s="1"/>
  <c r="AC263" i="12"/>
  <c r="AU281" i="17"/>
  <c r="AU265" i="17" s="1"/>
  <c r="AR281" i="17"/>
  <c r="AR265" i="17" s="1"/>
  <c r="AT32" i="17"/>
  <c r="AT11" i="16"/>
  <c r="AT33" i="15"/>
  <c r="X193" i="12"/>
  <c r="Y154" i="12"/>
  <c r="AR71" i="2"/>
  <c r="AV26" i="6"/>
  <c r="AT281" i="17"/>
  <c r="AT265" i="17" s="1"/>
  <c r="AR303" i="5"/>
  <c r="AR294" i="5"/>
  <c r="AR34" i="2"/>
  <c r="I101" i="12"/>
  <c r="AU101" i="12" s="1"/>
  <c r="AV101" i="12" s="1"/>
  <c r="I145" i="12"/>
  <c r="AS300" i="5"/>
  <c r="AS309" i="5"/>
  <c r="AR37" i="2"/>
  <c r="AR306" i="5"/>
  <c r="AR297" i="5"/>
  <c r="I99" i="12"/>
  <c r="I143" i="12"/>
  <c r="AR26" i="6" l="1"/>
  <c r="AR28" i="6" s="1"/>
  <c r="AV45" i="101"/>
  <c r="AU45" i="101"/>
  <c r="AU52" i="101" s="1"/>
  <c r="AU13" i="6"/>
  <c r="AT52" i="101"/>
  <c r="AR286" i="17"/>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T286" i="17"/>
  <c r="AT284" i="17"/>
  <c r="AU28" i="6"/>
  <c r="AS99" i="12"/>
  <c r="AT99" i="12" s="1"/>
  <c r="AU99" i="12" s="1"/>
  <c r="AV99" i="12" s="1"/>
  <c r="I73" i="12"/>
  <c r="R27" i="12"/>
  <c r="I117" i="12"/>
  <c r="AV28" i="6"/>
  <c r="I120" i="12"/>
  <c r="U27" i="12"/>
  <c r="I76" i="12"/>
  <c r="AU286" i="17"/>
  <c r="AU284" i="17"/>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V284" i="17"/>
  <c r="AV286" i="17"/>
  <c r="AT100" i="12"/>
  <c r="AU100" i="12" s="1"/>
  <c r="AV100" i="12" s="1"/>
  <c r="I113" i="12"/>
  <c r="I69" i="12"/>
  <c r="N27" i="12"/>
  <c r="AB27" i="12"/>
  <c r="I83" i="12"/>
  <c r="I127" i="12"/>
  <c r="AS286" i="17"/>
  <c r="AS284" i="17"/>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R284" i="17"/>
  <c r="AR288" i="17" s="1"/>
  <c r="AV15" i="16"/>
  <c r="AR41" i="2"/>
  <c r="U192" i="12"/>
  <c r="T192" i="12"/>
  <c r="K192" i="12"/>
  <c r="L192" i="12"/>
  <c r="Y192" i="12"/>
  <c r="S192" i="12"/>
  <c r="N192" i="12"/>
  <c r="R192" i="12"/>
  <c r="Q192" i="12"/>
  <c r="O192" i="12"/>
  <c r="W192" i="12"/>
  <c r="P192" i="12"/>
  <c r="V192" i="12"/>
  <c r="M192" i="12"/>
  <c r="AS288" i="17"/>
  <c r="AS292" i="17" s="1"/>
  <c r="AK89" i="12"/>
  <c r="AL89" i="12" s="1"/>
  <c r="AB208" i="12"/>
  <c r="AB204" i="12" s="1"/>
  <c r="AB30" i="12" s="1"/>
  <c r="AC210" i="12"/>
  <c r="AU288" i="17"/>
  <c r="AU292" i="17" s="1"/>
  <c r="AC80" i="12"/>
  <c r="AD80" i="12" s="1"/>
  <c r="Y77" i="12"/>
  <c r="Z77" i="12" s="1"/>
  <c r="AV288" i="17"/>
  <c r="AV292" i="17" s="1"/>
  <c r="AH86" i="12"/>
  <c r="AI86" i="12" s="1"/>
  <c r="AJ86" i="12" s="1"/>
  <c r="W75" i="12"/>
  <c r="X75" i="12" s="1"/>
  <c r="Y75" i="12" s="1"/>
  <c r="Z75" i="12" s="1"/>
  <c r="AA75" i="12" s="1"/>
  <c r="Z78" i="12"/>
  <c r="AA78" i="12" s="1"/>
  <c r="AT288" i="17"/>
  <c r="AT292" i="17"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R292" i="17"/>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R254" i="17" l="1"/>
  <c r="AV205" i="17"/>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R66" i="15" s="1"/>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R67" i="15"/>
  <c r="AR108" i="15" s="1"/>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R68" i="15"/>
  <c r="AN59" i="12"/>
  <c r="AN29" i="12" s="1"/>
  <c r="AT210" i="12"/>
  <c r="AR76" i="15"/>
  <c r="AR79" i="15" s="1"/>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S63" i="15"/>
  <c r="AS66" i="15" s="1"/>
  <c r="AS67" i="15" s="1"/>
  <c r="AS108" i="15" s="1"/>
  <c r="AL64" i="13"/>
  <c r="AL66" i="13" s="1"/>
  <c r="AM63" i="13" s="1"/>
  <c r="AL41" i="13"/>
  <c r="AN43" i="12"/>
  <c r="AO46" i="12" s="1"/>
  <c r="AO61" i="13" s="1"/>
  <c r="AN65" i="13"/>
  <c r="AN45" i="13" s="1"/>
  <c r="AR235" i="12"/>
  <c r="AQ208" i="12"/>
  <c r="AQ204" i="12" s="1"/>
  <c r="AQ30" i="12" s="1"/>
  <c r="AR55" i="13"/>
  <c r="AN32" i="12"/>
  <c r="AR80" i="15"/>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R109" i="15"/>
  <c r="AO65" i="13"/>
  <c r="AO45" i="13" s="1"/>
  <c r="AS68" i="15"/>
  <c r="AT63" i="15" s="1"/>
  <c r="AT66" i="15" s="1"/>
  <c r="AT67" i="15" s="1"/>
  <c r="AT108" i="15" s="1"/>
  <c r="AM64" i="13"/>
  <c r="AM66" i="13" s="1"/>
  <c r="AN63" i="13" s="1"/>
  <c r="AM41" i="13"/>
  <c r="AS235" i="12"/>
  <c r="AR208" i="12"/>
  <c r="AR204" i="12" s="1"/>
  <c r="AR30" i="12" s="1"/>
  <c r="AR56" i="13"/>
  <c r="AR81" i="15"/>
  <c r="AS76" i="15" s="1"/>
  <c r="AS79" i="15" s="1"/>
  <c r="AS80" i="15" s="1"/>
  <c r="AS109" i="15" s="1"/>
  <c r="AS112" i="15" s="1"/>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R112" i="15" l="1"/>
  <c r="AR206" i="17" s="1"/>
  <c r="AR255" i="17" s="1"/>
  <c r="AL46" i="13"/>
  <c r="AM43" i="13" s="1"/>
  <c r="AP65" i="13"/>
  <c r="AP45" i="13" s="1"/>
  <c r="AN64" i="13"/>
  <c r="AN66" i="13" s="1"/>
  <c r="AO63" i="13" s="1"/>
  <c r="AN41" i="13"/>
  <c r="AT235" i="12"/>
  <c r="AS208" i="12"/>
  <c r="AS204" i="12" s="1"/>
  <c r="AS30" i="12" s="1"/>
  <c r="AT68" i="15"/>
  <c r="AU63" i="15" s="1"/>
  <c r="AU66" i="15" s="1"/>
  <c r="AS81" i="15"/>
  <c r="AT76" i="15" s="1"/>
  <c r="AT79" i="15" s="1"/>
  <c r="AP43" i="12"/>
  <c r="AQ46" i="12" s="1"/>
  <c r="AQ61" i="13" s="1"/>
  <c r="AP32" i="12"/>
  <c r="AS206" i="17"/>
  <c r="AS255" i="17" s="1"/>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U67" i="15"/>
  <c r="AU108" i="15"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T80" i="15"/>
  <c r="AT109" i="15" s="1"/>
  <c r="AT112" i="15" s="1"/>
  <c r="AQ43" i="12"/>
  <c r="AR46" i="12" s="1"/>
  <c r="AR61" i="13" s="1"/>
  <c r="AQ32" i="12"/>
  <c r="AR59" i="12"/>
  <c r="AR29" i="12" s="1"/>
  <c r="AN46" i="13" l="1"/>
  <c r="AO43" i="13" s="1"/>
  <c r="AP64" i="13"/>
  <c r="AP66" i="13" s="1"/>
  <c r="AQ63" i="13" s="1"/>
  <c r="AP41" i="13"/>
  <c r="AU208" i="12"/>
  <c r="AU204" i="12" s="1"/>
  <c r="AU30" i="12" s="1"/>
  <c r="AV235" i="12"/>
  <c r="AV208" i="12" s="1"/>
  <c r="AV204" i="12" s="1"/>
  <c r="AV30" i="12" s="1"/>
  <c r="AT81" i="15"/>
  <c r="AU76" i="15" s="1"/>
  <c r="AU79" i="15" s="1"/>
  <c r="AU80" i="15" s="1"/>
  <c r="AU109" i="15" s="1"/>
  <c r="AU112" i="15"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U68" i="15"/>
  <c r="AV63" i="15" s="1"/>
  <c r="AV66" i="15" s="1"/>
  <c r="AT206" i="17"/>
  <c r="AT255" i="17" s="1"/>
  <c r="AO46" i="13" l="1"/>
  <c r="AP43" i="13" s="1"/>
  <c r="AQ64" i="13"/>
  <c r="AQ66" i="13" s="1"/>
  <c r="AQ41" i="13"/>
  <c r="AU206" i="17"/>
  <c r="AU255" i="17" s="1"/>
  <c r="AU81" i="15"/>
  <c r="AV76" i="15" s="1"/>
  <c r="AV79" i="15" s="1"/>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V67" i="15"/>
  <c r="AV108" i="15" s="1"/>
  <c r="AT59" i="12"/>
  <c r="AT29" i="12" s="1"/>
  <c r="AR9" i="16"/>
  <c r="AP46" i="13" l="1"/>
  <c r="AV68" i="15"/>
  <c r="AV80" i="15"/>
  <c r="AV109" i="15" s="1"/>
  <c r="AV112" i="15" s="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206" i="17" l="1"/>
  <c r="AV255" i="17" s="1"/>
  <c r="AV81" i="15"/>
  <c r="AV59" i="12"/>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190" i="17"/>
  <c r="AS194" i="17" s="1"/>
  <c r="AS34" i="17" s="1"/>
  <c r="AS15" i="13"/>
  <c r="AS17" i="13" s="1"/>
  <c r="AT43" i="13"/>
  <c r="AR75" i="101" l="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U43" i="13"/>
  <c r="AT15" i="13"/>
  <c r="AT17" i="13" s="1"/>
  <c r="AT190" i="17"/>
  <c r="AT194" i="17" s="1"/>
  <c r="AT34" i="17" s="1"/>
  <c r="AS12" i="16" l="1"/>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15" i="13"/>
  <c r="AU17" i="13" s="1"/>
  <c r="AV43" i="13"/>
  <c r="AU190" i="17"/>
  <c r="AU194" i="17" s="1"/>
  <c r="AU34" i="17" s="1"/>
  <c r="AT12" i="16" l="1"/>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190" i="17"/>
  <c r="AV194" i="17" s="1"/>
  <c r="AV34" i="17" s="1"/>
  <c r="AV15" i="13"/>
  <c r="AV17" i="13" s="1"/>
  <c r="AV55" i="17"/>
  <c r="AU12" i="16" l="1"/>
  <c r="AU75" i="101" s="1"/>
  <c r="AU76" i="101" s="1"/>
  <c r="AU79" i="101" s="1"/>
  <c r="AU80" i="101" s="1"/>
  <c r="AV21" i="13"/>
  <c r="AV23" i="13" s="1"/>
  <c r="AV69" i="17"/>
  <c r="AV71" i="17" s="1"/>
  <c r="AV178" i="17" s="1"/>
  <c r="AV76" i="17"/>
  <c r="AV93" i="17"/>
  <c r="AV26" i="17"/>
  <c r="AU86" i="101" l="1"/>
  <c r="AU87" i="101" s="1"/>
  <c r="AV89" i="101" s="1"/>
  <c r="AV14" i="125"/>
  <c r="AV15" i="125" s="1"/>
  <c r="AV27" i="13"/>
  <c r="AU81" i="101"/>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171" i="17"/>
  <c r="AR38" i="17"/>
  <c r="AR169" i="17"/>
  <c r="AR253" i="17" l="1"/>
  <c r="AR203" i="17"/>
  <c r="AR37" i="17"/>
  <c r="AR326" i="17" l="1"/>
  <c r="AR252" i="17"/>
  <c r="AR207" i="17"/>
  <c r="AR216" i="17" l="1"/>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AU61" i="101" l="1"/>
  <c r="AU62" i="101" s="1"/>
  <c r="AU93" i="101"/>
  <c r="AU94" i="101" s="1"/>
  <c r="AU100" i="101" l="1"/>
  <c r="AU101" i="101" s="1"/>
  <c r="AV103" i="101" s="1"/>
  <c r="AV105" i="101" s="1"/>
  <c r="AV51" i="101" s="1"/>
  <c r="AU95" i="101"/>
  <c r="I7" i="86" l="1"/>
  <c r="I6" i="86" s="1"/>
  <c r="AM3" i="126" l="1"/>
  <c r="AM3" i="101"/>
  <c r="AM3" i="2"/>
  <c r="AM3" i="13"/>
  <c r="AM3" i="5"/>
  <c r="AM3" i="86"/>
  <c r="AM3" i="16"/>
  <c r="F8" i="21"/>
  <c r="AM3" i="17"/>
  <c r="AM3" i="15"/>
  <c r="AM3" i="6"/>
  <c r="AM3" i="125"/>
  <c r="AM3" i="12"/>
  <c r="AR279" i="106" l="1"/>
  <c r="AR283" i="5" s="1"/>
  <c r="AR325" i="17" s="1"/>
  <c r="AR327" i="17" s="1"/>
  <c r="AS279" i="106"/>
  <c r="AS283" i="5" s="1"/>
  <c r="AS325" i="17" s="1"/>
  <c r="AT279" i="106"/>
  <c r="AT283" i="5" s="1"/>
  <c r="AT325" i="17" s="1"/>
  <c r="AV279" i="106"/>
  <c r="AV283" i="5" s="1"/>
  <c r="AV325" i="17" s="1"/>
  <c r="AU279" i="106" l="1"/>
  <c r="AU283" i="5" s="1"/>
  <c r="AU325" i="17" s="1"/>
  <c r="AR278" i="106" l="1"/>
  <c r="AR282" i="5" s="1"/>
  <c r="AR316" i="17" s="1"/>
  <c r="AR319" i="17" s="1"/>
  <c r="AR321" i="17" s="1"/>
  <c r="AR331" i="17" s="1"/>
  <c r="AR333" i="17" s="1"/>
  <c r="AR217" i="17" s="1"/>
  <c r="AR264" i="17" l="1"/>
  <c r="AR294" i="17"/>
  <c r="AR296" i="17" s="1"/>
  <c r="AR297" i="17" s="1"/>
  <c r="AR299" i="17" s="1"/>
  <c r="AS278" i="106" l="1"/>
  <c r="AS282" i="5" s="1"/>
  <c r="AS316" i="17" s="1"/>
  <c r="AS319" i="17" s="1"/>
  <c r="AS321" i="17" s="1"/>
  <c r="AR303" i="17"/>
  <c r="AR307" i="17" s="1"/>
  <c r="AR236" i="17" s="1"/>
  <c r="AR218" i="17"/>
  <c r="AR219" i="17" l="1"/>
  <c r="AR225" i="17" s="1"/>
  <c r="AR227" i="17" s="1"/>
  <c r="AR231" i="17" s="1"/>
  <c r="AR235" i="17" s="1"/>
  <c r="AR237" i="17" s="1"/>
  <c r="AR220" i="17" l="1"/>
  <c r="AS215" i="17" s="1"/>
  <c r="AR240" i="17"/>
  <c r="AR20" i="16" s="1"/>
  <c r="AR22" i="16" s="1"/>
  <c r="AR49" i="101" s="1"/>
  <c r="AR53" i="101" s="1"/>
  <c r="AR58" i="101" s="1"/>
  <c r="AR239" i="17"/>
  <c r="AR250" i="17" l="1"/>
  <c r="AR256" i="17" s="1"/>
  <c r="AR39" i="17"/>
  <c r="AS69" i="101"/>
  <c r="AS50" i="101" s="1"/>
  <c r="AR63" i="101"/>
  <c r="AR266" i="17" l="1"/>
  <c r="AR272" i="17" s="1"/>
  <c r="AR274" i="17" s="1"/>
  <c r="AR40" i="17" s="1"/>
  <c r="AR41" i="17" s="1"/>
  <c r="AS25" i="17" s="1"/>
  <c r="AR263" i="17"/>
  <c r="AS45" i="17" l="1"/>
  <c r="AS53" i="17" s="1"/>
  <c r="AS57" i="17" s="1"/>
  <c r="AS78" i="17" s="1"/>
  <c r="AS80" i="17" s="1"/>
  <c r="AS84" i="17" s="1"/>
  <c r="AS86" i="17" s="1"/>
  <c r="AR267" i="17"/>
  <c r="AS262" i="17" s="1"/>
  <c r="AS27" i="17" l="1"/>
  <c r="AS28" i="17" s="1"/>
  <c r="AS179" i="17"/>
  <c r="AS180" i="17" s="1"/>
  <c r="AS184" i="17" s="1"/>
  <c r="AS35" i="17" l="1"/>
  <c r="AS185" i="17"/>
  <c r="AS14" i="16" s="1"/>
  <c r="AS19" i="16" s="1"/>
  <c r="AS126" i="17"/>
  <c r="AS46" i="17"/>
  <c r="AS92" i="17" s="1"/>
  <c r="AS95" i="17" s="1"/>
  <c r="AS29" i="17" l="1"/>
  <c r="AS36" i="17" s="1"/>
  <c r="AS201" i="17"/>
  <c r="AS248" i="17" l="1"/>
  <c r="AS127" i="17"/>
  <c r="AS129" i="17" s="1"/>
  <c r="AS153" i="17" l="1"/>
  <c r="AS144" i="17"/>
  <c r="AS137" i="17"/>
  <c r="AS140" i="17" s="1"/>
  <c r="AS147" i="17" l="1"/>
  <c r="AS149" i="17"/>
  <c r="AS156" i="17"/>
  <c r="AS158" i="17"/>
  <c r="AS164" i="17" s="1"/>
  <c r="AS170" i="17" s="1"/>
  <c r="AS167" i="17" l="1"/>
  <c r="AS131" i="17" s="1"/>
  <c r="AS204" i="17"/>
  <c r="AS253" i="17" s="1"/>
  <c r="AS38" i="17"/>
  <c r="AS171" i="17" l="1"/>
  <c r="AS169" i="17"/>
  <c r="AS203" i="17"/>
  <c r="AS37" i="17"/>
  <c r="AS326" i="17" l="1"/>
  <c r="AS252" i="17"/>
  <c r="AS207" i="17"/>
  <c r="AS327" i="17" l="1"/>
  <c r="AS331" i="17" s="1"/>
  <c r="AS333" i="17" s="1"/>
  <c r="AS217" i="17" s="1"/>
  <c r="AS216" i="17"/>
  <c r="AS264" i="17" l="1"/>
  <c r="AS294" i="17"/>
  <c r="AS296" i="17" s="1"/>
  <c r="AS297" i="17" s="1"/>
  <c r="AS299" i="17" s="1"/>
  <c r="AS303" i="17" s="1"/>
  <c r="AS307" i="17" s="1"/>
  <c r="AS236" i="17" s="1"/>
  <c r="AS218" i="17" l="1"/>
  <c r="AS219" i="17" s="1"/>
  <c r="AS225" i="17" s="1"/>
  <c r="AS227" i="17" s="1"/>
  <c r="AS231" i="17" s="1"/>
  <c r="AS235" i="17" s="1"/>
  <c r="AS237" i="17" s="1"/>
  <c r="AS239" i="17" s="1"/>
  <c r="AS240" i="17" l="1"/>
  <c r="AS20" i="16" s="1"/>
  <c r="AS22" i="16" s="1"/>
  <c r="AS49" i="101" s="1"/>
  <c r="AS53" i="101" s="1"/>
  <c r="AS58" i="101" s="1"/>
  <c r="AS63" i="101" s="1"/>
  <c r="AS220" i="17"/>
  <c r="AT215" i="17" s="1"/>
  <c r="AS39" i="17"/>
  <c r="AS250" i="17"/>
  <c r="AS256" i="17" s="1"/>
  <c r="AT69" i="101" l="1"/>
  <c r="AT50" i="101" s="1"/>
  <c r="AS266" i="17"/>
  <c r="AS272" i="17" s="1"/>
  <c r="AS274" i="17" s="1"/>
  <c r="AS40" i="17" s="1"/>
  <c r="AS41" i="17" s="1"/>
  <c r="AT25" i="17" s="1"/>
  <c r="AS263" i="17"/>
  <c r="AS267" i="17" l="1"/>
  <c r="AT262" i="17" s="1"/>
  <c r="AT45" i="17"/>
  <c r="AT53" i="17" s="1"/>
  <c r="AT57" i="17" s="1"/>
  <c r="AT78" i="17" s="1"/>
  <c r="AT80" i="17" s="1"/>
  <c r="AT84" i="17" s="1"/>
  <c r="AT86" i="17" s="1"/>
  <c r="AT179" i="17" l="1"/>
  <c r="AT180" i="17" s="1"/>
  <c r="AT184" i="17" s="1"/>
  <c r="AT27" i="17"/>
  <c r="AT28" i="17" s="1"/>
  <c r="AT126" i="17" l="1"/>
  <c r="AT46" i="17"/>
  <c r="AT92" i="17" s="1"/>
  <c r="AT95" i="17" s="1"/>
  <c r="AT185" i="17"/>
  <c r="AT14" i="16" s="1"/>
  <c r="AT19" i="16" s="1"/>
  <c r="AT35" i="17"/>
  <c r="AT29" i="17" l="1"/>
  <c r="AT36" i="17" s="1"/>
  <c r="AT201" i="17"/>
  <c r="AT248" i="17" l="1"/>
  <c r="AT127" i="17"/>
  <c r="AT129" i="17" s="1"/>
  <c r="AT137" i="17" l="1"/>
  <c r="AT140" i="17" s="1"/>
  <c r="AT153" i="17"/>
  <c r="AT144" i="17"/>
  <c r="AT147" i="17" l="1"/>
  <c r="AT149" i="17"/>
  <c r="AT158" i="17"/>
  <c r="AT156" i="17"/>
  <c r="AT167" i="17" l="1"/>
  <c r="AT131" i="17" s="1"/>
  <c r="AT164" i="17"/>
  <c r="AT170" i="17" s="1"/>
  <c r="AT169" i="17" l="1"/>
  <c r="AT171" i="17"/>
  <c r="AT38" i="17"/>
  <c r="AT204" i="17"/>
  <c r="AT253" i="17" s="1"/>
  <c r="AT37" i="17"/>
  <c r="AT203" i="17"/>
  <c r="AT252" i="17" l="1"/>
  <c r="AT326" i="17"/>
  <c r="AT207" i="17"/>
  <c r="AT216" i="17" l="1"/>
  <c r="AT327" i="17"/>
  <c r="AT93" i="101" l="1"/>
  <c r="AT94" i="101" s="1"/>
  <c r="AT100" i="101" l="1"/>
  <c r="AT101" i="101" s="1"/>
  <c r="AU103" i="101" s="1"/>
  <c r="AU105" i="101" s="1"/>
  <c r="AU51" i="101" s="1"/>
  <c r="AT95" i="101"/>
  <c r="AT278" i="106" l="1"/>
  <c r="AT282" i="5" s="1"/>
  <c r="AT316" i="17" s="1"/>
  <c r="AT319" i="17" s="1"/>
  <c r="AT321" i="17" s="1"/>
  <c r="AT331" i="17" s="1"/>
  <c r="AT333" i="17" s="1"/>
  <c r="AT217" i="17" s="1"/>
  <c r="AT264" i="17" l="1"/>
  <c r="AT294" i="17"/>
  <c r="AT296" i="17" s="1"/>
  <c r="AT297" i="17" s="1"/>
  <c r="AT299" i="17" s="1"/>
  <c r="AT218" i="17" l="1"/>
  <c r="AT219" i="17" s="1"/>
  <c r="AT225" i="17" s="1"/>
  <c r="AT227" i="17" s="1"/>
  <c r="AT231" i="17" s="1"/>
  <c r="AT235" i="17" s="1"/>
  <c r="AT303" i="17"/>
  <c r="AT307" i="17" s="1"/>
  <c r="AT236" i="17" s="1"/>
  <c r="AT220" i="17" l="1"/>
  <c r="AU215" i="17" s="1"/>
  <c r="AT237" i="17"/>
  <c r="AT240" i="17" l="1"/>
  <c r="AT20" i="16" s="1"/>
  <c r="AT22" i="16" s="1"/>
  <c r="AT49" i="101" s="1"/>
  <c r="AT53" i="101" s="1"/>
  <c r="AT58" i="101" s="1"/>
  <c r="AT239" i="17"/>
  <c r="AU278" i="106"/>
  <c r="AU282" i="5" s="1"/>
  <c r="AU316" i="17" s="1"/>
  <c r="AU319" i="17" s="1"/>
  <c r="AU321" i="17" s="1"/>
  <c r="AT39" i="17" l="1"/>
  <c r="AT250" i="17"/>
  <c r="AT256" i="17" s="1"/>
  <c r="AU69" i="101"/>
  <c r="AU50" i="101" s="1"/>
  <c r="AT63" i="101"/>
  <c r="AT263" i="17" l="1"/>
  <c r="AT266" i="17"/>
  <c r="AT272" i="17" s="1"/>
  <c r="AT274" i="17" s="1"/>
  <c r="AT40" i="17" s="1"/>
  <c r="AT41" i="17" s="1"/>
  <c r="AU25" i="17" s="1"/>
  <c r="AU45" i="17" s="1"/>
  <c r="AU53" i="17" s="1"/>
  <c r="AU57" i="17" s="1"/>
  <c r="AU78" i="17" s="1"/>
  <c r="AU80" i="17" s="1"/>
  <c r="AU84" i="17" s="1"/>
  <c r="AU86" i="17" s="1"/>
  <c r="AU27" i="17" l="1"/>
  <c r="AU28" i="17" s="1"/>
  <c r="AU179" i="17"/>
  <c r="AU180" i="17" s="1"/>
  <c r="AU184" i="17" s="1"/>
  <c r="AT267" i="17"/>
  <c r="AU262" i="17" s="1"/>
  <c r="AU35" i="17" l="1"/>
  <c r="AU185" i="17"/>
  <c r="AU14" i="16" s="1"/>
  <c r="AU19" i="16" s="1"/>
  <c r="AU126" i="17"/>
  <c r="AU46" i="17"/>
  <c r="AU92" i="17" s="1"/>
  <c r="AU95" i="17" s="1"/>
  <c r="AU29" i="17" l="1"/>
  <c r="AU36" i="17" s="1"/>
  <c r="AU127" i="17" s="1"/>
  <c r="AU129" i="17" s="1"/>
  <c r="AU144" i="17" s="1"/>
  <c r="AU201" i="17"/>
  <c r="AU248" i="17" s="1"/>
  <c r="AV278" i="106"/>
  <c r="AV282" i="5" s="1"/>
  <c r="AV316" i="17" s="1"/>
  <c r="AV319" i="17" s="1"/>
  <c r="AV321" i="17" s="1"/>
  <c r="AU153" i="17" l="1"/>
  <c r="AU156" i="17" s="1"/>
  <c r="AU137" i="17"/>
  <c r="AU140" i="17" s="1"/>
  <c r="AU147" i="17"/>
  <c r="AU149" i="17"/>
  <c r="AU158" i="17" l="1"/>
  <c r="AU164" i="17" s="1"/>
  <c r="AU170" i="17" s="1"/>
  <c r="AU167" i="17"/>
  <c r="AU131" i="17" l="1"/>
  <c r="AU169" i="17"/>
  <c r="AU38" i="17"/>
  <c r="AU171" i="17"/>
  <c r="AU204" i="17"/>
  <c r="AU253" i="17" s="1"/>
  <c r="AU37" i="17" l="1"/>
  <c r="AU203" i="17"/>
  <c r="AU326" i="17" l="1"/>
  <c r="AU252" i="17"/>
  <c r="AU207" i="17"/>
  <c r="AU216" i="17" l="1"/>
  <c r="AU327" i="17"/>
  <c r="AU331" i="17" s="1"/>
  <c r="AU333" i="17" s="1"/>
  <c r="AU217" i="17" s="1"/>
  <c r="AU264" i="17" l="1"/>
  <c r="AU294" i="17"/>
  <c r="AU296" i="17" s="1"/>
  <c r="AU297" i="17" s="1"/>
  <c r="AU299" i="17" s="1"/>
  <c r="AU218" i="17" l="1"/>
  <c r="AU303" i="17"/>
  <c r="AU307" i="17" s="1"/>
  <c r="AU236" i="17" s="1"/>
  <c r="AU219" i="17" l="1"/>
  <c r="AU225" i="17" s="1"/>
  <c r="AU227" i="17" s="1"/>
  <c r="AU231" i="17" s="1"/>
  <c r="AU235" i="17" s="1"/>
  <c r="AU237" i="17" s="1"/>
  <c r="AU220" i="17" l="1"/>
  <c r="AV215" i="17" s="1"/>
  <c r="AU239" i="17"/>
  <c r="AU240" i="17"/>
  <c r="AU20" i="16" s="1"/>
  <c r="AU22" i="16" s="1"/>
  <c r="AU49" i="101" s="1"/>
  <c r="AU53" i="101" s="1"/>
  <c r="AU58" i="101" s="1"/>
  <c r="AU39" i="17" l="1"/>
  <c r="AU250" i="17"/>
  <c r="AU256" i="17" s="1"/>
  <c r="AV69" i="101"/>
  <c r="AV50" i="101" s="1"/>
  <c r="AU63" i="101"/>
  <c r="AU266" i="17" l="1"/>
  <c r="AU272" i="17" s="1"/>
  <c r="AU274" i="17" s="1"/>
  <c r="AU40" i="17" s="1"/>
  <c r="AU41" i="17" s="1"/>
  <c r="AV25" i="17" s="1"/>
  <c r="AV45" i="17" s="1"/>
  <c r="AV53" i="17" s="1"/>
  <c r="AV57" i="17" s="1"/>
  <c r="AV78" i="17" s="1"/>
  <c r="AV80" i="17" s="1"/>
  <c r="AV84" i="17" s="1"/>
  <c r="AV86" i="17" s="1"/>
  <c r="AU263" i="17"/>
  <c r="AU267" i="17" l="1"/>
  <c r="AV262" i="17" s="1"/>
  <c r="AV179" i="17"/>
  <c r="AV180" i="17" s="1"/>
  <c r="AV184" i="17" s="1"/>
  <c r="AV27" i="17"/>
  <c r="AV28" i="17" s="1"/>
  <c r="AV126" i="17" l="1"/>
  <c r="AV46" i="17"/>
  <c r="AV92" i="17" s="1"/>
  <c r="AV95" i="17" s="1"/>
  <c r="AV35" i="17"/>
  <c r="AV185" i="17"/>
  <c r="AV14" i="16" s="1"/>
  <c r="AV19" i="16" s="1"/>
  <c r="AV201" i="17" l="1"/>
  <c r="AV248" i="17" s="1"/>
  <c r="AV29" i="17"/>
  <c r="AV36" i="17" s="1"/>
  <c r="AV127" i="17" s="1"/>
  <c r="AV129" i="17" s="1"/>
  <c r="AV137" i="17" l="1"/>
  <c r="AV140" i="17" s="1"/>
  <c r="AV144" i="17"/>
  <c r="AV153" i="17"/>
  <c r="AV158" i="17" l="1"/>
  <c r="AV156" i="17"/>
  <c r="AV149" i="17"/>
  <c r="AV147" i="17"/>
  <c r="AV167" i="17" s="1"/>
  <c r="AV131" i="17" s="1"/>
  <c r="AV164" i="17" l="1"/>
  <c r="AV170" i="17" s="1"/>
  <c r="AV38" i="17" l="1"/>
  <c r="AV204" i="17"/>
  <c r="AV253" i="17" s="1"/>
  <c r="AV171" i="17"/>
  <c r="AV169" i="17"/>
  <c r="AV203" i="17" l="1"/>
  <c r="AV37" i="17"/>
  <c r="AV326" i="17" l="1"/>
  <c r="AV327" i="17" s="1"/>
  <c r="AV331" i="17" s="1"/>
  <c r="AV333" i="17" s="1"/>
  <c r="AV217" i="17" s="1"/>
  <c r="AV264" i="17" s="1"/>
  <c r="AV252" i="17"/>
  <c r="AV207" i="17"/>
  <c r="AV216" i="17" l="1"/>
  <c r="AV294" i="17"/>
  <c r="AV296" i="17" s="1"/>
  <c r="AV297" i="17" s="1"/>
  <c r="AV299" i="17" s="1"/>
  <c r="AV218" i="17" l="1"/>
  <c r="AV219" i="17" s="1"/>
  <c r="AV225" i="17" s="1"/>
  <c r="AV227" i="17" s="1"/>
  <c r="AV231" i="17" s="1"/>
  <c r="AV235" i="17" s="1"/>
  <c r="AV303" i="17"/>
  <c r="AV307" i="17" s="1"/>
  <c r="AV236" i="17" s="1"/>
  <c r="AV220" i="17" l="1"/>
  <c r="AV237" i="17"/>
  <c r="AV240" i="17" s="1"/>
  <c r="AV20" i="16" s="1"/>
  <c r="AV22" i="16" s="1"/>
  <c r="AV49" i="101" s="1"/>
  <c r="AV53" i="101" s="1"/>
  <c r="AV58" i="101" s="1"/>
  <c r="AV239" i="17" l="1"/>
  <c r="AV250" i="17" s="1"/>
  <c r="AV256" i="17" s="1"/>
  <c r="AV61" i="101"/>
  <c r="AV62" i="101" s="1"/>
  <c r="AV63" i="101" s="1"/>
  <c r="AV93" i="101"/>
  <c r="AV94" i="101" s="1"/>
  <c r="AV39" i="17" l="1"/>
  <c r="AV100" i="101"/>
  <c r="AV101" i="101" s="1"/>
  <c r="AV95" i="101"/>
  <c r="AV266" i="17"/>
  <c r="AV272" i="17" s="1"/>
  <c r="AV274" i="17" s="1"/>
  <c r="AV40" i="17" s="1"/>
  <c r="AV41" i="17" s="1"/>
  <c r="AV263" i="17"/>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<sst xmlns="http://schemas.openxmlformats.org/spreadsheetml/2006/main" count="4563" uniqueCount="1397">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</sst>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468">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5" val="0"/>
</file>

<file path=xl/ctrlProps/ctrlProp10.xml><?xml version="1.0" encoding="utf-8"?>
<formControlPr xmlns="http://schemas.microsoft.com/office/spreadsheetml/2009/9/main" objectType="Drop" dropLines="14" dropStyle="combo" dx="22" fmlaLink="UserInterface!$E$29" fmlaRange="UserInterface!$E$15:$E$28" sel="5" val="0"/>
</file>

<file path=xl/ctrlProps/ctrlProp11.xml><?xml version="1.0" encoding="utf-8"?>
<formControlPr xmlns="http://schemas.microsoft.com/office/spreadsheetml/2009/9/main" objectType="Drop" dropLines="14" dropStyle="combo" dx="22" fmlaLink="UserInterface!$E$29" fmlaRange="UserInterface!$E$15:$E$28" sel="5" val="0"/>
</file>

<file path=xl/ctrlProps/ctrlProp12.xml><?xml version="1.0" encoding="utf-8"?>
<formControlPr xmlns="http://schemas.microsoft.com/office/spreadsheetml/2009/9/main" objectType="Drop" dropLines="14" dropStyle="combo" dx="22" fmlaLink="UserInterface!$E$29" fmlaRange="UserInterface!$E$15:$E$28" sel="5" val="0"/>
</file>

<file path=xl/ctrlProps/ctrlProp13.xml><?xml version="1.0" encoding="utf-8"?>
<formControlPr xmlns="http://schemas.microsoft.com/office/spreadsheetml/2009/9/main" objectType="Drop" dropLines="14" dropStyle="combo" dx="22" fmlaLink="UserInterface!$E$29" fmlaRange="UserInterface!$E$15:$E$28" sel="5" val="0"/>
</file>

<file path=xl/ctrlProps/ctrlProp14.xml><?xml version="1.0" encoding="utf-8"?>
<formControlPr xmlns="http://schemas.microsoft.com/office/spreadsheetml/2009/9/main" objectType="Drop" dropLines="14" dropStyle="combo" dx="22" fmlaLink="UserInterface!$E$29" fmlaRange="UserInterface!$E$15:$E$28" sel="5" val="0"/>
</file>

<file path=xl/ctrlProps/ctrlProp15.xml><?xml version="1.0" encoding="utf-8"?>
<formControlPr xmlns="http://schemas.microsoft.com/office/spreadsheetml/2009/9/main" objectType="Drop" dropLines="14" dropStyle="combo" dx="22" fmlaLink="UserInterface!$E$29" fmlaRange="UserInterface!$E$15:$E$28" sel="5" val="0"/>
</file>

<file path=xl/ctrlProps/ctrlProp16.xml><?xml version="1.0" encoding="utf-8"?>
<formControlPr xmlns="http://schemas.microsoft.com/office/spreadsheetml/2009/9/main" objectType="Drop" dropLines="14" dropStyle="combo" dx="22" fmlaLink="UserInterface!$E$29" fmlaRange="UserInterface!$E$15:$E$28" sel="5" val="0"/>
</file>

<file path=xl/ctrlProps/ctrlProp17.xml><?xml version="1.0" encoding="utf-8"?>
<formControlPr xmlns="http://schemas.microsoft.com/office/spreadsheetml/2009/9/main" objectType="Drop" dropLines="14" dropStyle="combo" dx="22" fmlaLink="UserInterface!$E$29" fmlaRange="UserInterface!$E$15:$E$28" sel="5" val="0"/>
</file>

<file path=xl/ctrlProps/ctrlProp18.xml><?xml version="1.0" encoding="utf-8"?>
<formControlPr xmlns="http://schemas.microsoft.com/office/spreadsheetml/2009/9/main" objectType="Drop" dropLines="14" dropStyle="combo" dx="22" fmlaLink="UserInterface!$E$29" fmlaRange="UserInterface!$E$15:$E$28" sel="5" val="0"/>
</file>

<file path=xl/ctrlProps/ctrlProp19.xml><?xml version="1.0" encoding="utf-8"?>
<formControlPr xmlns="http://schemas.microsoft.com/office/spreadsheetml/2009/9/main" objectType="Drop" dropLines="14" dropStyle="combo" dx="22" fmlaLink="UserInterface!$E$29" fmlaRange="UserInterface!$E$15:$E$28" sel="5" val="0"/>
</file>

<file path=xl/ctrlProps/ctrlProp2.xml><?xml version="1.0" encoding="utf-8"?>
<formControlPr xmlns="http://schemas.microsoft.com/office/spreadsheetml/2009/9/main" objectType="Drop" dropLines="14" dropStyle="combo" dx="22" fmlaLink="UserInterface!$E$29" fmlaRange="UserInterface!$E$15:$E$28" sel="5" val="0"/>
</file>

<file path=xl/ctrlProps/ctrlProp20.xml><?xml version="1.0" encoding="utf-8"?>
<formControlPr xmlns="http://schemas.microsoft.com/office/spreadsheetml/2009/9/main" objectType="Drop" dropLines="14" dropStyle="combo" dx="22" fmlaLink="UserInterface!$E$29" fmlaRange="UserInterface!$E$15:$E$28" sel="5" val="0"/>
</file>

<file path=xl/ctrlProps/ctrlProp21.xml><?xml version="1.0" encoding="utf-8"?>
<formControlPr xmlns="http://schemas.microsoft.com/office/spreadsheetml/2009/9/main" objectType="Drop" dropLines="14" dropStyle="combo" dx="22" fmlaLink="UserInterface!$E$29" fmlaRange="UserInterface!$E$15:$E$28" sel="5" val="0"/>
</file>

<file path=xl/ctrlProps/ctrlProp22.xml><?xml version="1.0" encoding="utf-8"?>
<formControlPr xmlns="http://schemas.microsoft.com/office/spreadsheetml/2009/9/main" objectType="Drop" dropLines="14" dropStyle="combo" dx="22" fmlaLink="UserInterface!$E$29" fmlaRange="UserInterface!$E$15:$E$28" sel="5" val="0"/>
</file>

<file path=xl/ctrlProps/ctrlProp23.xml><?xml version="1.0" encoding="utf-8"?>
<formControlPr xmlns="http://schemas.microsoft.com/office/spreadsheetml/2009/9/main" objectType="Drop" dropLines="14" dropStyle="combo" dx="22" fmlaLink="UserInterface!$E$29" fmlaRange="UserInterface!$E$15:$E$28" sel="5" val="0"/>
</file>

<file path=xl/ctrlProps/ctrlProp24.xml><?xml version="1.0" encoding="utf-8"?>
<formControlPr xmlns="http://schemas.microsoft.com/office/spreadsheetml/2009/9/main" objectType="Drop" dropLines="14" dropStyle="combo" dx="22" fmlaLink="UserInterface!$E$29" fmlaRange="UserInterface!$E$15:$E$28" sel="5" val="0"/>
</file>

<file path=xl/ctrlProps/ctrlProp25.xml><?xml version="1.0" encoding="utf-8"?>
<formControlPr xmlns="http://schemas.microsoft.com/office/spreadsheetml/2009/9/main" objectType="Drop" dropLines="14" dropStyle="combo" dx="22" fmlaLink="UserInterface!$E$29" fmlaRange="UserInterface!$E$15:$E$28" sel="5" val="0"/>
</file>

<file path=xl/ctrlProps/ctrlProp26.xml><?xml version="1.0" encoding="utf-8"?>
<formControlPr xmlns="http://schemas.microsoft.com/office/spreadsheetml/2009/9/main" objectType="Drop" dropLines="14" dropStyle="combo" dx="22" fmlaLink="UserInterface!$E$29" fmlaRange="UserInterface!$E$15:$E$28" sel="5" val="0"/>
</file>

<file path=xl/ctrlProps/ctrlProp27.xml><?xml version="1.0" encoding="utf-8"?>
<formControlPr xmlns="http://schemas.microsoft.com/office/spreadsheetml/2009/9/main" objectType="Drop" dropLines="14" dropStyle="combo" dx="22" fmlaLink="UserInterface!$E$29" fmlaRange="UserInterface!$E$15:$E$28" sel="5" val="0"/>
</file>

<file path=xl/ctrlProps/ctrlProp28.xml><?xml version="1.0" encoding="utf-8"?>
<formControlPr xmlns="http://schemas.microsoft.com/office/spreadsheetml/2009/9/main" objectType="Drop" dropLines="14" dropStyle="combo" dx="22" fmlaLink="UserInterface!$E$29" fmlaRange="UserInterface!$E$15:$E$28" sel="5" val="0"/>
</file>

<file path=xl/ctrlProps/ctrlProp3.xml><?xml version="1.0" encoding="utf-8"?>
<formControlPr xmlns="http://schemas.microsoft.com/office/spreadsheetml/2009/9/main" objectType="Drop" dropLines="14" dropStyle="combo" dx="22" fmlaLink="UserInterface!$E$29" fmlaRange="UserInterface!$E$15:$E$28" sel="5" val="0"/>
</file>

<file path=xl/ctrlProps/ctrlProp4.xml><?xml version="1.0" encoding="utf-8"?>
<formControlPr xmlns="http://schemas.microsoft.com/office/spreadsheetml/2009/9/main" objectType="Drop" dropLines="14" dropStyle="combo" dx="22" fmlaLink="UserInterface!$E$29" fmlaRange="UserInterface!$E$15:$E$28" sel="5" val="0"/>
</file>

<file path=xl/ctrlProps/ctrlProp5.xml><?xml version="1.0" encoding="utf-8"?>
<formControlPr xmlns="http://schemas.microsoft.com/office/spreadsheetml/2009/9/main" objectType="Drop" dropLines="14" dropStyle="combo" dx="22" fmlaLink="UserInterface!$E$29" fmlaRange="UserInterface!$E$15:$E$28" sel="5" val="0"/>
</file>

<file path=xl/ctrlProps/ctrlProp6.xml><?xml version="1.0" encoding="utf-8"?>
<formControlPr xmlns="http://schemas.microsoft.com/office/spreadsheetml/2009/9/main" objectType="Drop" dropLines="14" dropStyle="combo" dx="22" fmlaLink="UserInterface!$E$29" fmlaRange="UserInterface!$E$15:$E$28" sel="5" val="0"/>
</file>

<file path=xl/ctrlProps/ctrlProp7.xml><?xml version="1.0" encoding="utf-8"?>
<formControlPr xmlns="http://schemas.microsoft.com/office/spreadsheetml/2009/9/main" objectType="Drop" dropLines="14" dropStyle="combo" dx="22" fmlaLink="UserInterface!$E$29" fmlaRange="UserInterface!$E$15:$E$28" sel="5" val="0"/>
</file>

<file path=xl/ctrlProps/ctrlProp8.xml><?xml version="1.0" encoding="utf-8"?>
<formControlPr xmlns="http://schemas.microsoft.com/office/spreadsheetml/2009/9/main" objectType="Drop" dropLines="14" dropStyle="combo" dx="22" fmlaLink="UserInterface!$E$29" fmlaRange="UserInterface!$E$15:$E$28" sel="5" val="0"/>
</file>

<file path=xl/ctrlProps/ctrlProp9.xml><?xml version="1.0" encoding="utf-8"?>
<formControlPr xmlns="http://schemas.microsoft.com/office/spreadsheetml/2009/9/main" objectType="Drop" dropLines="14" dropStyle="combo" dx="22" fmlaLink="UserInterface!$E$29" fmlaRange="UserInterface!$E$15:$E$28" sel="5"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8</xdr:col>
          <xdr:colOff>0</xdr:colOff>
          <xdr:row>0</xdr:row>
          <xdr:rowOff>161925</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3457575</xdr:colOff>
          <xdr:row>0</xdr:row>
          <xdr:rowOff>47625</xdr:rowOff>
        </xdr:from>
        <xdr:to>
          <xdr:col>4</xdr:col>
          <xdr:colOff>4391025</xdr:colOff>
          <xdr:row>0</xdr:row>
          <xdr:rowOff>180975</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1</xdr:row>
          <xdr:rowOff>24093</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9525</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180975</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161925</xdr:colOff>
          <xdr:row>0</xdr:row>
          <xdr:rowOff>161925</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4" sqref="G4"/>
    </sheetView>
  </sheetViews>
  <sheetFormatPr defaultColWidth="0" defaultRowHeight="12.75" zeroHeight="1"/>
  <cols>
    <col min="1" max="4" width="1.5" customWidth="1"/>
    <col min="5" max="5" width="24.5" customWidth="1"/>
    <col min="6" max="6" width="2.5" customWidth="1"/>
    <col min="7" max="7" width="47" customWidth="1"/>
    <col min="8" max="8" width="2.375" customWidth="1"/>
    <col min="9" max="9" width="22.375" customWidth="1"/>
    <col min="10" max="10" width="2.75" customWidth="1"/>
    <col min="11" max="11" width="66" customWidth="1"/>
    <col min="12" max="12" width="1.75" customWidth="1"/>
    <col min="13" max="46" width="9.625" hidden="1" customWidth="1"/>
    <col min="47" max="47" width="3" hidden="1" customWidth="1"/>
  </cols>
  <sheetData>
    <row r="1" spans="1:12" ht="40.9" customHeight="1">
      <c r="A1" s="150"/>
      <c r="B1" s="150"/>
      <c r="C1" s="150"/>
      <c r="D1" s="150"/>
      <c r="E1" s="150"/>
      <c r="F1" s="150"/>
      <c r="G1" s="150"/>
      <c r="H1" s="150"/>
      <c r="I1" s="150"/>
      <c r="J1" s="150"/>
      <c r="K1" s="150"/>
      <c r="L1" s="150"/>
    </row>
    <row r="2" spans="1:12" ht="24.75">
      <c r="A2" s="156" t="s">
        <v>0</v>
      </c>
      <c r="B2" s="151"/>
      <c r="C2" s="151"/>
      <c r="D2" s="151"/>
      <c r="E2" s="151"/>
      <c r="F2" s="158"/>
      <c r="G2" s="158"/>
      <c r="H2" s="181"/>
      <c r="I2" s="181"/>
      <c r="J2" s="196"/>
      <c r="K2" s="196"/>
      <c r="L2" s="196"/>
    </row>
    <row r="3" spans="1:12" ht="19.5">
      <c r="A3" s="152"/>
      <c r="B3" s="152" t="s">
        <v>1</v>
      </c>
      <c r="C3" s="151"/>
      <c r="D3" s="151"/>
      <c r="E3" s="151"/>
      <c r="F3" s="158"/>
      <c r="G3" s="158"/>
      <c r="H3" s="181"/>
      <c r="I3" s="181"/>
      <c r="J3" s="181"/>
      <c r="K3" s="181"/>
      <c r="L3" s="181"/>
    </row>
    <row r="4" spans="1:12" ht="15">
      <c r="A4" s="151"/>
      <c r="B4" s="151"/>
      <c r="C4" s="153" t="s">
        <v>2</v>
      </c>
      <c r="D4" s="153"/>
      <c r="E4" s="153"/>
      <c r="F4" s="154"/>
      <c r="G4" s="158" t="str">
        <f ca="1">MID(CELL("filename"),SEARCH("[",CELL("filename"))+1,SEARCH("]",CELL("filename"))-SEARCH("[",CELL("filename"))-1)</f>
        <v>ED2 PCFM SWEST 20251223.xlsx</v>
      </c>
      <c r="H4" s="179"/>
      <c r="I4" s="179"/>
      <c r="J4" s="172"/>
      <c r="K4" s="172"/>
      <c r="L4" s="172"/>
    </row>
    <row r="5" spans="1:12" ht="15">
      <c r="A5" s="151"/>
      <c r="B5" s="151"/>
      <c r="C5" s="153" t="s">
        <v>3</v>
      </c>
      <c r="D5" s="155"/>
      <c r="E5" s="155"/>
      <c r="F5" s="155"/>
      <c r="G5" s="551">
        <v>46014</v>
      </c>
      <c r="H5" s="158"/>
      <c r="I5" s="169"/>
      <c r="J5" s="158"/>
      <c r="K5" s="168"/>
      <c r="L5" s="168"/>
    </row>
    <row r="6" spans="1:12" ht="15">
      <c r="A6" s="2"/>
      <c r="B6" s="2"/>
      <c r="C6" s="2"/>
      <c r="D6" s="2"/>
      <c r="E6" s="2"/>
      <c r="F6" s="2"/>
      <c r="G6" s="2"/>
      <c r="H6" s="2"/>
      <c r="I6" s="2"/>
      <c r="J6" s="2"/>
      <c r="K6" s="2"/>
      <c r="L6" s="2"/>
    </row>
    <row r="7" spans="1:12" ht="15">
      <c r="A7" s="159"/>
      <c r="B7" s="37" t="s">
        <v>4</v>
      </c>
      <c r="C7" s="37"/>
      <c r="D7" s="37"/>
      <c r="E7" s="37"/>
      <c r="F7" s="37"/>
      <c r="G7" s="37"/>
      <c r="H7" s="37"/>
      <c r="I7" s="37"/>
      <c r="J7" s="37"/>
      <c r="K7" s="37"/>
    </row>
    <row r="8" spans="1:12" ht="15">
      <c r="A8" s="159"/>
      <c r="B8" s="159"/>
      <c r="C8" s="159"/>
      <c r="D8" s="159"/>
      <c r="E8" s="21"/>
      <c r="F8" s="159"/>
      <c r="G8" s="160"/>
      <c r="H8" s="159"/>
      <c r="I8" s="159"/>
      <c r="J8" s="159"/>
      <c r="K8" s="159"/>
    </row>
    <row r="9" spans="1:12" ht="15">
      <c r="A9" s="159"/>
      <c r="B9" s="159"/>
      <c r="C9" s="159"/>
      <c r="D9" s="159"/>
      <c r="E9" s="160" t="s">
        <v>5</v>
      </c>
      <c r="F9" s="159"/>
      <c r="G9" s="160" t="s">
        <v>6</v>
      </c>
      <c r="H9" s="159"/>
      <c r="I9" s="172" t="s">
        <v>5</v>
      </c>
      <c r="J9" s="159"/>
      <c r="K9" s="159" t="s">
        <v>7</v>
      </c>
    </row>
    <row r="10" spans="1:12" ht="15">
      <c r="A10" s="159"/>
      <c r="B10" s="159"/>
      <c r="C10" s="159"/>
      <c r="D10" s="159"/>
      <c r="E10" s="8" t="s">
        <v>5</v>
      </c>
      <c r="F10" s="159"/>
      <c r="G10" s="160" t="s">
        <v>8</v>
      </c>
      <c r="H10" s="159"/>
      <c r="I10" s="175" t="s">
        <v>5</v>
      </c>
      <c r="J10" s="159"/>
      <c r="K10" s="159" t="s">
        <v>9</v>
      </c>
    </row>
    <row r="11" spans="1:12" ht="15.75" thickBot="1">
      <c r="A11" s="159"/>
      <c r="B11" s="159"/>
      <c r="C11" s="159"/>
      <c r="D11" s="159"/>
      <c r="E11" s="30" t="s">
        <v>5</v>
      </c>
      <c r="F11" s="159"/>
      <c r="G11" s="160" t="s">
        <v>10</v>
      </c>
      <c r="H11" s="159"/>
      <c r="I11" s="176" t="s">
        <v>5</v>
      </c>
      <c r="J11" s="159"/>
      <c r="K11" s="159" t="s">
        <v>11</v>
      </c>
    </row>
    <row r="12" spans="1:12" ht="15.75" thickBot="1">
      <c r="A12" s="159"/>
      <c r="B12" s="159"/>
      <c r="C12" s="159"/>
      <c r="D12" s="159"/>
      <c r="E12" s="161" t="s">
        <v>5</v>
      </c>
      <c r="F12" s="159"/>
      <c r="G12" s="160" t="s">
        <v>12</v>
      </c>
      <c r="H12" s="159"/>
      <c r="I12" s="177" t="s">
        <v>5</v>
      </c>
      <c r="J12" s="159"/>
      <c r="K12" s="159" t="s">
        <v>13</v>
      </c>
    </row>
    <row r="13" spans="1:12" ht="15">
      <c r="A13" s="159"/>
      <c r="B13" s="159"/>
      <c r="C13" s="159"/>
      <c r="D13" s="159"/>
      <c r="E13" s="159" t="s">
        <v>5</v>
      </c>
      <c r="F13" s="159"/>
      <c r="G13" s="159" t="s">
        <v>14</v>
      </c>
      <c r="H13" s="159"/>
      <c r="I13" s="178" t="s">
        <v>5</v>
      </c>
      <c r="J13" s="159"/>
      <c r="K13" s="159" t="s">
        <v>15</v>
      </c>
    </row>
    <row r="14" spans="1:12" ht="15">
      <c r="A14" s="159"/>
      <c r="B14" s="159"/>
      <c r="C14" s="159"/>
      <c r="D14" s="159"/>
      <c r="E14" s="159"/>
      <c r="F14" s="159"/>
      <c r="G14" s="159"/>
      <c r="H14" s="159"/>
      <c r="I14" s="12" t="s">
        <v>5</v>
      </c>
      <c r="J14" s="159"/>
      <c r="K14" s="159" t="s">
        <v>16</v>
      </c>
    </row>
    <row r="15" spans="1:12" ht="15">
      <c r="A15" s="159"/>
      <c r="B15" s="159"/>
      <c r="C15" s="159"/>
      <c r="D15" s="159"/>
      <c r="E15" s="159"/>
      <c r="F15" s="159"/>
      <c r="G15" s="159"/>
      <c r="H15" s="159"/>
      <c r="I15" s="174" t="s">
        <v>5</v>
      </c>
      <c r="J15" s="159"/>
      <c r="K15" s="159" t="s">
        <v>17</v>
      </c>
    </row>
    <row r="16" spans="1:12" ht="15">
      <c r="A16" s="159"/>
      <c r="B16" s="159"/>
      <c r="C16" s="159"/>
      <c r="D16" s="159"/>
      <c r="E16" s="159"/>
      <c r="F16" s="159"/>
      <c r="G16" s="159"/>
      <c r="H16" s="159"/>
      <c r="I16" s="292" t="s">
        <v>5</v>
      </c>
      <c r="J16" s="159"/>
      <c r="K16" s="159" t="s">
        <v>18</v>
      </c>
    </row>
    <row r="17" spans="1:11" ht="15">
      <c r="A17" s="159"/>
      <c r="B17" s="159"/>
      <c r="C17" s="159"/>
      <c r="D17" s="159"/>
      <c r="E17" s="159"/>
      <c r="F17" s="159"/>
      <c r="G17" s="159"/>
      <c r="H17" s="159"/>
    </row>
    <row r="18" spans="1:11" ht="15">
      <c r="A18" s="159"/>
      <c r="B18" s="159"/>
      <c r="C18" s="159"/>
      <c r="D18" s="159"/>
      <c r="E18" s="159"/>
      <c r="F18" s="159"/>
      <c r="G18" s="159"/>
      <c r="H18" s="159"/>
      <c r="I18" s="159"/>
      <c r="J18" s="159"/>
      <c r="K18" s="159"/>
    </row>
    <row r="19" spans="1:11" ht="15">
      <c r="A19" s="159"/>
      <c r="B19" s="37" t="s">
        <v>19</v>
      </c>
      <c r="C19" s="37"/>
      <c r="D19" s="37"/>
      <c r="E19" s="37"/>
      <c r="F19" s="37"/>
      <c r="G19" s="37"/>
      <c r="H19" s="37"/>
      <c r="I19" s="37"/>
      <c r="J19" s="37"/>
      <c r="K19" s="37"/>
    </row>
    <row r="20" spans="1:11" ht="15">
      <c r="A20" s="159"/>
      <c r="B20" s="159"/>
      <c r="C20" s="159"/>
      <c r="D20" s="159"/>
      <c r="E20" s="21"/>
      <c r="F20" s="159"/>
      <c r="G20" s="160"/>
      <c r="H20" s="159"/>
      <c r="I20" s="159"/>
      <c r="J20" s="159"/>
      <c r="K20" s="159"/>
    </row>
    <row r="21" spans="1:11" ht="15.75" thickBot="1">
      <c r="A21" s="159"/>
      <c r="B21" s="159"/>
      <c r="C21" s="159"/>
      <c r="D21" s="159"/>
      <c r="E21" s="159" t="s">
        <v>20</v>
      </c>
      <c r="F21" s="159"/>
      <c r="G21" s="159"/>
      <c r="H21" s="159"/>
      <c r="I21" s="159" t="s">
        <v>21</v>
      </c>
      <c r="J21" s="159"/>
      <c r="K21" s="160"/>
    </row>
    <row r="22" spans="1:11" ht="16.5" thickTop="1" thickBot="1">
      <c r="A22" s="159"/>
      <c r="B22" s="159"/>
      <c r="C22" s="159"/>
      <c r="D22" s="159"/>
      <c r="E22" s="162" t="s">
        <v>22</v>
      </c>
      <c r="F22" s="173"/>
      <c r="G22" s="163" t="s">
        <v>23</v>
      </c>
      <c r="H22" s="159"/>
      <c r="I22" s="162" t="s">
        <v>24</v>
      </c>
      <c r="J22" s="167"/>
      <c r="K22" s="163"/>
    </row>
    <row r="23" spans="1:11" ht="16.5" thickTop="1" thickBot="1">
      <c r="A23" s="159"/>
      <c r="B23" s="159"/>
      <c r="C23" s="159"/>
      <c r="D23" s="159"/>
      <c r="E23" s="162" t="s">
        <v>25</v>
      </c>
      <c r="F23" s="173"/>
      <c r="G23" s="163" t="s">
        <v>26</v>
      </c>
      <c r="H23" s="159"/>
      <c r="I23" s="162" t="s">
        <v>27</v>
      </c>
      <c r="J23" s="167"/>
      <c r="K23" s="163"/>
    </row>
    <row r="24" spans="1:11" ht="16.5" thickTop="1" thickBot="1">
      <c r="A24" s="159"/>
      <c r="B24" s="159"/>
      <c r="C24" s="159"/>
      <c r="D24" s="159"/>
      <c r="E24" s="162" t="s">
        <v>28</v>
      </c>
      <c r="F24" s="173"/>
      <c r="G24" s="163" t="s">
        <v>29</v>
      </c>
      <c r="H24" s="159"/>
      <c r="I24" s="162" t="s">
        <v>30</v>
      </c>
      <c r="J24" s="167"/>
      <c r="K24" s="163"/>
    </row>
    <row r="25" spans="1:11" ht="16.5" thickTop="1" thickBot="1">
      <c r="A25" s="159"/>
      <c r="B25" s="159"/>
      <c r="C25" s="159"/>
      <c r="D25" s="159"/>
      <c r="E25" s="164"/>
      <c r="F25" s="164"/>
      <c r="G25" s="163"/>
      <c r="H25" s="159"/>
      <c r="I25" s="162" t="s">
        <v>31</v>
      </c>
      <c r="J25" s="167"/>
      <c r="K25" s="163"/>
    </row>
    <row r="26" spans="1:11" ht="16.5" thickTop="1" thickBot="1">
      <c r="A26" s="159"/>
      <c r="B26" s="159"/>
      <c r="C26" s="159"/>
      <c r="D26" s="159"/>
      <c r="E26" s="159" t="s">
        <v>32</v>
      </c>
      <c r="F26" s="159"/>
      <c r="G26" s="160"/>
      <c r="H26" s="159"/>
      <c r="I26" s="162" t="s">
        <v>33</v>
      </c>
      <c r="J26" s="167"/>
      <c r="K26" s="163"/>
    </row>
    <row r="27" spans="1:11" ht="16.5" thickTop="1" thickBot="1">
      <c r="A27" s="159"/>
      <c r="B27" s="159"/>
      <c r="C27" s="159"/>
      <c r="D27" s="159"/>
      <c r="E27" s="162" t="s">
        <v>10</v>
      </c>
      <c r="F27" s="167"/>
      <c r="G27" s="163" t="s">
        <v>34</v>
      </c>
      <c r="H27" s="159"/>
      <c r="I27" s="162" t="s">
        <v>35</v>
      </c>
      <c r="J27" s="167"/>
      <c r="K27" s="163"/>
    </row>
    <row r="28" spans="1:11" ht="16.5" thickTop="1" thickBot="1">
      <c r="A28" s="159"/>
      <c r="B28" s="159"/>
      <c r="C28" s="159"/>
      <c r="D28" s="159"/>
      <c r="E28" s="162" t="s">
        <v>36</v>
      </c>
      <c r="F28" s="167"/>
      <c r="G28" s="163" t="s">
        <v>37</v>
      </c>
      <c r="H28" s="159"/>
      <c r="I28" s="162" t="s">
        <v>38</v>
      </c>
      <c r="J28" s="167"/>
      <c r="K28" s="163"/>
    </row>
    <row r="29" spans="1:11" ht="16.5" thickTop="1" thickBot="1">
      <c r="A29" s="159"/>
      <c r="B29" s="159"/>
      <c r="C29" s="159"/>
      <c r="D29" s="159"/>
      <c r="E29" s="162" t="s">
        <v>39</v>
      </c>
      <c r="F29" s="167"/>
      <c r="G29" s="163" t="s">
        <v>40</v>
      </c>
      <c r="H29" s="159"/>
      <c r="I29" s="162" t="s">
        <v>41</v>
      </c>
      <c r="J29" s="167"/>
      <c r="K29" s="163"/>
    </row>
    <row r="30" spans="1:11" ht="16.5" thickTop="1" thickBot="1">
      <c r="A30" s="159"/>
      <c r="B30" s="159"/>
      <c r="C30" s="159"/>
      <c r="D30" s="159"/>
      <c r="E30" s="159"/>
      <c r="F30" s="159"/>
      <c r="G30" s="160"/>
      <c r="H30" s="159"/>
      <c r="I30" s="162" t="s">
        <v>42</v>
      </c>
      <c r="J30" s="167"/>
      <c r="K30" s="163"/>
    </row>
    <row r="31" spans="1:11" ht="16.5" thickTop="1" thickBot="1">
      <c r="E31" s="159" t="s">
        <v>43</v>
      </c>
      <c r="F31" s="159"/>
      <c r="G31" s="159"/>
      <c r="I31" s="162" t="s">
        <v>44</v>
      </c>
      <c r="J31" s="167"/>
      <c r="K31" s="159"/>
    </row>
    <row r="32" spans="1:11" ht="16.5" thickTop="1" thickBot="1">
      <c r="E32" s="162" t="s">
        <v>45</v>
      </c>
      <c r="F32" s="332"/>
      <c r="G32" s="163" t="s">
        <v>46</v>
      </c>
      <c r="I32" s="162" t="s">
        <v>47</v>
      </c>
      <c r="J32" s="167"/>
      <c r="K32" s="159"/>
    </row>
    <row r="33" spans="1:11" ht="16.5" thickTop="1" thickBot="1">
      <c r="A33" s="159"/>
      <c r="B33" s="159"/>
      <c r="C33" s="159"/>
      <c r="D33" s="159"/>
      <c r="E33" s="162" t="s">
        <v>48</v>
      </c>
      <c r="F33" s="332"/>
      <c r="G33" s="163" t="s">
        <v>49</v>
      </c>
      <c r="H33" s="159"/>
      <c r="I33" s="162" t="s">
        <v>50</v>
      </c>
      <c r="J33" s="167"/>
      <c r="K33" s="159"/>
    </row>
    <row r="34" spans="1:11" ht="16.5" thickTop="1" thickBot="1">
      <c r="A34" s="159"/>
      <c r="B34" s="159"/>
      <c r="C34" s="159"/>
      <c r="D34" s="159"/>
      <c r="E34" s="162" t="s">
        <v>51</v>
      </c>
      <c r="F34" s="332"/>
      <c r="G34" s="163" t="s">
        <v>52</v>
      </c>
      <c r="H34" s="159"/>
      <c r="I34" s="162" t="s">
        <v>53</v>
      </c>
      <c r="J34" s="167"/>
      <c r="K34" s="159"/>
    </row>
    <row r="35" spans="1:11" ht="16.5" thickTop="1" thickBot="1">
      <c r="A35" s="159"/>
      <c r="B35" s="159"/>
      <c r="C35" s="159"/>
      <c r="D35" s="159"/>
      <c r="E35" s="162" t="s">
        <v>54</v>
      </c>
      <c r="F35" s="332"/>
      <c r="G35" s="159" t="s">
        <v>55</v>
      </c>
      <c r="H35" s="159"/>
      <c r="I35" s="162" t="s">
        <v>56</v>
      </c>
      <c r="J35" s="167"/>
      <c r="K35" s="159"/>
    </row>
    <row r="36" spans="1:11" ht="15.75" thickBot="1">
      <c r="A36" s="159"/>
      <c r="B36" s="159"/>
      <c r="C36" s="159"/>
      <c r="D36" s="159"/>
      <c r="E36" s="162" t="s">
        <v>57</v>
      </c>
      <c r="F36" s="332"/>
      <c r="G36" s="163" t="s">
        <v>58</v>
      </c>
      <c r="H36" s="159"/>
      <c r="K36" s="159"/>
    </row>
    <row r="37" spans="1:11" ht="15.75" thickBot="1">
      <c r="A37" s="159"/>
      <c r="B37" s="159"/>
      <c r="C37" s="159"/>
      <c r="D37" s="159"/>
      <c r="E37" s="162" t="s">
        <v>59</v>
      </c>
      <c r="F37" s="332"/>
      <c r="G37" s="163" t="s">
        <v>60</v>
      </c>
      <c r="H37" s="159"/>
    </row>
    <row r="38" spans="1:11" ht="15.75" thickBot="1">
      <c r="A38" s="159"/>
      <c r="B38" s="159"/>
      <c r="C38" s="159"/>
      <c r="D38" s="159"/>
      <c r="E38" s="162" t="s">
        <v>61</v>
      </c>
      <c r="F38" s="332"/>
      <c r="G38" s="163" t="s">
        <v>62</v>
      </c>
      <c r="H38" s="159"/>
    </row>
    <row r="39" spans="1:11" ht="15.75" thickBot="1">
      <c r="A39" s="159"/>
      <c r="B39" s="159"/>
      <c r="C39" s="159"/>
      <c r="D39" s="159"/>
      <c r="E39" s="162" t="s">
        <v>63</v>
      </c>
      <c r="F39" s="332"/>
      <c r="G39" s="163" t="s">
        <v>64</v>
      </c>
      <c r="H39" s="159"/>
    </row>
    <row r="40" spans="1:11" ht="15.75" thickBot="1">
      <c r="A40" s="159"/>
      <c r="B40" s="159"/>
      <c r="C40" s="159"/>
      <c r="D40" s="159"/>
      <c r="E40" s="162" t="s">
        <v>65</v>
      </c>
      <c r="F40" s="332"/>
      <c r="G40" s="163" t="s">
        <v>66</v>
      </c>
      <c r="H40" s="159"/>
      <c r="I40" s="164"/>
      <c r="J40" s="159"/>
      <c r="K40" s="159"/>
    </row>
    <row r="41" spans="1:11" ht="15">
      <c r="A41" s="159"/>
      <c r="B41" s="159"/>
      <c r="C41" s="159"/>
      <c r="D41" s="159"/>
      <c r="H41" s="159"/>
    </row>
    <row r="42" spans="1:11" ht="15.75" thickBot="1">
      <c r="A42" s="159"/>
      <c r="B42" s="159"/>
      <c r="C42" s="159"/>
      <c r="D42" s="159"/>
      <c r="E42" s="159" t="s">
        <v>67</v>
      </c>
      <c r="F42" s="159"/>
      <c r="G42" s="159"/>
      <c r="H42" s="159"/>
    </row>
    <row r="43" spans="1:11" ht="16.5" thickTop="1" thickBot="1">
      <c r="A43" s="159"/>
      <c r="B43" s="159"/>
      <c r="C43" s="159"/>
      <c r="D43" s="159"/>
      <c r="E43" s="164" t="s">
        <v>68</v>
      </c>
      <c r="F43" s="167"/>
      <c r="G43" s="159" t="s">
        <v>69</v>
      </c>
      <c r="H43" s="159"/>
    </row>
    <row r="44" spans="1:11" ht="16.5" thickTop="1" thickBot="1">
      <c r="A44" s="159"/>
      <c r="B44" s="159"/>
      <c r="C44" s="159"/>
      <c r="D44" s="159"/>
      <c r="E44" s="164" t="s">
        <v>70</v>
      </c>
      <c r="F44" s="167"/>
      <c r="G44" s="159" t="s">
        <v>71</v>
      </c>
      <c r="H44" s="159"/>
    </row>
    <row r="45" spans="1:11" ht="15.75" thickTop="1">
      <c r="A45" s="159"/>
      <c r="B45" s="159"/>
      <c r="C45" s="159"/>
      <c r="D45" s="159"/>
      <c r="H45" s="159"/>
    </row>
    <row r="46" spans="1:11" ht="15.75" thickBot="1">
      <c r="A46" s="159"/>
      <c r="B46" s="159"/>
      <c r="C46" s="159"/>
      <c r="D46" s="159"/>
      <c r="E46" s="159" t="s">
        <v>72</v>
      </c>
      <c r="F46" s="2"/>
      <c r="G46" s="2"/>
      <c r="H46" s="2"/>
    </row>
    <row r="47" spans="1:11" ht="15.75" thickBot="1">
      <c r="A47" s="159"/>
      <c r="B47" s="159"/>
      <c r="C47" s="159"/>
      <c r="D47" s="159"/>
      <c r="E47" s="164" t="s">
        <v>73</v>
      </c>
      <c r="F47" s="173"/>
      <c r="G47" s="163" t="s">
        <v>74</v>
      </c>
      <c r="H47" s="2"/>
    </row>
    <row r="48" spans="1:11" ht="15">
      <c r="A48" s="159"/>
      <c r="B48" s="159"/>
      <c r="C48" s="159"/>
      <c r="D48" s="159"/>
      <c r="H48" s="2"/>
    </row>
    <row r="49" spans="1:12" ht="15">
      <c r="A49" s="159"/>
      <c r="B49" s="159"/>
      <c r="C49" s="159"/>
      <c r="D49" s="159"/>
      <c r="H49" s="2"/>
      <c r="I49" s="164"/>
      <c r="J49" s="159"/>
      <c r="K49" s="163"/>
      <c r="L49" s="2"/>
    </row>
    <row r="50" spans="1:12" ht="15">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16384" width="9" hidden="1"/>
  </cols>
  <sheetData>
    <row r="1" spans="1:49" s="82" customFormat="1" ht="19.5">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5">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5">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5">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5">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5">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5">
      <c r="I14" s="182"/>
      <c r="AQ14" s="147"/>
    </row>
    <row r="15" spans="1:49" s="82" customFormat="1" ht="15">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1.321792585589326</v>
      </c>
      <c r="AT15" s="92">
        <f>InputSummary!AT$194</f>
        <v>1.3743827621199309</v>
      </c>
      <c r="AU15" s="92">
        <f>InputSummary!AU$194</f>
        <v>1.4066722012363251</v>
      </c>
      <c r="AV15" s="92">
        <f>InputSummary!AV$194</f>
        <v>1.4352422149476913</v>
      </c>
    </row>
    <row r="16" spans="1:49" s="82" customFormat="1"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5">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5">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5">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5">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5">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37.874190157729338</v>
      </c>
      <c r="AS22" s="8">
        <f>Totex!AS75</f>
        <v>37.413012091311984</v>
      </c>
      <c r="AT22" s="8">
        <f>Totex!AT75</f>
        <v>49.332991213036536</v>
      </c>
      <c r="AU22" s="8">
        <f>Totex!AU75</f>
        <v>71.808592722759187</v>
      </c>
      <c r="AV22" s="8">
        <f>Totex!AV75</f>
        <v>68.784121906187266</v>
      </c>
      <c r="AW22" s="2"/>
    </row>
    <row r="23" spans="1:49" s="82" customFormat="1" ht="15">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74.238659134620818</v>
      </c>
      <c r="AS23" s="8">
        <f>Totex!AS76</f>
        <v>86.644833515008841</v>
      </c>
      <c r="AT23" s="8">
        <f>Totex!AT76</f>
        <v>91.872929988231377</v>
      </c>
      <c r="AU23" s="8">
        <f>Totex!AU76</f>
        <v>74.235077977439673</v>
      </c>
      <c r="AV23" s="8">
        <f>Totex!AV76</f>
        <v>56.655704985837922</v>
      </c>
      <c r="AW23" s="2"/>
    </row>
    <row r="24" spans="1:49" s="82" customFormat="1" ht="15">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20.889223485145934</v>
      </c>
      <c r="AS24" s="8">
        <f>Totex!AS77</f>
        <v>25.595601413946603</v>
      </c>
      <c r="AT24" s="8">
        <f>Totex!AT77</f>
        <v>40.815434256768476</v>
      </c>
      <c r="AU24" s="8">
        <f>Totex!AU77</f>
        <v>42.358668781275789</v>
      </c>
      <c r="AV24" s="8">
        <f>Totex!AV77</f>
        <v>35.40775718651296</v>
      </c>
      <c r="AW24" s="2"/>
    </row>
    <row r="25" spans="1:49" s="82" customFormat="1" ht="15">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36.06113658135861</v>
      </c>
      <c r="AS25" s="8">
        <f>Totex!AS78</f>
        <v>34.078615314716693</v>
      </c>
      <c r="AT25" s="8">
        <f>Totex!AT78</f>
        <v>30.69124844900864</v>
      </c>
      <c r="AU25" s="8">
        <f>Totex!AU78</f>
        <v>31.090644296999137</v>
      </c>
      <c r="AV25" s="8">
        <f>Totex!AV78</f>
        <v>31.088531643694072</v>
      </c>
      <c r="AW25" s="2"/>
    </row>
    <row r="26" spans="1:49" s="82" customFormat="1" ht="15">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10.049595231118609</v>
      </c>
      <c r="AS26" s="8">
        <f>Totex!AS79</f>
        <v>8.2284214767958339</v>
      </c>
      <c r="AT26" s="8">
        <f>Totex!AT79</f>
        <v>8.8650134193047538</v>
      </c>
      <c r="AU26" s="8">
        <f>Totex!AU79</f>
        <v>8.08202755824375</v>
      </c>
      <c r="AV26" s="8">
        <f>Totex!AV79</f>
        <v>7.6415943309170267</v>
      </c>
      <c r="AW26" s="2"/>
    </row>
    <row r="27" spans="1:49" s="82" customFormat="1" ht="15">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15.219918426431777</v>
      </c>
      <c r="AS27" s="8">
        <f>Totex!AS80</f>
        <v>16.362155466046204</v>
      </c>
      <c r="AT27" s="8">
        <f>Totex!AT80</f>
        <v>15.925880824661924</v>
      </c>
      <c r="AU27" s="8">
        <f>Totex!AU80</f>
        <v>14.680257351433436</v>
      </c>
      <c r="AV27" s="8">
        <f>Totex!AV80</f>
        <v>14.358105203328142</v>
      </c>
      <c r="AW27" s="2"/>
    </row>
    <row r="28" spans="1:49" s="82" customFormat="1" ht="15">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104.96423252195261</v>
      </c>
      <c r="AS28" s="8">
        <f>Totex!AS81</f>
        <v>112.23584096847905</v>
      </c>
      <c r="AT28" s="8">
        <f>Totex!AT81</f>
        <v>105.77422123539085</v>
      </c>
      <c r="AU28" s="8">
        <f>Totex!AU81</f>
        <v>100.34821129516719</v>
      </c>
      <c r="AV28" s="8">
        <f>Totex!AV81</f>
        <v>102.47492181870639</v>
      </c>
      <c r="AW28" s="2"/>
    </row>
    <row r="29" spans="1:49" s="82" customFormat="1" ht="15">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299.29695553835768</v>
      </c>
      <c r="AS29" s="431">
        <f t="shared" si="0"/>
        <v>320.55848024630524</v>
      </c>
      <c r="AT29" s="431">
        <f t="shared" si="0"/>
        <v>343.27771938640257</v>
      </c>
      <c r="AU29" s="431">
        <f t="shared" si="0"/>
        <v>342.6034799833181</v>
      </c>
      <c r="AV29" s="431">
        <f t="shared" si="0"/>
        <v>316.41073707518376</v>
      </c>
      <c r="AW29" s="2"/>
    </row>
    <row r="30" spans="1:49" s="82" customFormat="1" ht="15">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5">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5">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5">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59.571489527466845</v>
      </c>
      <c r="AS33" s="8">
        <f>InputSummary!AS97</f>
        <v>38.642780521034261</v>
      </c>
      <c r="AT33" s="8">
        <f>InputSummary!AT97</f>
        <v>37.74030596737537</v>
      </c>
      <c r="AU33" s="8">
        <f>InputSummary!AU97</f>
        <v>42.330558371102271</v>
      </c>
      <c r="AV33" s="8">
        <f>InputSummary!AV97</f>
        <v>61.956623177858361</v>
      </c>
      <c r="AW33" s="2"/>
    </row>
    <row r="34" spans="1:49" s="82" customFormat="1" ht="15">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0.66928372742610909</v>
      </c>
      <c r="AS34" s="8">
        <f>InputSummary!AS124 * (-1)</f>
        <v>0.22168927832699664</v>
      </c>
      <c r="AT34" s="8">
        <f>InputSummary!AT124 * (-1)</f>
        <v>0</v>
      </c>
      <c r="AU34" s="8">
        <f>InputSummary!AU124 * (-1)</f>
        <v>0</v>
      </c>
      <c r="AV34" s="8">
        <f>InputSummary!AV124 * (-1)</f>
        <v>0</v>
      </c>
      <c r="AW34" s="2"/>
    </row>
    <row r="35" spans="1:49" s="82" customFormat="1" ht="15">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5">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5">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5">
      <c r="E38" s="82" t="s">
        <v>947</v>
      </c>
      <c r="G38" s="7" t="s">
        <v>206</v>
      </c>
      <c r="AJ38" s="193"/>
      <c r="AK38" s="193"/>
      <c r="AL38" s="193"/>
      <c r="AM38" s="193"/>
      <c r="AN38" s="193"/>
      <c r="AO38" s="193"/>
      <c r="AP38" s="193"/>
      <c r="AQ38" s="187"/>
      <c r="AR38" s="49">
        <f>SUMPRODUCT(AR$22:AR$28,InputSummary!AR435:AR441)/SUM(Totex!AR$75:AR$81)</f>
        <v>7.5587954088845277E-2</v>
      </c>
      <c r="AS38" s="49">
        <f>SUMPRODUCT(AS$22:AS$28,InputSummary!AS435:AS441)/SUM(Totex!AS$75:AS$81)</f>
        <v>8.4095068426974076E-2</v>
      </c>
      <c r="AT38" s="49">
        <f>SUMPRODUCT(AT$22:AT$28,InputSummary!AT435:AT441)/SUM(Totex!AT$75:AT$81)</f>
        <v>0.12168200387369942</v>
      </c>
      <c r="AU38" s="49">
        <f>SUMPRODUCT(AU$22:AU$28,InputSummary!AU435:AU441)/SUM(Totex!AU$75:AU$81)</f>
        <v>0.1263951266495347</v>
      </c>
      <c r="AV38" s="49">
        <f>SUMPRODUCT(AV$22:AV$28,InputSummary!AV435:AV441)/SUM(Totex!AV$75:AV$81)</f>
        <v>0.11657869428563482</v>
      </c>
    </row>
    <row r="39" spans="1:49" s="82" customFormat="1" ht="15">
      <c r="E39" s="82" t="s">
        <v>948</v>
      </c>
      <c r="G39" s="7" t="s">
        <v>206</v>
      </c>
      <c r="AJ39" s="193"/>
      <c r="AK39" s="193"/>
      <c r="AL39" s="193"/>
      <c r="AM39" s="193"/>
      <c r="AN39" s="193"/>
      <c r="AO39" s="193"/>
      <c r="AP39" s="193"/>
      <c r="AQ39" s="187"/>
      <c r="AR39" s="49">
        <f>SUMPRODUCT(AR$22:AR$28,InputSummary!AR442:AR448)/SUM(Totex!AR$75:AR$81)</f>
        <v>0.24796808898175793</v>
      </c>
      <c r="AS39" s="49">
        <f>SUMPRODUCT(AS$22:AS$28,InputSummary!AS442:AS448)/SUM(Totex!AS$75:AS$81)</f>
        <v>0.2527113975856588</v>
      </c>
      <c r="AT39" s="49">
        <f>SUMPRODUCT(AT$22:AT$28,InputSummary!AT442:AT448)/SUM(Totex!AT$75:AT$81)</f>
        <v>0.29675651654326668</v>
      </c>
      <c r="AU39" s="49">
        <f>SUMPRODUCT(AU$22:AU$28,InputSummary!AU442:AU448)/SUM(Totex!AU$75:AU$81)</f>
        <v>0.34118918357906763</v>
      </c>
      <c r="AV39" s="49">
        <f>SUMPRODUCT(AV$22:AV$28,InputSummary!AV442:AV448)/SUM(Totex!AV$75:AV$81)</f>
        <v>0.3405353120561424</v>
      </c>
    </row>
    <row r="40" spans="1:49" s="82" customFormat="1" ht="15">
      <c r="E40" s="82" t="s">
        <v>949</v>
      </c>
      <c r="G40" s="7" t="s">
        <v>206</v>
      </c>
      <c r="AJ40" s="193"/>
      <c r="AK40" s="193"/>
      <c r="AL40" s="193"/>
      <c r="AM40" s="193"/>
      <c r="AN40" s="193"/>
      <c r="AO40" s="193"/>
      <c r="AP40" s="193"/>
      <c r="AQ40" s="187"/>
      <c r="AR40" s="49">
        <f>SUMPRODUCT(AR$22:AR$28,InputSummary!AR449:AR455)/SUM(Totex!AR$75:AR$81)</f>
        <v>0.39500020754387738</v>
      </c>
      <c r="AS40" s="49">
        <f>SUMPRODUCT(AS$22:AS$28,InputSummary!AS449:AS455)/SUM(Totex!AS$75:AS$81)</f>
        <v>0.39850030697310024</v>
      </c>
      <c r="AT40" s="49">
        <f>SUMPRODUCT(AT$22:AT$28,InputSummary!AT449:AT455)/SUM(Totex!AT$75:AT$81)</f>
        <v>0.34798673610433756</v>
      </c>
      <c r="AU40" s="49">
        <f>SUMPRODUCT(AU$22:AU$28,InputSummary!AU449:AU455)/SUM(Totex!AU$75:AU$81)</f>
        <v>0.311872257825972</v>
      </c>
      <c r="AV40" s="49">
        <f>SUMPRODUCT(AV$22:AV$28,InputSummary!AV449:AV455)/SUM(Totex!AV$75:AV$81)</f>
        <v>0.30488369485376215</v>
      </c>
    </row>
    <row r="41" spans="1:49" s="82" customFormat="1" ht="15">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0</v>
      </c>
      <c r="AT41" s="49">
        <f>SUMPRODUCT(AT$22:AT$28,InputSummary!AT456:AT462)/SUM(Totex!AT$75:AT$81)</f>
        <v>1.8662340502772223E-3</v>
      </c>
      <c r="AU41" s="49">
        <f>SUMPRODUCT(AU$22:AU$28,InputSummary!AU456:AU462)/SUM(Totex!AU$75:AU$81)</f>
        <v>1.5889904535450439E-3</v>
      </c>
      <c r="AV41" s="49">
        <f>SUMPRODUCT(AV$22:AV$28,InputSummary!AV456:AV462)/SUM(Totex!AV$75:AV$81)</f>
        <v>1.3473202021687572E-3</v>
      </c>
    </row>
    <row r="42" spans="1:49" s="82" customFormat="1" ht="15">
      <c r="E42" s="82" t="s">
        <v>951</v>
      </c>
      <c r="G42" s="7" t="s">
        <v>206</v>
      </c>
      <c r="AJ42" s="193"/>
      <c r="AK42" s="193"/>
      <c r="AL42" s="193"/>
      <c r="AM42" s="193"/>
      <c r="AN42" s="193"/>
      <c r="AO42" s="193"/>
      <c r="AP42" s="193"/>
      <c r="AQ42" s="187"/>
      <c r="AR42" s="49">
        <f>SUMPRODUCT(AR$22:AR$28,InputSummary!AR463:AR469)/SUM(Totex!AR$75:AR$81)</f>
        <v>0.26884824626468867</v>
      </c>
      <c r="AS42" s="49">
        <f>SUMPRODUCT(AS$22:AS$28,InputSummary!AS463:AS469)/SUM(Totex!AS$75:AS$81)</f>
        <v>0.25538527534623823</v>
      </c>
      <c r="AT42" s="49">
        <f>SUMPRODUCT(AT$22:AT$28,InputSummary!AT463:AT469)/SUM(Totex!AT$75:AT$81)</f>
        <v>0.22666487564171126</v>
      </c>
      <c r="AU42" s="49">
        <f>SUMPRODUCT(AU$22:AU$28,InputSummary!AU463:AU469)/SUM(Totex!AU$75:AU$81)</f>
        <v>0.214403621151073</v>
      </c>
      <c r="AV42" s="49">
        <f>SUMPRODUCT(AV$22:AV$28,InputSummary!AV463:AV469)/SUM(Totex!AV$75:AV$81)</f>
        <v>0.23271963568144302</v>
      </c>
    </row>
    <row r="43" spans="1:49" s="82" customFormat="1" ht="15">
      <c r="E43" s="82" t="s">
        <v>952</v>
      </c>
      <c r="G43" s="7" t="s">
        <v>206</v>
      </c>
      <c r="AJ43" s="193"/>
      <c r="AK43" s="193"/>
      <c r="AL43" s="193"/>
      <c r="AM43" s="193"/>
      <c r="AN43" s="193"/>
      <c r="AO43" s="193"/>
      <c r="AP43" s="193"/>
      <c r="AQ43" s="187"/>
      <c r="AR43" s="49">
        <f>SUMPRODUCT(AR$22:AR$28,InputSummary!AR470:AR476)/SUM(Totex!AR$75:AR$81)</f>
        <v>1.2595503120830843E-2</v>
      </c>
      <c r="AS43" s="49">
        <f>SUMPRODUCT(AS$22:AS$28,InputSummary!AS470:AS476)/SUM(Totex!AS$75:AS$81)</f>
        <v>9.3079516680286082E-3</v>
      </c>
      <c r="AT43" s="49">
        <f>SUMPRODUCT(AT$22:AT$28,InputSummary!AT470:AT476)/SUM(Totex!AT$75:AT$81)</f>
        <v>5.0436337867080143E-3</v>
      </c>
      <c r="AU43" s="49">
        <f>SUMPRODUCT(AU$22:AU$28,InputSummary!AU470:AU476)/SUM(Totex!AU$75:AU$81)</f>
        <v>4.5508203408078486E-3</v>
      </c>
      <c r="AV43" s="49">
        <f>SUMPRODUCT(AV$22:AV$28,InputSummary!AV470:AV476)/SUM(Totex!AV$75:AV$81)</f>
        <v>3.9353429208488725E-3</v>
      </c>
    </row>
    <row r="44" spans="1:49" s="82" customFormat="1" ht="15">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5">
      <c r="AQ45" s="147"/>
    </row>
    <row r="46" spans="1:49" s="82" customFormat="1" ht="15">
      <c r="E46" s="82" t="s">
        <v>953</v>
      </c>
      <c r="G46" s="2" t="s">
        <v>101</v>
      </c>
      <c r="AJ46" s="307"/>
      <c r="AK46" s="307"/>
      <c r="AL46" s="307"/>
      <c r="AM46" s="307"/>
      <c r="AN46" s="307"/>
      <c r="AO46" s="307"/>
      <c r="AP46" s="307"/>
      <c r="AQ46" s="308"/>
      <c r="AR46" s="307">
        <f t="shared" ref="AR46:AV49" si="2">AR38 * AR$29</f>
        <v>22.623244534164545</v>
      </c>
      <c r="AS46" s="307">
        <f t="shared" si="2"/>
        <v>26.957387331159858</v>
      </c>
      <c r="AT46" s="307">
        <f t="shared" si="2"/>
        <v>41.770720780130937</v>
      </c>
      <c r="AU46" s="307">
        <f t="shared" si="2"/>
        <v>43.303410243062814</v>
      </c>
      <c r="AV46" s="307">
        <f t="shared" si="2"/>
        <v>36.886750586180227</v>
      </c>
    </row>
    <row r="47" spans="1:49" s="82" customFormat="1" ht="15">
      <c r="E47" s="82" t="s">
        <v>954</v>
      </c>
      <c r="G47" s="2" t="s">
        <v>101</v>
      </c>
      <c r="AJ47" s="307"/>
      <c r="AK47" s="307"/>
      <c r="AL47" s="307"/>
      <c r="AM47" s="307"/>
      <c r="AN47" s="307"/>
      <c r="AO47" s="307"/>
      <c r="AP47" s="307"/>
      <c r="AQ47" s="308"/>
      <c r="AR47" s="307">
        <f t="shared" si="2"/>
        <v>74.216094102904719</v>
      </c>
      <c r="AS47" s="307">
        <f t="shared" si="2"/>
        <v>81.008781550978597</v>
      </c>
      <c r="AT47" s="307">
        <f t="shared" si="2"/>
        <v>101.86990021202583</v>
      </c>
      <c r="AU47" s="307">
        <f t="shared" si="2"/>
        <v>116.89260162685574</v>
      </c>
      <c r="AV47" s="307">
        <f t="shared" si="2"/>
        <v>107.74902908781173</v>
      </c>
    </row>
    <row r="48" spans="1:49" s="82" customFormat="1" ht="15">
      <c r="E48" s="82" t="s">
        <v>955</v>
      </c>
      <c r="G48" s="2" t="s">
        <v>101</v>
      </c>
      <c r="AJ48" s="307"/>
      <c r="AK48" s="307"/>
      <c r="AL48" s="307"/>
      <c r="AM48" s="307"/>
      <c r="AN48" s="307"/>
      <c r="AO48" s="307"/>
      <c r="AP48" s="307"/>
      <c r="AQ48" s="308"/>
      <c r="AR48" s="307">
        <f t="shared" si="2"/>
        <v>118.22235955490193</v>
      </c>
      <c r="AS48" s="307">
        <f t="shared" si="2"/>
        <v>127.74265278098312</v>
      </c>
      <c r="AT48" s="307">
        <f t="shared" si="2"/>
        <v>119.4560931466149</v>
      </c>
      <c r="AU48" s="307">
        <f t="shared" si="2"/>
        <v>106.84852084143262</v>
      </c>
      <c r="AV48" s="307">
        <f t="shared" si="2"/>
        <v>96.4684746108843</v>
      </c>
    </row>
    <row r="49" spans="1:49" s="82" customFormat="1" ht="15">
      <c r="E49" s="82" t="s">
        <v>956</v>
      </c>
      <c r="G49" s="2" t="s">
        <v>101</v>
      </c>
      <c r="AJ49" s="307"/>
      <c r="AK49" s="307"/>
      <c r="AL49" s="307"/>
      <c r="AM49" s="307"/>
      <c r="AN49" s="307"/>
      <c r="AO49" s="307"/>
      <c r="AP49" s="307"/>
      <c r="AQ49" s="308"/>
      <c r="AR49" s="307">
        <f t="shared" si="2"/>
        <v>0</v>
      </c>
      <c r="AS49" s="307">
        <f t="shared" si="2"/>
        <v>0</v>
      </c>
      <c r="AT49" s="307">
        <f t="shared" si="2"/>
        <v>0.64063656862041385</v>
      </c>
      <c r="AU49" s="307">
        <f t="shared" si="2"/>
        <v>0.54439365904480297</v>
      </c>
      <c r="AV49" s="307">
        <f t="shared" si="2"/>
        <v>0.42630657824450202</v>
      </c>
    </row>
    <row r="50" spans="1:49" s="82" customFormat="1" ht="15">
      <c r="E50" s="82" t="s">
        <v>957</v>
      </c>
      <c r="G50" s="2" t="s">
        <v>101</v>
      </c>
      <c r="AJ50" s="307"/>
      <c r="AK50" s="307"/>
      <c r="AL50" s="307"/>
      <c r="AM50" s="307"/>
      <c r="AN50" s="307"/>
      <c r="AO50" s="307"/>
      <c r="AP50" s="307"/>
      <c r="AQ50" s="308"/>
      <c r="AR50" s="307">
        <f>AR42 * AR$29 + AR33 + AR34</f>
        <v>140.70623486374092</v>
      </c>
      <c r="AS50" s="307">
        <f t="shared" ref="AS50:AV50" si="3">AS42 * AS$29 + AS33 + AS34</f>
        <v>120.73038554163558</v>
      </c>
      <c r="AT50" s="307">
        <f t="shared" si="3"/>
        <v>115.54930754266456</v>
      </c>
      <c r="AU50" s="307">
        <f t="shared" si="3"/>
        <v>115.78598509848483</v>
      </c>
      <c r="AV50" s="307">
        <f t="shared" si="3"/>
        <v>135.591614635692</v>
      </c>
    </row>
    <row r="51" spans="1:49" s="82" customFormat="1" ht="15">
      <c r="E51" s="82" t="s">
        <v>958</v>
      </c>
      <c r="G51" s="2" t="s">
        <v>101</v>
      </c>
      <c r="AJ51" s="307"/>
      <c r="AK51" s="307"/>
      <c r="AL51" s="307"/>
      <c r="AM51" s="307"/>
      <c r="AN51" s="307"/>
      <c r="AO51" s="307"/>
      <c r="AP51" s="307"/>
      <c r="AQ51" s="308"/>
      <c r="AR51" s="307">
        <f>AR43 * AR$29</f>
        <v>3.769795737538554</v>
      </c>
      <c r="AS51" s="307">
        <f>AS43 * AS$29</f>
        <v>2.9837428409093123</v>
      </c>
      <c r="AT51" s="307">
        <f>AT43 * AT$29</f>
        <v>1.7313671037213327</v>
      </c>
      <c r="AU51" s="307">
        <f>AU43 * AU$29</f>
        <v>1.5591268855396385</v>
      </c>
      <c r="AV51" s="307">
        <f>AV43 * AV$29</f>
        <v>1.2451847542293983</v>
      </c>
    </row>
    <row r="52" spans="1:49" s="82" customFormat="1" ht="15">
      <c r="AQ52" s="147"/>
    </row>
    <row r="53" spans="1:49" s="82" customFormat="1" ht="15">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5">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5">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5">
      <c r="AQ56" s="147"/>
    </row>
    <row r="57" spans="1:49" s="21" customFormat="1" ht="15">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5">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5">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0.14000000000000001</v>
      </c>
      <c r="AV59" s="132">
        <f>InputSummary!AV264</f>
        <v>0.14000000000000001</v>
      </c>
      <c r="AW59" s="7"/>
    </row>
    <row r="60" spans="1:49" s="21" customFormat="1" ht="15">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5">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96.822677142231498</v>
      </c>
      <c r="AS61" s="79">
        <f>InputSummary!AS271</f>
        <v>0</v>
      </c>
      <c r="AT61" s="79">
        <f>InputSummary!AT271</f>
        <v>0</v>
      </c>
      <c r="AU61" s="79">
        <f>InputSummary!AU271</f>
        <v>0</v>
      </c>
      <c r="AV61" s="79">
        <f>InputSummary!AV271</f>
        <v>0</v>
      </c>
    </row>
    <row r="62" spans="1:49" s="21" customFormat="1" ht="15">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5">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96.822677142231498</v>
      </c>
      <c r="AS63" s="7">
        <f>AR68 + AS61</f>
        <v>103.15150391646964</v>
      </c>
      <c r="AT63" s="7">
        <f>AS68 + AT61</f>
        <v>94.321869365409569</v>
      </c>
      <c r="AU63" s="7">
        <f>AT68 + AU61</f>
        <v>100.46027190381804</v>
      </c>
      <c r="AV63" s="7">
        <f>AU68 + AV61</f>
        <v>98.296821162057753</v>
      </c>
      <c r="AW63" s="7"/>
    </row>
    <row r="64" spans="1:49" s="21" customFormat="1" ht="15">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-23.756908659839809</v>
      </c>
      <c r="AT64" s="7">
        <f>SelectedInputs!AT282</f>
        <v>-29.218301254973113</v>
      </c>
      <c r="AU64" s="7">
        <f>SelectedInputs!AU282</f>
        <v>-47.075346053260148</v>
      </c>
      <c r="AV64" s="7">
        <f>SelectedInputs!AV282</f>
        <v>-52.385784930577969</v>
      </c>
      <c r="AW64" s="7"/>
    </row>
    <row r="65" spans="1:49" s="21" customFormat="1" ht="15">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28.971839829072941</v>
      </c>
      <c r="AS65" s="7">
        <f>AS$46 * AS$15</f>
        <v>35.632074701186731</v>
      </c>
      <c r="AT65" s="7">
        <f>AT$46 * AT$15</f>
        <v>57.408958601536753</v>
      </c>
      <c r="AU65" s="7">
        <f>AU$46 * AU$15</f>
        <v>60.913703407648796</v>
      </c>
      <c r="AV65" s="7">
        <f>AV$46 * AV$15</f>
        <v>52.941421613532363</v>
      </c>
      <c r="AW65" s="7"/>
    </row>
    <row r="66" spans="1:49" s="21" customFormat="1" ht="15">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125.79451697130443</v>
      </c>
      <c r="AS66" s="431">
        <f>SUM(AS63:AS65)</f>
        <v>115.02666995781655</v>
      </c>
      <c r="AT66" s="431">
        <f>SUM(AT63:AT65)</f>
        <v>122.51252671197321</v>
      </c>
      <c r="AU66" s="431">
        <f>SUM(AU63:AU65)</f>
        <v>114.29862925820669</v>
      </c>
      <c r="AV66" s="431">
        <f>SUM(AV63:AV65)</f>
        <v>98.85245784501214</v>
      </c>
      <c r="AW66" s="7"/>
    </row>
    <row r="67" spans="1:49" s="21" customFormat="1" ht="15">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-22.643013054834796</v>
      </c>
      <c r="AS67" s="7">
        <f>-AS66 * AS59</f>
        <v>-20.704800592406979</v>
      </c>
      <c r="AT67" s="7">
        <f>-AT66 * AT59</f>
        <v>-22.052254808155176</v>
      </c>
      <c r="AU67" s="7">
        <f>-AU66 * AU59</f>
        <v>-16.001808096148938</v>
      </c>
      <c r="AV67" s="7">
        <f>-AV66 * AV59</f>
        <v>-13.839344098301702</v>
      </c>
      <c r="AW67" s="7"/>
    </row>
    <row r="68" spans="1:49" s="21" customFormat="1" ht="15">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103.15150391646964</v>
      </c>
      <c r="AS68" s="461">
        <f t="shared" si="4"/>
        <v>94.321869365409569</v>
      </c>
      <c r="AT68" s="461">
        <f t="shared" si="4"/>
        <v>100.46027190381804</v>
      </c>
      <c r="AU68" s="461">
        <f t="shared" si="4"/>
        <v>98.296821162057753</v>
      </c>
      <c r="AV68" s="461">
        <f t="shared" si="4"/>
        <v>85.013113746710445</v>
      </c>
      <c r="AW68" s="7"/>
    </row>
    <row r="69" spans="1:49" s="21" customFormat="1" ht="15">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5">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5">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5">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5">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5">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901.64469052178902</v>
      </c>
      <c r="AS74" s="79">
        <f>InputSummary!AS272</f>
        <v>0</v>
      </c>
      <c r="AT74" s="79">
        <f>InputSummary!AT272</f>
        <v>0</v>
      </c>
      <c r="AU74" s="79">
        <f>InputSummary!AU272</f>
        <v>0</v>
      </c>
      <c r="AV74" s="79">
        <f>InputSummary!AV272</f>
        <v>0</v>
      </c>
    </row>
    <row r="75" spans="1:49" s="21" customFormat="1" ht="15">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5">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901.64469052178902</v>
      </c>
      <c r="AS76" s="7">
        <f>AR81 + AS74</f>
        <v>936.88625295210659</v>
      </c>
      <c r="AT76" s="7">
        <f>AS81 + AT74</f>
        <v>942.01556888827156</v>
      </c>
      <c r="AU76" s="7">
        <f>AT81 + AU74</f>
        <v>972.81540819398515</v>
      </c>
      <c r="AV76" s="7">
        <f>AU81 + AV74</f>
        <v>1011.1028766209085</v>
      </c>
      <c r="AW76" s="7"/>
    </row>
    <row r="77" spans="1:49" s="21" customFormat="1" ht="15">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-41.818837552249924</v>
      </c>
      <c r="AT77" s="7">
        <f>SelectedInputs!AT283</f>
        <v>-47.113795001551836</v>
      </c>
      <c r="AU77" s="7">
        <f>SelectedInputs!AU283</f>
        <v>-61.603623325325657</v>
      </c>
      <c r="AV77" s="7">
        <f>SelectedInputs!AV283</f>
        <v>-72.349012225023657</v>
      </c>
      <c r="AW77" s="7"/>
    </row>
    <row r="78" spans="1:49" s="21" customFormat="1" ht="15">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95.042812618749977</v>
      </c>
      <c r="AS78" s="7">
        <f>AS$47 * AS$15</f>
        <v>107.07680682170889</v>
      </c>
      <c r="AT78" s="7">
        <f>AT$47 * AT$15</f>
        <v>140.0082348302858</v>
      </c>
      <c r="AU78" s="7">
        <f>AU$47 * AU$15</f>
        <v>164.42957323868998</v>
      </c>
      <c r="AV78" s="7">
        <f>AV$47 * AV$15</f>
        <v>154.64595516645414</v>
      </c>
      <c r="AW78" s="7"/>
    </row>
    <row r="79" spans="1:49" s="21" customFormat="1" ht="15">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996.68750314053898</v>
      </c>
      <c r="AS79" s="431">
        <f>SUM(AS76:AS78)</f>
        <v>1002.1442222215655</v>
      </c>
      <c r="AT79" s="431">
        <f>SUM(AT76:AT78)</f>
        <v>1034.9100087170054</v>
      </c>
      <c r="AU79" s="431">
        <f>SUM(AU76:AU78)</f>
        <v>1075.6413581073496</v>
      </c>
      <c r="AV79" s="431">
        <f>SUM(AV76:AV78)</f>
        <v>1093.399819562339</v>
      </c>
      <c r="AW79" s="7"/>
    </row>
    <row r="80" spans="1:49" s="21" customFormat="1" ht="15">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-59.801250188432334</v>
      </c>
      <c r="AS80" s="7">
        <f>-AS79 * AS72</f>
        <v>-60.128653333293933</v>
      </c>
      <c r="AT80" s="7">
        <f>-AT79 * AT72</f>
        <v>-62.094600523020326</v>
      </c>
      <c r="AU80" s="7">
        <f>-AU79 * AU72</f>
        <v>-64.538481486440972</v>
      </c>
      <c r="AV80" s="7">
        <f>-AV79 * AV72</f>
        <v>-65.603989173740331</v>
      </c>
      <c r="AW80" s="7"/>
    </row>
    <row r="81" spans="1:49" s="21" customFormat="1" ht="15">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936.88625295210659</v>
      </c>
      <c r="AS81" s="461">
        <f t="shared" si="5"/>
        <v>942.01556888827156</v>
      </c>
      <c r="AT81" s="461">
        <f t="shared" si="5"/>
        <v>972.81540819398515</v>
      </c>
      <c r="AU81" s="461">
        <f t="shared" si="5"/>
        <v>1011.1028766209085</v>
      </c>
      <c r="AV81" s="461">
        <f t="shared" si="5"/>
        <v>1027.7958303885987</v>
      </c>
      <c r="AW81" s="7"/>
    </row>
    <row r="82" spans="1:49" s="21" customFormat="1" ht="15">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5">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5">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5">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5">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5">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1346.9416163441822</v>
      </c>
      <c r="AS87" s="79">
        <f>InputSummary!AS273</f>
        <v>0</v>
      </c>
      <c r="AT87" s="79">
        <f>InputSummary!AT273</f>
        <v>0</v>
      </c>
      <c r="AU87" s="79">
        <f>InputSummary!AU273</f>
        <v>0</v>
      </c>
      <c r="AV87" s="79">
        <f>InputSummary!AV273</f>
        <v>0</v>
      </c>
    </row>
    <row r="88" spans="1:49" s="72" customFormat="1" ht="15">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1641.6422127756323</v>
      </c>
      <c r="AR88" s="79">
        <f>InputSummary!AR274</f>
        <v>0</v>
      </c>
      <c r="AS88" s="79">
        <f>InputSummary!AS274</f>
        <v>0</v>
      </c>
      <c r="AT88" s="79">
        <f>InputSummary!AT274</f>
        <v>0</v>
      </c>
      <c r="AU88" s="79">
        <f>InputSummary!AU274</f>
        <v>0</v>
      </c>
      <c r="AV88" s="79">
        <f>InputSummary!AV274</f>
        <v>0</v>
      </c>
    </row>
    <row r="89" spans="1:49" s="21" customFormat="1" ht="15">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5">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1346.9416163441822</v>
      </c>
      <c r="AS90" s="7">
        <f>AR94 + AS87</f>
        <v>1472.353756713009</v>
      </c>
      <c r="AT90" s="7">
        <f>AS94 + AT87</f>
        <v>1612.7698634154319</v>
      </c>
      <c r="AU90" s="7">
        <f>AT94 + AU87</f>
        <v>1746.1356770267182</v>
      </c>
      <c r="AV90" s="7">
        <f>AU94 + AV87</f>
        <v>1863.4456662963607</v>
      </c>
      <c r="AW90" s="7"/>
    </row>
    <row r="91" spans="1:49" s="21" customFormat="1" ht="15">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151.39823379742185</v>
      </c>
      <c r="AS91" s="7">
        <f>AS$48 * AS$15</f>
        <v>168.84929130941518</v>
      </c>
      <c r="AT91" s="7">
        <f>AT$48 * AT$15</f>
        <v>164.17839525090034</v>
      </c>
      <c r="AU91" s="7">
        <f>AU$48 * AU$15</f>
        <v>150.30084401086339</v>
      </c>
      <c r="AV91" s="7">
        <f>AV$48 * AV$15</f>
        <v>138.4556271731507</v>
      </c>
      <c r="AW91" s="7"/>
    </row>
    <row r="92" spans="1:49" s="21" customFormat="1" ht="15">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1498.3398501416041</v>
      </c>
      <c r="AS92" s="431">
        <f>SUM(AS90:AS91)</f>
        <v>1641.2030480224241</v>
      </c>
      <c r="AT92" s="431">
        <f>SUM(AT90:AT91)</f>
        <v>1776.9482586663323</v>
      </c>
      <c r="AU92" s="431">
        <f>SUM(AU90:AU91)</f>
        <v>1896.4365210375815</v>
      </c>
      <c r="AV92" s="431">
        <f>SUM(AV90:AV91)</f>
        <v>2001.9012934695115</v>
      </c>
      <c r="AW92" s="7"/>
    </row>
    <row r="93" spans="1:49" s="21" customFormat="1" ht="15">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-25.986093428594987</v>
      </c>
      <c r="AS93" s="7">
        <f>-(SUM($AJ91:AS91,$AJ88:AS88))*AS85</f>
        <v>-28.43318460699231</v>
      </c>
      <c r="AT93" s="7">
        <f>-(SUM($AJ91:AT91,$AJ88:AT88))*AT85</f>
        <v>-30.812581639614056</v>
      </c>
      <c r="AU93" s="7">
        <f>-(SUM($AJ91:AU91,$AJ88:AU88))*AU85</f>
        <v>-32.990854741220772</v>
      </c>
      <c r="AV93" s="7">
        <f>-(SUM($AJ91:AV91,$AJ88:AV88))*AV85</f>
        <v>-34.997458033585268</v>
      </c>
      <c r="AW93" s="7"/>
    </row>
    <row r="94" spans="1:49" s="21" customFormat="1" ht="15">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1472.353756713009</v>
      </c>
      <c r="AS94" s="461">
        <f t="shared" si="6"/>
        <v>1612.7698634154319</v>
      </c>
      <c r="AT94" s="461">
        <f t="shared" si="6"/>
        <v>1746.1356770267182</v>
      </c>
      <c r="AU94" s="461">
        <f t="shared" si="6"/>
        <v>1863.4456662963607</v>
      </c>
      <c r="AV94" s="461">
        <f t="shared" si="6"/>
        <v>1966.9038354359263</v>
      </c>
      <c r="AW94" s="7"/>
    </row>
    <row r="95" spans="1:49" s="21" customFormat="1" ht="15">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5">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5">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5">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5">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5">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0</v>
      </c>
      <c r="AU100" s="7">
        <f>InputSummary!AU275 + AT104</f>
        <v>0.88047985669555906</v>
      </c>
      <c r="AV100" s="7">
        <f>InputSummary!AV275 + AU104</f>
        <v>1.6198488877023429</v>
      </c>
      <c r="AW100" s="7"/>
    </row>
    <row r="101" spans="1:49" s="21" customFormat="1" ht="15">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0</v>
      </c>
      <c r="AT101" s="7">
        <f>AT$49 * AT$15</f>
        <v>0.88047985669555906</v>
      </c>
      <c r="AU101" s="7">
        <f>AU$49 * AU$15</f>
        <v>0.76578342670765043</v>
      </c>
      <c r="AV101" s="7">
        <f>AV$49 * AV$15</f>
        <v>0.61185319760641033</v>
      </c>
      <c r="AW101" s="7"/>
    </row>
    <row r="102" spans="1:49" s="21" customFormat="1" ht="15">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0</v>
      </c>
      <c r="AT102" s="431">
        <f>SUM(AT100:AT101)</f>
        <v>0.88047985669555906</v>
      </c>
      <c r="AU102" s="431">
        <f>SUM(AU100:AU101)</f>
        <v>1.6462632834032096</v>
      </c>
      <c r="AV102" s="431">
        <f>SUM(AV100:AV101)</f>
        <v>2.2317020853087532</v>
      </c>
      <c r="AW102" s="7"/>
    </row>
    <row r="103" spans="1:49" s="21" customFormat="1" ht="15">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0</v>
      </c>
      <c r="AU103" s="7">
        <f>-(SUM($AI101:AT101))*AU98</f>
        <v>-2.6414395700866771E-2</v>
      </c>
      <c r="AV103" s="7">
        <f>-(SUM($AI101:AU101))*AV98</f>
        <v>-4.9387898502096288E-2</v>
      </c>
      <c r="AW103" s="7"/>
    </row>
    <row r="104" spans="1:49" s="21" customFormat="1" ht="15">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0</v>
      </c>
      <c r="AT104" s="461">
        <f t="shared" si="7"/>
        <v>0.88047985669555906</v>
      </c>
      <c r="AU104" s="461">
        <f t="shared" si="7"/>
        <v>1.6198488877023429</v>
      </c>
      <c r="AV104" s="461">
        <f t="shared" si="7"/>
        <v>2.1823141868066571</v>
      </c>
      <c r="AW104" s="7"/>
    </row>
    <row r="105" spans="1:49" s="21" customFormat="1" ht="15">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5">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5">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5">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22.643013054834796</v>
      </c>
      <c r="AS108" s="7">
        <f>- AS67</f>
        <v>20.704800592406979</v>
      </c>
      <c r="AT108" s="7">
        <f>- AT67</f>
        <v>22.052254808155176</v>
      </c>
      <c r="AU108" s="7">
        <f>- AU67</f>
        <v>16.001808096148938</v>
      </c>
      <c r="AV108" s="7">
        <f>- AV67</f>
        <v>13.839344098301702</v>
      </c>
      <c r="AW108" s="7"/>
    </row>
    <row r="109" spans="1:49" s="21" customFormat="1" ht="15">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59.801250188432334</v>
      </c>
      <c r="AS109" s="7">
        <f>-AS80</f>
        <v>60.128653333293933</v>
      </c>
      <c r="AT109" s="7">
        <f>-AT80</f>
        <v>62.094600523020326</v>
      </c>
      <c r="AU109" s="7">
        <f>-AU80</f>
        <v>64.538481486440972</v>
      </c>
      <c r="AV109" s="7">
        <f>-AV80</f>
        <v>65.603989173740331</v>
      </c>
      <c r="AW109" s="7"/>
    </row>
    <row r="110" spans="1:49" s="21" customFormat="1" ht="15">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25.986093428594987</v>
      </c>
      <c r="AS110" s="7">
        <f>-AS93</f>
        <v>28.43318460699231</v>
      </c>
      <c r="AT110" s="7">
        <f>-AT93</f>
        <v>30.812581639614056</v>
      </c>
      <c r="AU110" s="7">
        <f>-AU93</f>
        <v>32.990854741220772</v>
      </c>
      <c r="AV110" s="7">
        <f>-AV93</f>
        <v>34.997458033585268</v>
      </c>
      <c r="AW110" s="7"/>
    </row>
    <row r="111" spans="1:49" s="21" customFormat="1" ht="15">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0</v>
      </c>
      <c r="AU111" s="7">
        <f t="shared" si="8"/>
        <v>2.6414395700866771E-2</v>
      </c>
      <c r="AV111" s="7">
        <f t="shared" si="8"/>
        <v>4.9387898502096288E-2</v>
      </c>
      <c r="AW111" s="7"/>
    </row>
    <row r="112" spans="1:49" s="21" customFormat="1" ht="15">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108.43035667186211</v>
      </c>
      <c r="AS112" s="526">
        <f t="shared" si="9"/>
        <v>109.26663853269322</v>
      </c>
      <c r="AT112" s="526">
        <f t="shared" si="9"/>
        <v>114.95943697078955</v>
      </c>
      <c r="AU112" s="526">
        <f t="shared" si="9"/>
        <v>113.55755871951155</v>
      </c>
      <c r="AV112" s="526">
        <f t="shared" si="9"/>
        <v>114.49017920412939</v>
      </c>
      <c r="AW112" s="7"/>
    </row>
    <row r="113" spans="1:49" s="21" customFormat="1" ht="15">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5">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5">
      <c r="A115" s="2"/>
      <c r="B115" s="2"/>
      <c r="C115" s="2"/>
      <c r="D115" s="2"/>
      <c r="E115" s="2"/>
      <c r="F115" s="2"/>
      <c r="G115" s="2"/>
      <c r="H115" s="2"/>
      <c r="I115" s="2"/>
    </row>
    <row r="116" spans="1:49" s="82" customFormat="1" ht="15">
      <c r="A116" s="2"/>
      <c r="B116" s="2"/>
      <c r="C116" s="2"/>
      <c r="D116" s="2"/>
      <c r="E116" s="2"/>
      <c r="F116" s="2"/>
      <c r="G116" s="2"/>
      <c r="H116" s="2"/>
      <c r="I116" s="2"/>
    </row>
  </sheetData>
  <conditionalFormatting sqref="AJ11">
    <cfRule type="cellIs" dxfId="422" priority="1" operator="equal">
      <formula>FALSE()</formula>
    </cfRule>
  </conditionalFormatting>
  <conditionalFormatting sqref="AM2">
    <cfRule type="expression" dxfId="421" priority="2">
      <formula>mac_sensitivity=2</formula>
    </cfRule>
    <cfRule type="expression" dxfId="420" priority="3">
      <formula>mac_sensitivity=1</formula>
    </cfRule>
  </conditionalFormatting>
  <conditionalFormatting sqref="AM3">
    <cfRule type="expression" dxfId="419"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O310" activePane="bottomRight" state="frozen"/>
      <selection pane="topRight" activeCell="K1" sqref="K1"/>
      <selection pane="bottomLeft" activeCell="A5" sqref="A5"/>
      <selection pane="bottomRight" activeCell="E315" sqref="E315"/>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5.875" customWidth="1"/>
    <col min="50" max="113" width="0" hidden="1" customWidth="1"/>
    <col min="114" max="16384" width="9" hidden="1"/>
  </cols>
  <sheetData>
    <row r="1" spans="1:49" ht="19.5">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5">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5">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5">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5">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5">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5">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5">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1.321792585589326</v>
      </c>
      <c r="AT17" s="92">
        <f>InputSummary!AT$194</f>
        <v>1.3743827621199309</v>
      </c>
      <c r="AU17" s="92">
        <f>InputSummary!AU$194</f>
        <v>1.4066722012363251</v>
      </c>
      <c r="AV17" s="92">
        <f>InputSummary!AV$194</f>
        <v>1.4352422149476913</v>
      </c>
      <c r="AW17" s="82"/>
    </row>
    <row r="18" spans="1:49" ht="15">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5">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5">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5">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5">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5">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5">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5">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-2001.022163373184</v>
      </c>
      <c r="AT25" s="7">
        <f t="shared" si="0"/>
        <v>-2069.8175143038848</v>
      </c>
      <c r="AU25" s="7">
        <f t="shared" si="0"/>
        <v>-2182.0338089290499</v>
      </c>
      <c r="AV25" s="7">
        <f t="shared" ref="AV25" si="1">AU41</f>
        <v>-2286.7923982963362</v>
      </c>
      <c r="AW25" s="7"/>
    </row>
    <row r="26" spans="1:49" ht="15">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-1932.8877901231158</v>
      </c>
      <c r="AS26" s="431">
        <f>-AS55 * AS63 * AS12</f>
        <v>0</v>
      </c>
      <c r="AT26" s="431">
        <f>-AT55 * AT63 * AT12</f>
        <v>0</v>
      </c>
      <c r="AU26" s="431">
        <f>-AU55 * AU63 * AU12</f>
        <v>0</v>
      </c>
      <c r="AV26" s="431">
        <f>-AV55 * AV63 * AV12</f>
        <v>0</v>
      </c>
      <c r="AW26" s="7"/>
    </row>
    <row r="27" spans="1:49" ht="15">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5">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-1932.8877901231158</v>
      </c>
      <c r="AS28" s="7">
        <f>AS26 * AS12 + AS25 * (1 - AS12) + AS27</f>
        <v>-2001.022163373184</v>
      </c>
      <c r="AT28" s="7">
        <f>AT26 * AT12 + AT25 * (1 - AT12) + AT27</f>
        <v>-2069.8175143038848</v>
      </c>
      <c r="AU28" s="7">
        <f>AU26 * AU12 + AU25 * (1 - AU12) + AU27</f>
        <v>-2182.0338089290499</v>
      </c>
      <c r="AV28" s="7">
        <f>AV26 * AV12 + AV25 * (1 - AV12) + AV27</f>
        <v>-2286.7923982963362</v>
      </c>
      <c r="AW28" s="7"/>
    </row>
    <row r="29" spans="1:49" ht="15">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558.56610554684778</v>
      </c>
      <c r="AS29" s="8">
        <f>Revenue!AS19* AS$17</f>
        <v>557.02206014918409</v>
      </c>
      <c r="AT29" s="8">
        <f>Revenue!AT19* AT$17</f>
        <v>575.27300817102639</v>
      </c>
      <c r="AU29" s="8">
        <f>Revenue!AU19* AU$17</f>
        <v>600.5446398221394</v>
      </c>
      <c r="AV29" s="8">
        <f>Revenue!AV19* AV$17</f>
        <v>635.46515346704564</v>
      </c>
      <c r="AW29" s="7"/>
    </row>
    <row r="30" spans="1:49" ht="15">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-3.9430843007053951</v>
      </c>
      <c r="AS30" s="8">
        <f>InputSummary!AS150 * AS$17</f>
        <v>1.0173327502965432</v>
      </c>
      <c r="AT30" s="8">
        <f>InputSummary!AT150 * AT$17</f>
        <v>0</v>
      </c>
      <c r="AU30" s="8">
        <f>InputSummary!AU150 * AU$17</f>
        <v>0</v>
      </c>
      <c r="AV30" s="8">
        <f>InputSummary!AV150 * AV$17</f>
        <v>0</v>
      </c>
      <c r="AW30" s="7"/>
    </row>
    <row r="31" spans="1:49" ht="15">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-383.28646645230998</v>
      </c>
      <c r="AS31" s="8">
        <f>-Totex!AS82 * AS$17</f>
        <v>-423.7118224373487</v>
      </c>
      <c r="AT31" s="8">
        <f>-Totex!AT82 * AT$17</f>
        <v>-471.79498014451451</v>
      </c>
      <c r="AU31" s="8">
        <f>-Totex!AU82 * AU$17</f>
        <v>-481.9307913393593</v>
      </c>
      <c r="AV31" s="8">
        <f>-Totex!AV82 * AV$17</f>
        <v>-454.12604711301833</v>
      </c>
      <c r="AW31" s="7"/>
    </row>
    <row r="32" spans="1:49" ht="15">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-76.288600000000002</v>
      </c>
      <c r="AS32" s="8">
        <f>-InputSummary!AS97 * AS$17</f>
        <v>-51.077740779258718</v>
      </c>
      <c r="AT32" s="8">
        <f>-InputSummary!AT97 * AT$17</f>
        <v>-51.869625958692673</v>
      </c>
      <c r="AU32" s="8">
        <f>-InputSummary!AU97 * AU$17</f>
        <v>-59.545219723441178</v>
      </c>
      <c r="AV32" s="8">
        <f>-InputSummary!AV97 * AV$17</f>
        <v>-88.922761080468902</v>
      </c>
      <c r="AW32" s="7"/>
    </row>
    <row r="33" spans="1:49" ht="15">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-0.8570999142900001</v>
      </c>
      <c r="AS33" s="8">
        <f>InputSummary!AS124 * AS$17</f>
        <v>-0.29302724439727262</v>
      </c>
      <c r="AT33" s="8">
        <f>InputSummary!AT124 * AT$17</f>
        <v>0</v>
      </c>
      <c r="AU33" s="8">
        <f>InputSummary!AU124 * AU$17</f>
        <v>0</v>
      </c>
      <c r="AV33" s="8">
        <f>InputSummary!AV124 * AV$17</f>
        <v>0</v>
      </c>
      <c r="AW33" s="7"/>
    </row>
    <row r="34" spans="1:49" ht="15">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-42.392649350918205</v>
      </c>
      <c r="AS34" s="2">
        <f t="shared" si="3"/>
        <v>-44.869799504577649</v>
      </c>
      <c r="AT34" s="2">
        <f t="shared" si="3"/>
        <v>-47.910796395773509</v>
      </c>
      <c r="AU34" s="2">
        <f t="shared" si="3"/>
        <v>-50.331911667066095</v>
      </c>
      <c r="AV34" s="2">
        <f t="shared" ref="AV34" si="4">-AV194</f>
        <v>-52.447618117061459</v>
      </c>
      <c r="AW34" s="7"/>
    </row>
    <row r="35" spans="1:49" ht="15">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-8.0536991255129902</v>
      </c>
      <c r="AS35" s="7">
        <f t="shared" si="5"/>
        <v>0</v>
      </c>
      <c r="AT35" s="7">
        <f t="shared" si="5"/>
        <v>0</v>
      </c>
      <c r="AU35" s="7">
        <f t="shared" si="5"/>
        <v>0</v>
      </c>
      <c r="AV35" s="7">
        <f t="shared" ref="AV35" si="6">-AV184</f>
        <v>0</v>
      </c>
      <c r="AW35" s="7"/>
    </row>
    <row r="36" spans="1:49" ht="15">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-1889.1432837200048</v>
      </c>
      <c r="AS36" s="432">
        <f>SUM(AS28:AS35)</f>
        <v>-1962.9351604392855</v>
      </c>
      <c r="AT36" s="432">
        <f>SUM(AT28:AT35)</f>
        <v>-2066.1199086318388</v>
      </c>
      <c r="AU36" s="432">
        <f>SUM(AU28:AU35)</f>
        <v>-2173.2970918367773</v>
      </c>
      <c r="AV36" s="432">
        <f>SUM(AV28:AV35)</f>
        <v>-2246.8236711398395</v>
      </c>
      <c r="AW36" s="7"/>
    </row>
    <row r="37" spans="1:49" ht="15">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-88.437144790774539</v>
      </c>
      <c r="AS37" s="2">
        <f t="shared" ref="AS37:AU37" si="7">AS169</f>
        <v>-92.789211819375069</v>
      </c>
      <c r="AT37" s="2">
        <f t="shared" si="7"/>
        <v>-97.361690305286288</v>
      </c>
      <c r="AU37" s="2">
        <f t="shared" si="7"/>
        <v>-102.47097574126994</v>
      </c>
      <c r="AV37" s="2">
        <f t="shared" ref="AV37" si="8">AV169</f>
        <v>-106.60897087558804</v>
      </c>
      <c r="AW37" s="7"/>
    </row>
    <row r="38" spans="1:49" ht="15">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-26.500537161170975</v>
      </c>
      <c r="AS38" s="2">
        <f t="shared" si="9"/>
        <v>-15.929339540795358</v>
      </c>
      <c r="AT38" s="2">
        <f t="shared" si="9"/>
        <v>-20.569573619482536</v>
      </c>
      <c r="AU38" s="2">
        <f t="shared" si="9"/>
        <v>-12.790395425862393</v>
      </c>
      <c r="AV38" s="2">
        <f t="shared" ref="AV38" si="10">AV170</f>
        <v>-11.509919755293931</v>
      </c>
      <c r="AW38" s="7"/>
    </row>
    <row r="39" spans="1:49" ht="15">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32.574283789442404</v>
      </c>
      <c r="AS39" s="7">
        <f t="shared" si="11"/>
        <v>37.162122756033618</v>
      </c>
      <c r="AT39" s="7">
        <f t="shared" si="11"/>
        <v>27.654605315193329</v>
      </c>
      <c r="AU39" s="7">
        <f t="shared" si="11"/>
        <v>30.394081693128015</v>
      </c>
      <c r="AV39" s="7">
        <f t="shared" ref="AV39" si="12">AV239</f>
        <v>33.576036935035809</v>
      </c>
      <c r="AW39" s="7"/>
    </row>
    <row r="40" spans="1:49" ht="15">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-29.515481490676112</v>
      </c>
      <c r="AS40" s="2">
        <f t="shared" si="13"/>
        <v>-35.325925260462697</v>
      </c>
      <c r="AT40" s="2">
        <f t="shared" si="13"/>
        <v>-25.637241687635679</v>
      </c>
      <c r="AU40" s="2">
        <f t="shared" si="13"/>
        <v>-28.628016985554993</v>
      </c>
      <c r="AV40" s="2">
        <f t="shared" ref="AV40" si="14">-AV274</f>
        <v>-32.062867097032012</v>
      </c>
      <c r="AW40" s="7"/>
    </row>
    <row r="41" spans="1:49" ht="15">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-2001.022163373184</v>
      </c>
      <c r="AS41" s="431">
        <f t="shared" ref="AS41:AU41" si="15">SUM(AS36:AS40)</f>
        <v>-2069.8175143038848</v>
      </c>
      <c r="AT41" s="431">
        <f t="shared" si="15"/>
        <v>-2182.0338089290499</v>
      </c>
      <c r="AU41" s="431">
        <f t="shared" si="15"/>
        <v>-2286.7923982963362</v>
      </c>
      <c r="AV41" s="431">
        <f t="shared" ref="AV41" si="16">SUM(AV36:AV40)</f>
        <v>-2363.4293919327174</v>
      </c>
      <c r="AW41" s="7"/>
    </row>
    <row r="42" spans="1:49" ht="15">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5">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5">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5">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-1932.8877901231158</v>
      </c>
      <c r="AS45" s="7">
        <f>AS12 * AS26 + AS13 * AS25</f>
        <v>-2001.022163373184</v>
      </c>
      <c r="AT45" s="7">
        <f>AT12 * AT26 + AT13 * AT25</f>
        <v>-2069.8175143038848</v>
      </c>
      <c r="AU45" s="7">
        <f>AU12 * AU26 + AU13 * AU25</f>
        <v>-2182.0338089290499</v>
      </c>
      <c r="AV45" s="7">
        <f>AV12 * AV26 + AV13 * AV25</f>
        <v>-2286.7923982963362</v>
      </c>
      <c r="AW45" s="7"/>
    </row>
    <row r="46" spans="1:49" ht="15">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-1932.8877901231158</v>
      </c>
      <c r="AS46" s="7">
        <f>AS28</f>
        <v>-2001.022163373184</v>
      </c>
      <c r="AT46" s="7">
        <f>AT28</f>
        <v>-2069.8175143038848</v>
      </c>
      <c r="AU46" s="7">
        <f>AU28</f>
        <v>-2182.0338089290499</v>
      </c>
      <c r="AV46" s="7">
        <f>AV28</f>
        <v>-2286.7923982963362</v>
      </c>
      <c r="AW46" s="7"/>
    </row>
    <row r="47" spans="1:49" ht="15">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5">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5">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5">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5">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5">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5">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-1932.8877901231158</v>
      </c>
      <c r="AS53" s="7">
        <f>AS45</f>
        <v>-2001.022163373184</v>
      </c>
      <c r="AT53" s="7">
        <f t="shared" ref="AT53:AV53" si="17">AT45</f>
        <v>-2069.8175143038848</v>
      </c>
      <c r="AU53" s="7">
        <f>AU45</f>
        <v>-2182.0338089290499</v>
      </c>
      <c r="AV53" s="7">
        <f t="shared" si="17"/>
        <v>-2286.7923982963362</v>
      </c>
      <c r="AW53" s="7"/>
    </row>
    <row r="54" spans="1:49" ht="15">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5">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3221.4796502051931</v>
      </c>
      <c r="AS55" s="7">
        <f>'Return&amp;RAV'!AS20 * AR$17</f>
        <v>3532.7207792431841</v>
      </c>
      <c r="AT55" s="7">
        <f>'Return&amp;RAV'!AT20 * AS$17</f>
        <v>3739.1499587148041</v>
      </c>
      <c r="AU55" s="7">
        <f>'Return&amp;RAV'!AU20 * AT$17</f>
        <v>3992.5663663144592</v>
      </c>
      <c r="AV55" s="7">
        <f>'Return&amp;RAV'!AV20 * AU$17</f>
        <v>4194.3259722555076</v>
      </c>
      <c r="AW55" s="7"/>
    </row>
    <row r="56" spans="1:49" ht="15">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5">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0.56642522531935391</v>
      </c>
      <c r="AT57" s="126">
        <f t="shared" si="18"/>
        <v>0.55355295646267921</v>
      </c>
      <c r="AU57" s="126">
        <f t="shared" si="18"/>
        <v>0.54652411725425787</v>
      </c>
      <c r="AV57" s="126">
        <f t="shared" si="18"/>
        <v>0.54521093816335131</v>
      </c>
      <c r="AW57" s="7"/>
    </row>
    <row r="58" spans="1:49" ht="15">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5">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5">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5">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5">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5">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5">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5">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5">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5">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5">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5">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3221.4796502051931</v>
      </c>
      <c r="AS69" s="7">
        <f>AS55 * AS12</f>
        <v>0</v>
      </c>
      <c r="AT69" s="7">
        <f>AT55 * AT12</f>
        <v>0</v>
      </c>
      <c r="AU69" s="7">
        <f>AU55 * AU12</f>
        <v>0</v>
      </c>
      <c r="AV69" s="7">
        <f>AV55 * AV12</f>
        <v>0</v>
      </c>
      <c r="AW69" s="7"/>
    </row>
    <row r="70" spans="1:49" ht="15">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5">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-161.07398251025981</v>
      </c>
      <c r="AS71" s="7">
        <f t="shared" ref="AS71:AV71" si="22">AS68*AS69</f>
        <v>0</v>
      </c>
      <c r="AT71" s="7">
        <f t="shared" si="22"/>
        <v>0</v>
      </c>
      <c r="AU71" s="7">
        <f t="shared" si="22"/>
        <v>0</v>
      </c>
      <c r="AV71" s="7">
        <f t="shared" si="22"/>
        <v>0</v>
      </c>
      <c r="AW71" s="7"/>
    </row>
    <row r="72" spans="1:49" ht="15">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5">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5">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5">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5">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3221.4796502051931</v>
      </c>
      <c r="AS76" s="7">
        <f t="shared" ref="AS76:AV76" si="23">AS55</f>
        <v>3532.7207792431841</v>
      </c>
      <c r="AT76" s="7">
        <f t="shared" si="23"/>
        <v>3739.1499587148041</v>
      </c>
      <c r="AU76" s="7">
        <f t="shared" si="23"/>
        <v>3992.5663663144592</v>
      </c>
      <c r="AV76" s="7">
        <f t="shared" si="23"/>
        <v>4194.3259722555076</v>
      </c>
      <c r="AW76" s="7"/>
    </row>
    <row r="77" spans="1:49" ht="15">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5">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0.56642522531935391</v>
      </c>
      <c r="AT78" s="103">
        <f>AT57 * AT13</f>
        <v>0.55355295646267921</v>
      </c>
      <c r="AU78" s="103">
        <f>AU57 * AU13</f>
        <v>0.54652411725425787</v>
      </c>
      <c r="AV78" s="103">
        <f>AV57 * AV13</f>
        <v>0.54521093816335131</v>
      </c>
      <c r="AW78" s="193"/>
    </row>
    <row r="79" spans="1:49" ht="15">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5">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-3.3574774680646069E-2</v>
      </c>
      <c r="AT80" s="459">
        <f t="shared" ref="AT80:AV80" si="25">AT78 + AT79</f>
        <v>-4.6447043537320765E-2</v>
      </c>
      <c r="AU80" s="459">
        <f t="shared" si="25"/>
        <v>-5.3475882745742109E-2</v>
      </c>
      <c r="AV80" s="459">
        <f t="shared" si="25"/>
        <v>-5.4789061836648667E-2</v>
      </c>
      <c r="AW80" s="193"/>
    </row>
    <row r="81" spans="1:49" ht="15">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5">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5">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5">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5">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5">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5">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5">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5">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5">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5">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5">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-1932.8877901231158</v>
      </c>
      <c r="AS92" s="7">
        <f t="shared" ref="AS92:AV92" si="28">AS46</f>
        <v>-2001.022163373184</v>
      </c>
      <c r="AT92" s="7">
        <f t="shared" si="28"/>
        <v>-2069.8175143038848</v>
      </c>
      <c r="AU92" s="7">
        <f t="shared" si="28"/>
        <v>-2182.0338089290499</v>
      </c>
      <c r="AV92" s="7">
        <f t="shared" si="28"/>
        <v>-2286.7923982963362</v>
      </c>
      <c r="AW92" s="7"/>
    </row>
    <row r="93" spans="1:49" ht="15">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3221.4796502051931</v>
      </c>
      <c r="AS93" s="7">
        <f t="shared" si="29"/>
        <v>3532.7207792431841</v>
      </c>
      <c r="AT93" s="7">
        <f t="shared" si="29"/>
        <v>3739.1499587148041</v>
      </c>
      <c r="AU93" s="7">
        <f t="shared" si="29"/>
        <v>3992.5663663144592</v>
      </c>
      <c r="AV93" s="7">
        <f>AV55</f>
        <v>4194.3259722555076</v>
      </c>
      <c r="AW93" s="7"/>
    </row>
    <row r="94" spans="1:49" ht="15">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5">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0.56642522531935391</v>
      </c>
      <c r="AT95" s="460">
        <f t="shared" si="30"/>
        <v>0.55355295646267921</v>
      </c>
      <c r="AU95" s="460">
        <f t="shared" si="30"/>
        <v>0.54652411725425787</v>
      </c>
      <c r="AV95" s="460">
        <f>-AV92 / AV93</f>
        <v>0.54521093816335131</v>
      </c>
      <c r="AW95" s="7"/>
    </row>
    <row r="96" spans="1:49" ht="15">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5">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5">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5">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5">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5">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5">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5">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5">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5">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3.04E-2</v>
      </c>
      <c r="AS105" s="49">
        <f>InputSummary!AS178</f>
        <v>3.1099999999999999E-2</v>
      </c>
      <c r="AT105" s="49">
        <f>InputSummary!AT178</f>
        <v>3.1300000000000001E-2</v>
      </c>
      <c r="AU105" s="49">
        <f>InputSummary!AU178</f>
        <v>3.1399999999999997E-2</v>
      </c>
      <c r="AV105" s="49">
        <f>InputSummary!AV178</f>
        <v>3.1399999999999997E-2</v>
      </c>
      <c r="AW105" s="7"/>
    </row>
    <row r="106" spans="1:49" ht="15">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5">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5">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5.1007999999999942E-2</v>
      </c>
      <c r="AS108" s="462">
        <f>(1 + AS105) * (1 + AS106) - 1</f>
        <v>5.1721999999999824E-2</v>
      </c>
      <c r="AT108" s="462">
        <f>(1 + AT105) * (1 + AT106) - 1</f>
        <v>5.1926000000000139E-2</v>
      </c>
      <c r="AU108" s="462">
        <f>(1 + AU105) * (1 + AU106) - 1</f>
        <v>5.2028000000000185E-2</v>
      </c>
      <c r="AV108" s="462">
        <f>(1 + AV105) * (1 + AV106) - 1</f>
        <v>5.2028000000000185E-2</v>
      </c>
      <c r="AW108" s="2"/>
    </row>
    <row r="109" spans="1:49" ht="15">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5">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5">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5">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5">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2.0396116504854289E-2</v>
      </c>
      <c r="AS113" s="193">
        <f>(1+AS$108) / (1+AS111) - 1</f>
        <v>2.108932038834932E-2</v>
      </c>
      <c r="AT113" s="193">
        <f t="shared" si="31"/>
        <v>2.1287378640776788E-2</v>
      </c>
      <c r="AU113" s="193">
        <f t="shared" si="31"/>
        <v>2.1386407766990523E-2</v>
      </c>
      <c r="AV113" s="193">
        <f t="shared" si="31"/>
        <v>2.1386407766990523E-2</v>
      </c>
      <c r="AW113" s="2"/>
    </row>
    <row r="114" spans="1:49" ht="15">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3.3025740650801216E-2</v>
      </c>
      <c r="AT114" s="49">
        <f>InputSummary!AT188</f>
        <v>4.840649761983018E-2</v>
      </c>
      <c r="AU114" s="49">
        <f>InputSummary!AU188</f>
        <v>3.5320953108995079E-2</v>
      </c>
      <c r="AV114" s="49">
        <f>InputSummary!AV188</f>
        <v>3.058865665028776E-2</v>
      </c>
      <c r="AW114" s="2"/>
    </row>
    <row r="115" spans="1:49" ht="15">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5">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9.6709136939137741E-2</v>
      </c>
      <c r="AS116" s="462">
        <f>(1 + AS113) * (1 + AS114) - 1</f>
        <v>5.481155146479777E-2</v>
      </c>
      <c r="AT116" s="462">
        <f>(1 + AT113) * (1 + AT114) - 1</f>
        <v>7.0724323704114189E-2</v>
      </c>
      <c r="AU116" s="462">
        <f>(1 + AU113) * (1 + AU114) - 1</f>
        <v>5.7462749181893313E-2</v>
      </c>
      <c r="AV116" s="462">
        <f>(1 + AV113) * (1 + AV114) - 1</f>
        <v>5.2629245901445909E-2</v>
      </c>
      <c r="AW116" s="2"/>
    </row>
    <row r="117" spans="1:49" ht="15">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5">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5">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3.04E-2</v>
      </c>
      <c r="AS119" s="193">
        <f>AS105</f>
        <v>3.1099999999999999E-2</v>
      </c>
      <c r="AT119" s="193">
        <f>AT105</f>
        <v>3.1300000000000001E-2</v>
      </c>
      <c r="AU119" s="193">
        <f>AU105</f>
        <v>3.1399999999999997E-2</v>
      </c>
      <c r="AV119" s="193">
        <f>AV105</f>
        <v>3.1399999999999997E-2</v>
      </c>
      <c r="AW119" s="2"/>
    </row>
    <row r="120" spans="1:49" ht="15">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3.2148357289527585E-2</v>
      </c>
      <c r="AT120" s="49">
        <f>InputSummary!AT189</f>
        <v>3.9787011293574315E-2</v>
      </c>
      <c r="AU120" s="49">
        <f>InputSummary!AU189</f>
        <v>2.3493774810292134E-2</v>
      </c>
      <c r="AV120" s="49">
        <f>InputSummary!AV189</f>
        <v>2.0310356376031402E-2</v>
      </c>
      <c r="AW120" s="7"/>
    </row>
    <row r="121" spans="1:49" ht="15">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5">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8.7555272604131318E-2</v>
      </c>
      <c r="AS122" s="462">
        <f t="shared" si="32"/>
        <v>6.4248171201231719E-2</v>
      </c>
      <c r="AT122" s="462">
        <f t="shared" si="32"/>
        <v>7.2332344747063404E-2</v>
      </c>
      <c r="AU122" s="462">
        <f t="shared" si="32"/>
        <v>5.5631479339335321E-2</v>
      </c>
      <c r="AV122" s="462">
        <f t="shared" si="32"/>
        <v>5.2348101566238814E-2</v>
      </c>
      <c r="AW122" s="2"/>
    </row>
    <row r="123" spans="1:49" ht="15">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5">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5">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5">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-1932.8877901231158</v>
      </c>
      <c r="AS126" s="7">
        <f>AS28</f>
        <v>-2001.022163373184</v>
      </c>
      <c r="AT126" s="7">
        <f>AT28</f>
        <v>-2069.8175143038848</v>
      </c>
      <c r="AU126" s="7">
        <f>AU28</f>
        <v>-2182.0338089290499</v>
      </c>
      <c r="AV126" s="7">
        <f>AV28</f>
        <v>-2286.7923982963362</v>
      </c>
      <c r="AW126" s="7"/>
    </row>
    <row r="127" spans="1:49" ht="15">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-1889.1432837200048</v>
      </c>
      <c r="AS127" s="105">
        <f>AS36</f>
        <v>-1962.9351604392855</v>
      </c>
      <c r="AT127" s="105">
        <f>AT36</f>
        <v>-2066.1199086318388</v>
      </c>
      <c r="AU127" s="105">
        <f>AU36</f>
        <v>-2173.2970918367773</v>
      </c>
      <c r="AV127" s="105">
        <f>AV36</f>
        <v>-2246.8236711398395</v>
      </c>
      <c r="AW127" s="7"/>
    </row>
    <row r="128" spans="1:49" ht="15">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5">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-1911.0155369215604</v>
      </c>
      <c r="AS129" s="461">
        <f t="shared" si="33"/>
        <v>-1981.9786619062347</v>
      </c>
      <c r="AT129" s="461">
        <f t="shared" si="33"/>
        <v>-2067.9687114678618</v>
      </c>
      <c r="AU129" s="461">
        <f t="shared" si="33"/>
        <v>-2177.6654503829136</v>
      </c>
      <c r="AV129" s="461">
        <f>AVERAGE(AV126:AV127)</f>
        <v>-2266.8080347180876</v>
      </c>
      <c r="AW129" s="7"/>
    </row>
    <row r="130" spans="1:49" ht="15">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5">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6.0144818151032779E-2</v>
      </c>
      <c r="AS131" s="185">
        <f>AS167/AS129</f>
        <v>5.4853542800307797E-2</v>
      </c>
      <c r="AT131" s="185">
        <f>AT167/AT129</f>
        <v>5.7027586186765955E-2</v>
      </c>
      <c r="AU131" s="185">
        <f>AU167/AU129</f>
        <v>5.2928869834833969E-2</v>
      </c>
      <c r="AV131" s="185">
        <f>AV167/AV129</f>
        <v>5.2108025391559842E-2</v>
      </c>
      <c r="AW131" s="7"/>
    </row>
    <row r="132" spans="1:49" ht="15">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5">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5">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5">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5">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5">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-1433.2616526911702</v>
      </c>
      <c r="AS137" s="7">
        <f t="shared" ref="AS137:AU137" si="34">AS$129 * AS136</f>
        <v>-1486.4839964296762</v>
      </c>
      <c r="AT137" s="7">
        <f t="shared" si="34"/>
        <v>-1550.9765336008963</v>
      </c>
      <c r="AU137" s="7">
        <f t="shared" si="34"/>
        <v>-1633.2490877871851</v>
      </c>
      <c r="AV137" s="7">
        <f>AV$129 * AV136</f>
        <v>-1700.1060260385657</v>
      </c>
      <c r="AW137" s="7"/>
    </row>
    <row r="138" spans="1:49" ht="15">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5.1007999999999942E-2</v>
      </c>
      <c r="AS138" s="193">
        <f t="shared" si="35"/>
        <v>5.1721999999999824E-2</v>
      </c>
      <c r="AT138" s="193">
        <f t="shared" si="35"/>
        <v>5.1926000000000139E-2</v>
      </c>
      <c r="AU138" s="193">
        <f t="shared" si="35"/>
        <v>5.2028000000000185E-2</v>
      </c>
      <c r="AV138" s="193">
        <f t="shared" si="35"/>
        <v>5.2028000000000185E-2</v>
      </c>
      <c r="AW138" s="7"/>
    </row>
    <row r="139" spans="1:49" ht="15">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5">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-73.107810380471122</v>
      </c>
      <c r="AS140" s="461">
        <f t="shared" si="36"/>
        <v>-76.883925263335442</v>
      </c>
      <c r="AT140" s="461">
        <f t="shared" si="36"/>
        <v>-80.536007483760358</v>
      </c>
      <c r="AU140" s="461">
        <f t="shared" si="36"/>
        <v>-84.974683539391975</v>
      </c>
      <c r="AV140" s="461">
        <f>AV137*AV138</f>
        <v>-88.453116322734815</v>
      </c>
      <c r="AW140" s="7"/>
    </row>
    <row r="141" spans="1:49" ht="15">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5">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5">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5">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5">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9.6709136939137741E-2</v>
      </c>
      <c r="AS145" s="193">
        <f t="shared" si="38"/>
        <v>5.481155146479777E-2</v>
      </c>
      <c r="AT145" s="193">
        <f t="shared" si="38"/>
        <v>7.0724323704114189E-2</v>
      </c>
      <c r="AU145" s="193">
        <f t="shared" si="38"/>
        <v>5.7462749181893313E-2</v>
      </c>
      <c r="AV145" s="193">
        <f t="shared" si="38"/>
        <v>5.2629245901445909E-2</v>
      </c>
      <c r="AW145" s="193"/>
    </row>
    <row r="146" spans="1:49" ht="15">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5">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5">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5">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5">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5">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5">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5">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-477.7538842303901</v>
      </c>
      <c r="AS153" s="7">
        <f t="shared" ref="AS153:AU153" si="40">AS$129 * AS152</f>
        <v>-495.49466547655868</v>
      </c>
      <c r="AT153" s="7">
        <f t="shared" si="40"/>
        <v>-516.99217786696545</v>
      </c>
      <c r="AU153" s="7">
        <f t="shared" si="40"/>
        <v>-544.4163625957284</v>
      </c>
      <c r="AV153" s="7">
        <f>AV$129 * AV152</f>
        <v>-566.7020086795219</v>
      </c>
      <c r="AW153" s="7"/>
    </row>
    <row r="154" spans="1:49" ht="15">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8.7555272604131318E-2</v>
      </c>
      <c r="AS154" s="193">
        <f t="shared" si="41"/>
        <v>6.4248171201231719E-2</v>
      </c>
      <c r="AT154" s="193">
        <f t="shared" si="41"/>
        <v>7.2332344747063404E-2</v>
      </c>
      <c r="AU154" s="193">
        <f t="shared" si="41"/>
        <v>5.5631479339335321E-2</v>
      </c>
      <c r="AV154" s="193">
        <f>AV$122</f>
        <v>5.2348101566238814E-2</v>
      </c>
      <c r="AW154" s="7"/>
    </row>
    <row r="155" spans="1:49" ht="15">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5">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-41.829871571474399</v>
      </c>
      <c r="AS156" s="461">
        <f t="shared" si="42"/>
        <v>-31.834626096834981</v>
      </c>
      <c r="AT156" s="461">
        <f t="shared" si="42"/>
        <v>-37.39525644100847</v>
      </c>
      <c r="AU156" s="461">
        <f t="shared" si="42"/>
        <v>-30.286687627740353</v>
      </c>
      <c r="AV156" s="461">
        <f>AV153*AV154</f>
        <v>-29.665774308147164</v>
      </c>
      <c r="AW156" s="7"/>
    </row>
    <row r="157" spans="1:49" ht="15">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5">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-26.500537161170975</v>
      </c>
      <c r="AS158" s="461">
        <f>AS120 * AS153</f>
        <v>-15.929339540795358</v>
      </c>
      <c r="AT158" s="461">
        <f>AT120 * AT153</f>
        <v>-20.569573619482536</v>
      </c>
      <c r="AU158" s="461">
        <f>AU120 * AU153</f>
        <v>-12.790395425862393</v>
      </c>
      <c r="AV158" s="461">
        <f>AV120 * AV153</f>
        <v>-11.509919755293931</v>
      </c>
      <c r="AW158" s="7"/>
    </row>
    <row r="159" spans="1:49" ht="15">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5">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5">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5">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5">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5">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-26.500537161170975</v>
      </c>
      <c r="AS164" s="7">
        <f>AS158 + AS149</f>
        <v>-15.929339540795358</v>
      </c>
      <c r="AT164" s="7">
        <f>AT158 + AT149</f>
        <v>-20.569573619482536</v>
      </c>
      <c r="AU164" s="7">
        <f>AU158 + AU149</f>
        <v>-12.790395425862393</v>
      </c>
      <c r="AV164" s="7">
        <f>AV158 + AV149</f>
        <v>-11.509919755293931</v>
      </c>
      <c r="AW164" s="7"/>
    </row>
    <row r="165" spans="1:49" ht="15">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5">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5">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-114.93768195194552</v>
      </c>
      <c r="AS167" s="7">
        <f>AS140 + AS156 + AS147</f>
        <v>-108.71855136017042</v>
      </c>
      <c r="AT167" s="7">
        <f>AT140 + AT156 + AT147</f>
        <v>-117.93126392476883</v>
      </c>
      <c r="AU167" s="7">
        <f>AU140 + AU156 + AU147</f>
        <v>-115.26137116713232</v>
      </c>
      <c r="AV167" s="7">
        <f>AV140 + AV156 + AV147</f>
        <v>-118.11889063088198</v>
      </c>
      <c r="AW167" s="7"/>
    </row>
    <row r="168" spans="1:49" ht="15">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5">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-88.437144790774539</v>
      </c>
      <c r="AS169" s="461">
        <f t="shared" si="43"/>
        <v>-92.789211819375069</v>
      </c>
      <c r="AT169" s="461">
        <f t="shared" si="43"/>
        <v>-97.361690305286288</v>
      </c>
      <c r="AU169" s="461">
        <f t="shared" si="43"/>
        <v>-102.47097574126994</v>
      </c>
      <c r="AV169" s="461">
        <f t="shared" si="43"/>
        <v>-106.60897087558804</v>
      </c>
      <c r="AW169" s="7"/>
    </row>
    <row r="170" spans="1:49" ht="15">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-26.500537161170975</v>
      </c>
      <c r="AS170" s="461">
        <f t="shared" ref="AS170:AV170" si="44">AS164</f>
        <v>-15.929339540795358</v>
      </c>
      <c r="AT170" s="461">
        <f t="shared" si="44"/>
        <v>-20.569573619482536</v>
      </c>
      <c r="AU170" s="461">
        <f t="shared" si="44"/>
        <v>-12.790395425862393</v>
      </c>
      <c r="AV170" s="461">
        <f t="shared" si="44"/>
        <v>-11.509919755293931</v>
      </c>
      <c r="AW170" s="7"/>
    </row>
    <row r="171" spans="1:49" ht="15">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0.23056439551522037</v>
      </c>
      <c r="AS171" s="26">
        <f t="shared" si="45"/>
        <v>0.14651905623745415</v>
      </c>
      <c r="AT171" s="26">
        <f t="shared" si="45"/>
        <v>0.17442002175609989</v>
      </c>
      <c r="AU171" s="26">
        <f t="shared" si="45"/>
        <v>0.11096862111171617</v>
      </c>
      <c r="AV171" s="26">
        <f t="shared" si="45"/>
        <v>9.7443513851328725E-2</v>
      </c>
      <c r="AW171" s="7"/>
    </row>
    <row r="172" spans="1:49" ht="15">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5">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5">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5">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5">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5">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5">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-161.07398251025981</v>
      </c>
      <c r="AS178" s="7">
        <f>AS71</f>
        <v>0</v>
      </c>
      <c r="AT178" s="7">
        <f>AT71</f>
        <v>0</v>
      </c>
      <c r="AU178" s="7">
        <f>AU71</f>
        <v>0</v>
      </c>
      <c r="AV178" s="7">
        <f>AV71</f>
        <v>0</v>
      </c>
      <c r="AW178" s="89"/>
    </row>
    <row r="179" spans="1:49" ht="15">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5">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161.07398251025981</v>
      </c>
      <c r="AS180" s="7">
        <f t="shared" ref="AS180:AV180" si="46">AS176 * MAX(-AS178,0) + (1 - AS176) * (-AS178 + AS179)</f>
        <v>0</v>
      </c>
      <c r="AT180" s="7">
        <f t="shared" si="46"/>
        <v>0</v>
      </c>
      <c r="AU180" s="7">
        <f t="shared" si="46"/>
        <v>0</v>
      </c>
      <c r="AV180" s="7">
        <f t="shared" si="46"/>
        <v>0</v>
      </c>
      <c r="AW180" s="7"/>
    </row>
    <row r="181" spans="1:49" ht="15">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5">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5">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5">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8.0536991255129902</v>
      </c>
      <c r="AS184" s="538">
        <f t="shared" si="47"/>
        <v>0</v>
      </c>
      <c r="AT184" s="538">
        <f t="shared" si="47"/>
        <v>0</v>
      </c>
      <c r="AU184" s="538">
        <f t="shared" si="47"/>
        <v>0</v>
      </c>
      <c r="AV184" s="538">
        <f>AV180 * AV182</f>
        <v>0</v>
      </c>
      <c r="AW184" s="7"/>
    </row>
    <row r="185" spans="1:49" ht="15">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6.2888931388551619</v>
      </c>
      <c r="AS185" s="149">
        <f t="shared" si="48"/>
        <v>0</v>
      </c>
      <c r="AT185" s="149">
        <f t="shared" si="48"/>
        <v>0</v>
      </c>
      <c r="AU185" s="149">
        <f t="shared" si="48"/>
        <v>0</v>
      </c>
      <c r="AV185" s="149">
        <f t="shared" si="48"/>
        <v>0</v>
      </c>
      <c r="AW185" s="129"/>
    </row>
    <row r="186" spans="1:49" ht="15">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5">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5">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5">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5">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3532.7207792431841</v>
      </c>
      <c r="AS190" s="8">
        <f>'Return&amp;RAV'!AS46 * AS$17</f>
        <v>3739.1499587148041</v>
      </c>
      <c r="AT190" s="8">
        <f>'Return&amp;RAV'!AT46 * AT$17</f>
        <v>3992.5663663144592</v>
      </c>
      <c r="AU190" s="8">
        <f>'Return&amp;RAV'!AU46 * AU$17</f>
        <v>4194.3259722555076</v>
      </c>
      <c r="AV190" s="8">
        <f>'Return&amp;RAV'!AV46 * AV$17</f>
        <v>4370.6348430884545</v>
      </c>
      <c r="AW190" s="7"/>
    </row>
    <row r="191" spans="1:49" ht="15">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5">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5">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5">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42.392649350918205</v>
      </c>
      <c r="AS194" s="461">
        <f t="shared" si="49"/>
        <v>44.869799504577649</v>
      </c>
      <c r="AT194" s="461">
        <f t="shared" si="49"/>
        <v>47.910796395773509</v>
      </c>
      <c r="AU194" s="461">
        <f t="shared" si="49"/>
        <v>50.331911667066095</v>
      </c>
      <c r="AV194" s="461">
        <f>AV190 * AV191 * AV192</f>
        <v>52.447618117061459</v>
      </c>
      <c r="AW194" s="7"/>
    </row>
    <row r="195" spans="1:49" ht="15">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5">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5">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5">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5">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5">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5">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558.56610554684778</v>
      </c>
      <c r="AS201" s="8">
        <f>Revenue!AS19 * AS$17</f>
        <v>557.02206014918409</v>
      </c>
      <c r="AT201" s="8">
        <f>Revenue!AT19 * AT$17</f>
        <v>575.27300817102639</v>
      </c>
      <c r="AU201" s="8">
        <f>Revenue!AU19 * AU$17</f>
        <v>600.5446398221394</v>
      </c>
      <c r="AV201" s="8">
        <f>Revenue!AV19 * AV$17</f>
        <v>635.46515346704564</v>
      </c>
      <c r="AW201" s="48"/>
    </row>
    <row r="202" spans="1:49" ht="15">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-4.1999999999999997E-3</v>
      </c>
      <c r="AS202" s="8">
        <f>InputSummary!AS151 * AS$17</f>
        <v>0</v>
      </c>
      <c r="AT202" s="8">
        <f>InputSummary!AT151 * AT$17</f>
        <v>0</v>
      </c>
      <c r="AU202" s="8">
        <f>InputSummary!AU151 * AU$17</f>
        <v>0</v>
      </c>
      <c r="AV202" s="8">
        <f>InputSummary!AV151 * AV$17</f>
        <v>0</v>
      </c>
      <c r="AW202" s="48"/>
    </row>
    <row r="203" spans="1:49" ht="15">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-88.437144790774539</v>
      </c>
      <c r="AS203" s="7">
        <f t="shared" ref="AS203:AV203" si="50">AS169</f>
        <v>-92.789211819375069</v>
      </c>
      <c r="AT203" s="7">
        <f>AT169</f>
        <v>-97.361690305286288</v>
      </c>
      <c r="AU203" s="7">
        <f t="shared" si="50"/>
        <v>-102.47097574126994</v>
      </c>
      <c r="AV203" s="7">
        <f t="shared" si="50"/>
        <v>-106.60897087558804</v>
      </c>
      <c r="AW203" s="48"/>
    </row>
    <row r="204" spans="1:49" ht="15">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-26.500537161170975</v>
      </c>
      <c r="AS204" s="7">
        <f t="shared" si="51"/>
        <v>-15.929339540795358</v>
      </c>
      <c r="AT204" s="7">
        <f t="shared" si="51"/>
        <v>-20.569573619482536</v>
      </c>
      <c r="AU204" s="7">
        <f t="shared" si="51"/>
        <v>-12.790395425862393</v>
      </c>
      <c r="AV204" s="7">
        <f t="shared" si="51"/>
        <v>-11.509919755293931</v>
      </c>
      <c r="AW204" s="48"/>
    </row>
    <row r="205" spans="1:49" ht="15">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-180.19159423698298</v>
      </c>
      <c r="AS205" s="8">
        <f>-TaxPools!AS50 * AS$17</f>
        <v>-159.58052846427469</v>
      </c>
      <c r="AT205" s="8">
        <f>-TaxPools!AT50 * AT$17</f>
        <v>-158.80897646153269</v>
      </c>
      <c r="AU205" s="8">
        <f>-TaxPools!AU50 * AU$17</f>
        <v>-162.87292653080198</v>
      </c>
      <c r="AV205" s="8">
        <f>-TaxPools!AV50 * AV$17</f>
        <v>-194.60680931806439</v>
      </c>
      <c r="AW205" s="48"/>
    </row>
    <row r="206" spans="1:49" ht="15.75">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-108.43035667186211</v>
      </c>
      <c r="AS206" s="8">
        <f>-TaxPools!AS112</f>
        <v>-109.26663853269322</v>
      </c>
      <c r="AT206" s="8">
        <f>-TaxPools!AT112</f>
        <v>-114.95943697078955</v>
      </c>
      <c r="AU206" s="8">
        <f>-TaxPools!AU112</f>
        <v>-113.55755871951155</v>
      </c>
      <c r="AV206" s="8">
        <f>-TaxPools!AV112</f>
        <v>-114.49017920412939</v>
      </c>
      <c r="AW206" s="48"/>
    </row>
    <row r="207" spans="1:49" ht="15">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155.00227268605715</v>
      </c>
      <c r="AS207" s="431">
        <f>SUM(AS201:AS206)</f>
        <v>179.45634179204575</v>
      </c>
      <c r="AT207" s="431">
        <f>SUM(AT201:AT206)</f>
        <v>183.57333081393534</v>
      </c>
      <c r="AU207" s="431">
        <f>SUM(AU201:AU206)</f>
        <v>208.8527834046935</v>
      </c>
      <c r="AV207" s="431">
        <f>SUM(AV201:AV206)</f>
        <v>208.24927431396986</v>
      </c>
      <c r="AW207" s="48"/>
    </row>
    <row r="208" spans="1:49" ht="15">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5">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5">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5">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5">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5">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5">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5">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5">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-57.279421317729927</v>
      </c>
      <c r="AS218" s="7">
        <f t="shared" ref="AS218:AV218" si="52">AS299</f>
        <v>-67.969973523944887</v>
      </c>
      <c r="AT218" s="7">
        <f t="shared" si="52"/>
        <v>-100.60951486835535</v>
      </c>
      <c r="AU218" s="7">
        <f t="shared" si="52"/>
        <v>-117.67053832530945</v>
      </c>
      <c r="AV218" s="7">
        <f t="shared" si="52"/>
        <v>-107.52116350886243</v>
      </c>
      <c r="AW218" s="21"/>
    </row>
    <row r="219" spans="1:49" ht="15">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57.279421317729927</v>
      </c>
      <c r="AS219" s="7">
        <f>IF(AS207 &gt;= 0, MIN(AS207, -(AS215 + AS217 + AS218)), 0)</f>
        <v>67.969973523944887</v>
      </c>
      <c r="AT219" s="7">
        <f>IF(AT207 &gt;= 0, MIN(AT207, -(AT215 + AT217 + AT218)), 0)</f>
        <v>100.60951486835535</v>
      </c>
      <c r="AU219" s="7">
        <f>IF(AU207 &gt;= 0, MIN(AU207, -(AU215 + AU217 + AU218)), 0)</f>
        <v>117.67053832530945</v>
      </c>
      <c r="AV219" s="7">
        <f>IF(AV207 &gt;= 0, MIN(AV207, -(AV215 + AV217 + AV218)), 0)</f>
        <v>107.52116350886243</v>
      </c>
      <c r="AW219" s="21"/>
    </row>
    <row r="220" spans="1:49" ht="15">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5">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5">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5">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5">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97.722851368327227</v>
      </c>
      <c r="AS225" s="7">
        <f>MAX( AS207 - AS219, 0)</f>
        <v>111.48636826810086</v>
      </c>
      <c r="AT225" s="7">
        <f>MAX( AT207 - AT219, 0)</f>
        <v>82.963815945579995</v>
      </c>
      <c r="AU225" s="7">
        <f>MAX( AU207 - AU219, 0)</f>
        <v>91.182245079384046</v>
      </c>
      <c r="AV225" s="7">
        <f>MAX( AV207 - AV219, 0)</f>
        <v>100.72811080510743</v>
      </c>
      <c r="AW225" s="7"/>
    </row>
    <row r="226" spans="1:49" ht="15">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5">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24.430712842081807</v>
      </c>
      <c r="AS227" s="7">
        <f t="shared" si="54"/>
        <v>27.871592067025215</v>
      </c>
      <c r="AT227" s="7">
        <f t="shared" si="54"/>
        <v>20.740953986394999</v>
      </c>
      <c r="AU227" s="7">
        <f t="shared" si="54"/>
        <v>22.795561269846011</v>
      </c>
      <c r="AV227" s="7">
        <f t="shared" si="54"/>
        <v>25.182027701276859</v>
      </c>
      <c r="AW227" s="21"/>
    </row>
    <row r="228" spans="1:49" ht="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5">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5">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32.574283789442404</v>
      </c>
      <c r="AS231" s="538">
        <f t="shared" si="56"/>
        <v>37.162122756033618</v>
      </c>
      <c r="AT231" s="538">
        <f t="shared" si="56"/>
        <v>27.654605315193329</v>
      </c>
      <c r="AU231" s="538">
        <f t="shared" si="56"/>
        <v>30.394081693128015</v>
      </c>
      <c r="AV231" s="538">
        <f>AV227 * AV229</f>
        <v>33.576036935035809</v>
      </c>
      <c r="AW231" s="21"/>
    </row>
    <row r="232" spans="1:49" ht="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5">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5">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32.574283789442404</v>
      </c>
      <c r="AS235" s="7">
        <f t="shared" si="57"/>
        <v>37.162122756033618</v>
      </c>
      <c r="AT235" s="7">
        <f t="shared" si="57"/>
        <v>27.654605315193329</v>
      </c>
      <c r="AU235" s="7">
        <f t="shared" si="57"/>
        <v>30.394081693128015</v>
      </c>
      <c r="AV235" s="7">
        <f>AV231</f>
        <v>33.576036935035809</v>
      </c>
      <c r="AW235" s="2"/>
    </row>
    <row r="236" spans="1:49" ht="15">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5">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32.574283789442404</v>
      </c>
      <c r="AS237" s="526">
        <f t="shared" si="59"/>
        <v>37.162122756033618</v>
      </c>
      <c r="AT237" s="526">
        <f t="shared" si="59"/>
        <v>27.654605315193329</v>
      </c>
      <c r="AU237" s="526">
        <f t="shared" si="59"/>
        <v>30.394081693128015</v>
      </c>
      <c r="AV237" s="526">
        <f>AV235+AV236</f>
        <v>33.576036935035809</v>
      </c>
      <c r="AW237" s="21"/>
    </row>
    <row r="238" spans="1:49" ht="15">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5">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32.574283789442404</v>
      </c>
      <c r="AS239" s="431">
        <f t="shared" si="60"/>
        <v>37.162122756033618</v>
      </c>
      <c r="AT239" s="431">
        <f t="shared" si="60"/>
        <v>27.654605315193329</v>
      </c>
      <c r="AU239" s="431">
        <f t="shared" si="60"/>
        <v>30.394081693128015</v>
      </c>
      <c r="AV239" s="431">
        <f>SUM(AV237:AV238)</f>
        <v>33.576036935035809</v>
      </c>
      <c r="AW239" s="21"/>
    </row>
    <row r="240" spans="1:49" ht="15">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25.436285442746374</v>
      </c>
      <c r="AS240" s="149">
        <f t="shared" si="61"/>
        <v>28.11494266285716</v>
      </c>
      <c r="AT240" s="149">
        <f t="shared" si="61"/>
        <v>20.12147276391709</v>
      </c>
      <c r="AU240" s="149">
        <f t="shared" si="61"/>
        <v>21.607082066749197</v>
      </c>
      <c r="AV240" s="149">
        <f t="shared" si="61"/>
        <v>23.393986454237286</v>
      </c>
      <c r="AW240" s="129"/>
    </row>
    <row r="241" spans="1:49" ht="15">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5">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5">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5">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5">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5">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5">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5">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558.56610554684778</v>
      </c>
      <c r="AS248" s="7">
        <f t="shared" si="63"/>
        <v>557.02206014918409</v>
      </c>
      <c r="AT248" s="7">
        <f t="shared" si="63"/>
        <v>575.27300817102639</v>
      </c>
      <c r="AU248" s="7">
        <f t="shared" si="63"/>
        <v>600.5446398221394</v>
      </c>
      <c r="AV248" s="7">
        <f t="shared" si="63"/>
        <v>635.46515346704564</v>
      </c>
      <c r="AW248" s="21"/>
    </row>
    <row r="249" spans="1:49" ht="15">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-4.1999999999999997E-3</v>
      </c>
      <c r="AS249" s="7">
        <f t="shared" si="63"/>
        <v>0</v>
      </c>
      <c r="AT249" s="7">
        <f t="shared" si="63"/>
        <v>0</v>
      </c>
      <c r="AU249" s="7">
        <f t="shared" si="63"/>
        <v>0</v>
      </c>
      <c r="AV249" s="7">
        <f t="shared" si="63"/>
        <v>0</v>
      </c>
      <c r="AW249" s="21"/>
    </row>
    <row r="250" spans="1:49" ht="15">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32.574283789442404</v>
      </c>
      <c r="AS250" s="7">
        <f t="shared" si="64"/>
        <v>37.162122756033618</v>
      </c>
      <c r="AT250" s="7">
        <f t="shared" si="64"/>
        <v>27.654605315193329</v>
      </c>
      <c r="AU250" s="7">
        <f t="shared" si="64"/>
        <v>30.394081693128015</v>
      </c>
      <c r="AV250" s="7">
        <f>AV239</f>
        <v>33.576036935035809</v>
      </c>
      <c r="AW250" s="21"/>
    </row>
    <row r="251" spans="1:49" ht="15">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-3.9388843007053951</v>
      </c>
      <c r="AS251" s="7">
        <f>(InputSummary!AS143 + InputSummary!AS144) * AS$17</f>
        <v>1.0173327502965432</v>
      </c>
      <c r="AT251" s="7">
        <f>(InputSummary!AT143 + InputSummary!AT144) * AT$17</f>
        <v>0</v>
      </c>
      <c r="AU251" s="7">
        <f>(InputSummary!AU143 + InputSummary!AU144) * AU$17</f>
        <v>0</v>
      </c>
      <c r="AV251" s="7">
        <f>(InputSummary!AV143 + InputSummary!AV144) * AV$17</f>
        <v>0</v>
      </c>
      <c r="AW251" s="21"/>
    </row>
    <row r="252" spans="1:49" ht="15">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-88.437144790774539</v>
      </c>
      <c r="AS252" s="7">
        <f t="shared" si="65"/>
        <v>-92.789211819375069</v>
      </c>
      <c r="AT252" s="7">
        <f t="shared" si="65"/>
        <v>-97.361690305286288</v>
      </c>
      <c r="AU252" s="7">
        <f t="shared" si="65"/>
        <v>-102.47097574126994</v>
      </c>
      <c r="AV252" s="7">
        <f t="shared" si="65"/>
        <v>-106.60897087558804</v>
      </c>
      <c r="AW252" s="21"/>
    </row>
    <row r="253" spans="1:49" ht="15">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-26.500537161170975</v>
      </c>
      <c r="AS253" s="7">
        <f t="shared" si="65"/>
        <v>-15.929339540795358</v>
      </c>
      <c r="AT253" s="7">
        <f t="shared" si="65"/>
        <v>-20.569573619482536</v>
      </c>
      <c r="AU253" s="7">
        <f t="shared" si="65"/>
        <v>-12.790395425862393</v>
      </c>
      <c r="AV253" s="7">
        <f t="shared" si="65"/>
        <v>-11.509919755293931</v>
      </c>
      <c r="AW253" s="21"/>
    </row>
    <row r="254" spans="1:49" ht="15">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-180.19159423698298</v>
      </c>
      <c r="AS254" s="7">
        <f t="shared" si="65"/>
        <v>-159.58052846427469</v>
      </c>
      <c r="AT254" s="7">
        <f t="shared" si="65"/>
        <v>-158.80897646153269</v>
      </c>
      <c r="AU254" s="7">
        <f t="shared" si="65"/>
        <v>-162.87292653080198</v>
      </c>
      <c r="AV254" s="7">
        <f t="shared" si="65"/>
        <v>-194.60680931806439</v>
      </c>
      <c r="AW254" s="21"/>
    </row>
    <row r="255" spans="1:49" ht="15">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-108.43035667186211</v>
      </c>
      <c r="AS255" s="7">
        <f t="shared" si="65"/>
        <v>-109.26663853269322</v>
      </c>
      <c r="AT255" s="7">
        <f t="shared" si="65"/>
        <v>-114.95943697078955</v>
      </c>
      <c r="AU255" s="7">
        <f t="shared" si="65"/>
        <v>-113.55755871951155</v>
      </c>
      <c r="AV255" s="7">
        <f t="shared" si="65"/>
        <v>-114.49017920412939</v>
      </c>
      <c r="AW255" s="21"/>
    </row>
    <row r="256" spans="1:49" ht="15">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183.63767217479426</v>
      </c>
      <c r="AS256" s="431">
        <f>SUM(AS248:AS255)</f>
        <v>217.63579729837585</v>
      </c>
      <c r="AT256" s="431">
        <f>SUM(AT248:AT255)</f>
        <v>211.22793612912864</v>
      </c>
      <c r="AU256" s="431">
        <f>SUM(AU248:AU255)</f>
        <v>239.24686509782154</v>
      </c>
      <c r="AV256" s="431">
        <f>SUM(AV248:AV255)</f>
        <v>241.82531124900572</v>
      </c>
      <c r="AW256" s="21"/>
    </row>
    <row r="257" spans="1:49" ht="15">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5">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5">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5">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5">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5">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5">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5">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-65.575746212089811</v>
      </c>
      <c r="AS265" s="7">
        <f t="shared" ref="AS265:AU265" si="69">(AS281* AS$17) * ((1 - AS226) / AS226)</f>
        <v>-76.332096256525062</v>
      </c>
      <c r="AT265" s="7">
        <f t="shared" si="69"/>
        <v>-108.67896937858592</v>
      </c>
      <c r="AU265" s="7">
        <f t="shared" si="69"/>
        <v>-124.73479715560157</v>
      </c>
      <c r="AV265" s="7">
        <f>(AV281* AV$17) * ((1 - AV226) / AV226)</f>
        <v>-113.57384286087768</v>
      </c>
      <c r="AW265" s="21"/>
    </row>
    <row r="266" spans="1:49" ht="15">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65.575746212089811</v>
      </c>
      <c r="AS266" s="7">
        <f t="shared" ref="AS266:AV266" si="70">IF(AS256 &gt;= 0, MIN(AS256, -AS262-AS264-AS265), 0)</f>
        <v>76.332096256525062</v>
      </c>
      <c r="AT266" s="7">
        <f t="shared" si="70"/>
        <v>108.67896937858592</v>
      </c>
      <c r="AU266" s="7">
        <f t="shared" si="70"/>
        <v>124.73479715560157</v>
      </c>
      <c r="AV266" s="7">
        <f t="shared" si="70"/>
        <v>113.57384286087768</v>
      </c>
      <c r="AW266" s="21"/>
    </row>
    <row r="267" spans="1:49" ht="15">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5">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5">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5">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5">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5">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118.06192596270445</v>
      </c>
      <c r="AS272" s="7">
        <f t="shared" ref="AS272:AU272" si="72">MAX( AS256 - AS266, 0)</f>
        <v>141.30370104185079</v>
      </c>
      <c r="AT272" s="7">
        <f t="shared" si="72"/>
        <v>102.54896675054272</v>
      </c>
      <c r="AU272" s="7">
        <f t="shared" si="72"/>
        <v>114.51206794221997</v>
      </c>
      <c r="AV272" s="7">
        <f>MAX( AV256 - AV266, 0)</f>
        <v>128.25146838812805</v>
      </c>
      <c r="AW272" s="21"/>
    </row>
    <row r="273" spans="1:49" ht="15">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5">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29.515481490676112</v>
      </c>
      <c r="AS274" s="7">
        <f t="shared" si="73"/>
        <v>35.325925260462697</v>
      </c>
      <c r="AT274" s="7">
        <f t="shared" si="73"/>
        <v>25.637241687635679</v>
      </c>
      <c r="AU274" s="7">
        <f t="shared" si="73"/>
        <v>28.628016985554993</v>
      </c>
      <c r="AV274" s="7">
        <f>AV272 * AV273</f>
        <v>32.062867097032012</v>
      </c>
      <c r="AW274" s="21"/>
    </row>
    <row r="275" spans="1:49" ht="15">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5">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5">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5">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5">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5">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5">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-17.068713974431002</v>
      </c>
      <c r="AS281" s="8">
        <f>InputSummary!AS281</f>
        <v>-19.249640497993898</v>
      </c>
      <c r="AT281" s="8">
        <f>InputSummary!AT281</f>
        <v>-26.358249044332915</v>
      </c>
      <c r="AU281" s="8">
        <f>InputSummary!AU281</f>
        <v>-29.557892508283516</v>
      </c>
      <c r="AV281" s="8">
        <f>InputSummary!AV281</f>
        <v>-26.377392767584055</v>
      </c>
      <c r="AW281" s="8"/>
    </row>
    <row r="282" spans="1:49" ht="15">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2.1594507853983487</v>
      </c>
      <c r="AS282" s="8">
        <f>InputSummary!AS286</f>
        <v>2.108783385973247</v>
      </c>
      <c r="AT282" s="8">
        <f>InputSummary!AT286</f>
        <v>1.9571099436141921</v>
      </c>
      <c r="AU282" s="8">
        <f>InputSummary!AU286</f>
        <v>1.6739883971269975</v>
      </c>
      <c r="AV282" s="8">
        <f>InputSummary!AV286</f>
        <v>1.4057277322201749</v>
      </c>
      <c r="AW282" s="7"/>
    </row>
    <row r="283" spans="1:49" ht="15">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5">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5">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5">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2.1594507853983487</v>
      </c>
      <c r="AS286" s="7">
        <f t="shared" si="75"/>
        <v>2.108783385973247</v>
      </c>
      <c r="AT286" s="7">
        <f t="shared" si="75"/>
        <v>1.9571099436141921</v>
      </c>
      <c r="AU286" s="7">
        <f t="shared" si="75"/>
        <v>1.6739883971269975</v>
      </c>
      <c r="AV286" s="7">
        <f t="shared" si="75"/>
        <v>1.4057277322201749</v>
      </c>
      <c r="AW286" s="7"/>
    </row>
    <row r="287" spans="1:49" ht="15">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5">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-14.909263189032654</v>
      </c>
      <c r="AS288" s="463">
        <f t="shared" ref="AS288:AV288" si="76">(AS281+AS286) * AS284</f>
        <v>-17.140857112020651</v>
      </c>
      <c r="AT288" s="463">
        <f t="shared" si="76"/>
        <v>-24.401139100718723</v>
      </c>
      <c r="AU288" s="463">
        <f t="shared" si="76"/>
        <v>-27.883904111156518</v>
      </c>
      <c r="AV288" s="463">
        <f t="shared" si="76"/>
        <v>-24.97166503536388</v>
      </c>
      <c r="AW288" s="7"/>
    </row>
    <row r="289" spans="1:49" ht="15">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5">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5">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5">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-57.279421317729927</v>
      </c>
      <c r="AS292" s="2">
        <f>(AS288 * AS$17) * ((1 - AS226) / AS226)</f>
        <v>-67.969973523944887</v>
      </c>
      <c r="AT292" s="2">
        <f>(AT288 * AT$17) * ((1 - AT226) / AT226)</f>
        <v>-100.60951486835535</v>
      </c>
      <c r="AU292" s="2">
        <f>(AU288 * AU$17) * ((1 - AU226) / AU226)</f>
        <v>-117.67053832530945</v>
      </c>
      <c r="AV292" s="2">
        <f>(AV288 * AV$17) * ((1 - AV226) / AV226)</f>
        <v>-107.52116350886243</v>
      </c>
      <c r="AW292" s="2"/>
    </row>
    <row r="293" spans="1:49" ht="15">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5">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5">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5">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5">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5">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5">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-57.279421317729927</v>
      </c>
      <c r="AS299" s="464">
        <f t="shared" ref="AS299:AV299" si="79">IF(AS292&lt;0,AS292, AS296 * IF(AS297, -AS294,AS292))</f>
        <v>-67.969973523944887</v>
      </c>
      <c r="AT299" s="464">
        <f t="shared" si="79"/>
        <v>-100.60951486835535</v>
      </c>
      <c r="AU299" s="464">
        <f t="shared" si="79"/>
        <v>-117.67053832530945</v>
      </c>
      <c r="AV299" s="464">
        <f t="shared" si="79"/>
        <v>-107.52116350886243</v>
      </c>
      <c r="AW299" s="2"/>
    </row>
    <row r="300" spans="1:49" ht="15">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5">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5">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5">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5">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5">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5">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5">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5">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5">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5">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5">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5">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5">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2758.5961585892233</v>
      </c>
      <c r="AS313" s="8">
        <f>'Return&amp;RAV'!AS46</f>
        <v>2828.8477326022303</v>
      </c>
      <c r="AT313" s="8">
        <f>'Return&amp;RAV'!AT46</f>
        <v>2904.9886802684309</v>
      </c>
      <c r="AU313" s="8">
        <f>'Return&amp;RAV'!AU46</f>
        <v>2981.7365897819773</v>
      </c>
      <c r="AV313" s="8">
        <f>'Return&amp;RAV'!AV46</f>
        <v>3045.2245604047721</v>
      </c>
      <c r="AW313" s="2"/>
    </row>
    <row r="314" spans="1:49" ht="15">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1.3499787750115915</v>
      </c>
      <c r="AT314" s="92">
        <f>InputSummary!AT195</f>
        <v>1.3914988566761421</v>
      </c>
      <c r="AU314" s="92">
        <f>InputSummary!AU195</f>
        <v>1.420885888499307</v>
      </c>
      <c r="AV314" s="92">
        <f>InputSummary!AV195</f>
        <v>1.4485259715670376</v>
      </c>
      <c r="AW314" s="2"/>
    </row>
    <row r="315" spans="1:49" ht="15">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5">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1898.03575330734</v>
      </c>
      <c r="AS316" s="8">
        <f>InputSummary!AS282</f>
        <v>2011.0387178961798</v>
      </c>
      <c r="AT316" s="8">
        <f>InputSummary!AT282</f>
        <v>2291.5926097498013</v>
      </c>
      <c r="AU316" s="8">
        <f>InputSummary!AU282</f>
        <v>2419.6348857920166</v>
      </c>
      <c r="AV316" s="8">
        <f>InputSummary!AV282</f>
        <v>2631.6</v>
      </c>
      <c r="AW316" s="2"/>
    </row>
    <row r="317" spans="1:49" ht="15">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3588.0328858997109</v>
      </c>
      <c r="AS317" s="7">
        <f t="shared" si="82"/>
        <v>3818.8843967526768</v>
      </c>
      <c r="AT317" s="7">
        <f t="shared" si="82"/>
        <v>4042.2884272506567</v>
      </c>
      <c r="AU317" s="7">
        <f t="shared" si="82"/>
        <v>4236.7074436432586</v>
      </c>
      <c r="AV317" s="7">
        <f t="shared" si="82"/>
        <v>4411.0868650001275</v>
      </c>
      <c r="AW317" s="2"/>
    </row>
    <row r="318" spans="1:49" ht="15">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5">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0.52899062346007497</v>
      </c>
      <c r="AS319" s="185">
        <f t="shared" si="83"/>
        <v>0.52660371694053698</v>
      </c>
      <c r="AT319" s="185">
        <f t="shared" si="83"/>
        <v>0.56690477460768851</v>
      </c>
      <c r="AU319" s="185">
        <f t="shared" si="83"/>
        <v>0.57111210013389724</v>
      </c>
      <c r="AV319" s="185">
        <f t="shared" si="83"/>
        <v>0.59658766207496206</v>
      </c>
      <c r="AW319" s="2"/>
    </row>
    <row r="320" spans="1:49" ht="15">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5">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5">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5">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5">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5">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95.89345582</v>
      </c>
      <c r="AS325" s="8">
        <f>InputSummary!AS283</f>
        <v>94.921712618706479</v>
      </c>
      <c r="AT325" s="8">
        <f>InputSummary!AT283</f>
        <v>120.41669466812348</v>
      </c>
      <c r="AU325" s="8">
        <f>InputSummary!AU283</f>
        <v>124.28745411618772</v>
      </c>
      <c r="AV325" s="8">
        <f>InputSummary!AV283</f>
        <v>139.0153650224228</v>
      </c>
      <c r="AW325" s="2"/>
    </row>
    <row r="326" spans="1:49" ht="15">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114.93768195194551</v>
      </c>
      <c r="AS326" s="2">
        <f xml:space="preserve"> - (AS203+AS204)</f>
        <v>108.71855136017042</v>
      </c>
      <c r="AT326" s="2">
        <f xml:space="preserve"> - (AT203+AT204)</f>
        <v>117.93126392476883</v>
      </c>
      <c r="AU326" s="2">
        <f xml:space="preserve"> - (AU203+AU204)</f>
        <v>115.26137116713232</v>
      </c>
      <c r="AV326" s="2">
        <f xml:space="preserve"> - (AV203+AV204)</f>
        <v>118.11889063088198</v>
      </c>
      <c r="AW326" s="2"/>
    </row>
    <row r="327" spans="1:49" ht="15">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1</v>
      </c>
      <c r="AU327" s="432" t="b">
        <f t="shared" si="85"/>
        <v>1</v>
      </c>
      <c r="AV327" s="432" t="b">
        <f t="shared" si="85"/>
        <v>1</v>
      </c>
      <c r="AW327" s="2"/>
    </row>
    <row r="328" spans="1:49" ht="15">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5">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5">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5">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5">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5">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5">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5">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418" priority="9" operator="equal">
      <formula>FALSE()</formula>
    </cfRule>
  </conditionalFormatting>
  <conditionalFormatting sqref="AJ284:AU284 AR284:AV285">
    <cfRule type="cellIs" dxfId="417" priority="16" operator="equal">
      <formula>FALSE()</formula>
    </cfRule>
  </conditionalFormatting>
  <conditionalFormatting sqref="AJ296:AV297">
    <cfRule type="cellIs" dxfId="416" priority="10" operator="equal">
      <formula>FALSE()</formula>
    </cfRule>
  </conditionalFormatting>
  <conditionalFormatting sqref="AJ321:AV321">
    <cfRule type="cellIs" dxfId="415" priority="8" operator="equal">
      <formula>FALSE()</formula>
    </cfRule>
  </conditionalFormatting>
  <conditionalFormatting sqref="AJ327:AV327">
    <cfRule type="cellIs" dxfId="414" priority="7" operator="equal">
      <formula>FALSE()</formula>
    </cfRule>
  </conditionalFormatting>
  <conditionalFormatting sqref="AJ331:AV331">
    <cfRule type="cellIs" dxfId="413" priority="6" operator="equal">
      <formula>FALSE()</formula>
    </cfRule>
  </conditionalFormatting>
  <conditionalFormatting sqref="AM2">
    <cfRule type="expression" dxfId="412" priority="1">
      <formula>mac_sensitivity=2</formula>
    </cfRule>
    <cfRule type="expression" dxfId="411" priority="2">
      <formula>mac_sensitivity=1</formula>
    </cfRule>
  </conditionalFormatting>
  <conditionalFormatting sqref="AM3">
    <cfRule type="expression" dxfId="410" priority="3">
      <formula>$AM$3="OK"</formula>
    </cfRule>
  </conditionalFormatting>
  <conditionalFormatting sqref="AR12:AR13 AJ84:AV84">
    <cfRule type="cellIs" dxfId="409" priority="22" operator="equal">
      <formula>FALSE()</formula>
    </cfRule>
  </conditionalFormatting>
  <conditionalFormatting sqref="AR176:AV176">
    <cfRule type="cellIs" dxfId="408" priority="20" operator="equal">
      <formula>FALSE()</formula>
    </cfRule>
  </conditionalFormatting>
  <conditionalFormatting sqref="AR327:AV328">
    <cfRule type="cellIs" dxfId="407"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5" customWidth="1"/>
    <col min="5" max="5" width="65" customWidth="1"/>
    <col min="6" max="6" width="3" customWidth="1"/>
    <col min="7" max="7" width="12" customWidth="1"/>
    <col min="8" max="8" width="14.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5">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5">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5">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5">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5">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5">
      <c r="I12" s="182"/>
      <c r="AQ12" s="147"/>
    </row>
    <row r="13" spans="1:102" s="82" customFormat="1" ht="15.75">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5.75">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2676.1462204831541</v>
      </c>
      <c r="AS14" s="400">
        <f>'Return&amp;RAV'!AS23</f>
        <v>2738.0012784826013</v>
      </c>
      <c r="AT14" s="400">
        <f>'Return&amp;RAV'!AT23</f>
        <v>2810.2877861040797</v>
      </c>
      <c r="AU14" s="400">
        <f>'Return&amp;RAV'!AU23</f>
        <v>2883.9448176768728</v>
      </c>
      <c r="AV14" s="400">
        <f>'Return&amp;RAV'!AV23</f>
        <v>2953.5841269750003</v>
      </c>
    </row>
    <row r="15" spans="1:102" s="82" customFormat="1" ht="15">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1070.4584881932617</v>
      </c>
      <c r="AS15" s="449">
        <f t="shared" ref="AS15:AV15" si="0">AS14 * (1 - AS13)</f>
        <v>1095.2005113930406</v>
      </c>
      <c r="AT15" s="449">
        <f t="shared" si="0"/>
        <v>1124.1151144416319</v>
      </c>
      <c r="AU15" s="449">
        <f t="shared" si="0"/>
        <v>1153.5779270707492</v>
      </c>
      <c r="AV15" s="449">
        <f t="shared" si="0"/>
        <v>1181.4336507900002</v>
      </c>
    </row>
    <row r="16" spans="1:102" s="82" customFormat="1" ht="15">
      <c r="E16" s="194"/>
      <c r="G16" s="2"/>
      <c r="H16" s="133"/>
      <c r="AJ16" s="92"/>
      <c r="AK16" s="92"/>
      <c r="AL16" s="92"/>
      <c r="AM16" s="92"/>
      <c r="AN16" s="92"/>
      <c r="AO16" s="92"/>
      <c r="AP16" s="92"/>
      <c r="AQ16" s="215"/>
      <c r="AR16" s="92"/>
      <c r="AS16" s="92"/>
      <c r="AT16" s="92"/>
      <c r="AU16" s="92"/>
      <c r="AV16" s="92"/>
    </row>
    <row r="17" spans="1:49" s="82" customFormat="1" ht="16.5">
      <c r="E17" s="56" t="s">
        <v>1151</v>
      </c>
      <c r="G17" s="2" t="s">
        <v>101</v>
      </c>
      <c r="H17" s="21" t="s">
        <v>1152</v>
      </c>
      <c r="I17" s="438">
        <f>SUM(AR14:AV14)</f>
        <v>14061.964229721707</v>
      </c>
      <c r="AJ17" s="93"/>
      <c r="AK17" s="93"/>
      <c r="AL17" s="93"/>
      <c r="AM17" s="93"/>
      <c r="AN17" s="93"/>
      <c r="AO17" s="93"/>
      <c r="AP17" s="93"/>
      <c r="AQ17" s="241"/>
      <c r="AR17" s="93"/>
      <c r="AS17" s="93"/>
      <c r="AT17" s="93"/>
      <c r="AU17" s="93"/>
      <c r="AV17" s="93"/>
    </row>
    <row r="18" spans="1:49" s="82" customFormat="1" ht="15">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5">
      <c r="C19" s="194"/>
      <c r="D19" s="194"/>
      <c r="E19" s="56" t="s">
        <v>1153</v>
      </c>
      <c r="F19" s="194"/>
      <c r="G19" s="2" t="s">
        <v>101</v>
      </c>
      <c r="H19" s="21" t="s">
        <v>1154</v>
      </c>
      <c r="I19" s="440">
        <f>I17 * (1 - I18)</f>
        <v>5624.7856918886828</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5">
      <c r="E20" s="2"/>
      <c r="G20" s="2"/>
      <c r="AJ20" s="92"/>
      <c r="AK20" s="92"/>
      <c r="AL20" s="92"/>
      <c r="AM20" s="92"/>
      <c r="AN20" s="92"/>
      <c r="AO20" s="92"/>
      <c r="AP20" s="92"/>
      <c r="AQ20" s="215"/>
      <c r="AR20" s="92"/>
      <c r="AS20" s="92"/>
      <c r="AT20" s="92"/>
      <c r="AU20" s="92"/>
      <c r="AV20" s="92"/>
    </row>
    <row r="21" spans="1:49" s="21" customFormat="1" ht="15">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5">
      <c r="E22" s="346"/>
      <c r="G22" s="2"/>
      <c r="AJ22" s="92"/>
      <c r="AK22" s="92"/>
      <c r="AL22" s="92"/>
      <c r="AM22" s="92"/>
      <c r="AN22" s="92"/>
      <c r="AO22" s="92"/>
      <c r="AP22" s="92"/>
      <c r="AQ22" s="215"/>
      <c r="AR22" s="92"/>
      <c r="AS22" s="92"/>
      <c r="AT22" s="92"/>
      <c r="AU22" s="92"/>
      <c r="AV22" s="92"/>
    </row>
    <row r="23" spans="1:49" s="82" customFormat="1" ht="15">
      <c r="E23" s="56" t="s">
        <v>1156</v>
      </c>
      <c r="G23" s="2" t="s">
        <v>101</v>
      </c>
      <c r="AJ23" s="92"/>
      <c r="AK23" s="92"/>
      <c r="AL23" s="92"/>
      <c r="AM23" s="92"/>
      <c r="AN23" s="92"/>
      <c r="AO23" s="92"/>
      <c r="AP23" s="92"/>
      <c r="AQ23" s="215"/>
      <c r="AR23" s="8">
        <f>-(TIM!AR15 * (1 - TIM!AR17) + TIM!AR28 * (1 - TIM!AR30))</f>
        <v>23.408241754650831</v>
      </c>
      <c r="AS23" s="8">
        <f>-(TIM!AS15 * (1 - TIM!AS17) + TIM!AS28 * (1 - TIM!AS30))</f>
        <v>13.213217145375843</v>
      </c>
      <c r="AT23" s="8">
        <f>-(TIM!AT15 * (1 - TIM!AT17) + TIM!AT28 * (1 - TIM!AT30))</f>
        <v>-3.3781624306253182</v>
      </c>
      <c r="AU23" s="8">
        <f>-(TIM!AU15 * (1 - TIM!AU17) + TIM!AU28 * (1 - TIM!AU30))</f>
        <v>-4.809345433549483</v>
      </c>
      <c r="AV23" s="8">
        <f>-(TIM!AV15 * (1 - TIM!AV17) + TIM!AV28 * (1 - TIM!AV30))</f>
        <v>0.76000671913533147</v>
      </c>
    </row>
    <row r="24" spans="1:49" s="82" customFormat="1" ht="15">
      <c r="E24" s="56" t="s">
        <v>1157</v>
      </c>
      <c r="G24" s="2" t="s">
        <v>101</v>
      </c>
      <c r="AJ24" s="92"/>
      <c r="AK24" s="92"/>
      <c r="AL24" s="92"/>
      <c r="AM24" s="92"/>
      <c r="AO24" s="437"/>
      <c r="AP24" s="92"/>
      <c r="AQ24" s="215"/>
      <c r="AR24" s="8">
        <f>Revenue!AR16</f>
        <v>0.64558833300500829</v>
      </c>
      <c r="AS24" s="8">
        <f>Revenue!AS16</f>
        <v>6.7657623560404634</v>
      </c>
      <c r="AT24" s="8">
        <f>Revenue!AT16</f>
        <v>3.0555291000000007</v>
      </c>
      <c r="AU24" s="8">
        <f>Revenue!AU16</f>
        <v>3.8398653499999877</v>
      </c>
      <c r="AV24" s="8">
        <f>Revenue!AV16</f>
        <v>6.1730240507499747</v>
      </c>
    </row>
    <row r="25" spans="1:49" s="82" customFormat="1" ht="15">
      <c r="E25" s="56" t="s">
        <v>1155</v>
      </c>
      <c r="G25" s="2" t="s">
        <v>101</v>
      </c>
      <c r="I25" s="393"/>
      <c r="AJ25" s="92"/>
      <c r="AK25" s="92"/>
      <c r="AL25" s="92"/>
      <c r="AM25" s="92"/>
      <c r="AN25" s="144"/>
      <c r="AO25" s="437"/>
      <c r="AP25" s="92"/>
      <c r="AQ25" s="215"/>
      <c r="AR25" s="447">
        <f>SUM(AR23:AR24)</f>
        <v>24.05383008765584</v>
      </c>
      <c r="AS25" s="431">
        <f t="shared" ref="AS25:AV25" si="1">SUM(AS23:AS24)</f>
        <v>19.978979501416305</v>
      </c>
      <c r="AT25" s="431">
        <f t="shared" si="1"/>
        <v>-0.32263333062531752</v>
      </c>
      <c r="AU25" s="431">
        <f t="shared" si="1"/>
        <v>-0.96948008354949522</v>
      </c>
      <c r="AV25" s="431">
        <f t="shared" si="1"/>
        <v>6.9330307698853062</v>
      </c>
    </row>
    <row r="26" spans="1:49" s="82" customFormat="1" ht="15">
      <c r="E26" s="56"/>
      <c r="AJ26" s="92"/>
      <c r="AK26" s="92"/>
      <c r="AL26" s="92"/>
      <c r="AM26" s="92"/>
      <c r="AN26" s="250"/>
      <c r="AO26" s="400"/>
      <c r="AP26" s="92"/>
      <c r="AQ26" s="215"/>
      <c r="AR26" s="92"/>
      <c r="AS26" s="92"/>
      <c r="AT26" s="92"/>
      <c r="AU26" s="92"/>
      <c r="AV26" s="92"/>
    </row>
    <row r="27" spans="1:49" s="82" customFormat="1" ht="15">
      <c r="E27" s="56" t="s">
        <v>1158</v>
      </c>
      <c r="F27"/>
      <c r="G27" s="2" t="s">
        <v>246</v>
      </c>
      <c r="H27" s="82" t="s">
        <v>1159</v>
      </c>
      <c r="I27" s="289">
        <f>SUM(AR25:AV25)/SUM(AR15:AV15)</f>
        <v>8.8312212528231047E-3</v>
      </c>
      <c r="AJ27" s="92"/>
      <c r="AK27" s="92"/>
      <c r="AL27" s="92"/>
      <c r="AM27" s="92"/>
      <c r="AN27" s="436"/>
      <c r="AO27" s="400"/>
      <c r="AP27" s="92"/>
      <c r="AQ27" s="215"/>
      <c r="AR27" s="92"/>
      <c r="AS27" s="92"/>
      <c r="AT27" s="92"/>
      <c r="AU27" s="92"/>
      <c r="AV27" s="92"/>
    </row>
    <row r="28" spans="1:49" s="82" customFormat="1" ht="15">
      <c r="E28" s="56"/>
      <c r="F28"/>
      <c r="G28" s="2"/>
      <c r="AJ28" s="92"/>
      <c r="AK28" s="92"/>
      <c r="AL28" s="92"/>
      <c r="AM28" s="92"/>
      <c r="AN28" s="92"/>
      <c r="AO28" s="437"/>
      <c r="AP28" s="92"/>
      <c r="AQ28" s="215"/>
      <c r="AR28" s="92"/>
      <c r="AS28" s="92"/>
      <c r="AT28" s="92"/>
      <c r="AU28" s="92"/>
      <c r="AV28" s="92"/>
    </row>
    <row r="29" spans="1:49" s="82" customFormat="1" ht="15">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5">
      <c r="E30" s="56"/>
      <c r="F30"/>
      <c r="G30" s="2"/>
      <c r="AJ30" s="92"/>
      <c r="AK30" s="92"/>
      <c r="AL30" s="92"/>
      <c r="AM30" s="92"/>
      <c r="AN30" s="92"/>
      <c r="AO30" s="437"/>
      <c r="AP30" s="92"/>
      <c r="AQ30" s="215"/>
      <c r="AR30" s="92"/>
      <c r="AS30" s="92"/>
      <c r="AT30" s="92"/>
      <c r="AU30" s="92"/>
      <c r="AV30" s="92"/>
    </row>
    <row r="31" spans="1:49" s="82" customFormat="1" ht="15">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5">
      <c r="E32" s="56"/>
      <c r="G32" s="2"/>
      <c r="AJ32" s="92"/>
      <c r="AK32" s="92"/>
      <c r="AL32" s="92"/>
      <c r="AM32" s="92"/>
      <c r="AN32" s="92"/>
      <c r="AO32" s="437"/>
      <c r="AP32" s="92"/>
      <c r="AQ32" s="215"/>
      <c r="AR32" s="92"/>
      <c r="AS32" s="92"/>
      <c r="AT32" s="92"/>
      <c r="AU32" s="92"/>
      <c r="AV32" s="92"/>
    </row>
    <row r="33" spans="2:52" s="82" customFormat="1" ht="15">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5">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5">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5">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5">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5">
      <c r="E39" s="56"/>
      <c r="G39" s="2"/>
      <c r="AJ39" s="92"/>
      <c r="AK39" s="92"/>
      <c r="AL39" s="92"/>
      <c r="AM39" s="92"/>
      <c r="AN39" s="92"/>
      <c r="AO39" s="92"/>
      <c r="AP39" s="92"/>
      <c r="AQ39" s="215"/>
      <c r="AR39" s="92"/>
      <c r="AS39" s="92"/>
      <c r="AT39" s="92"/>
      <c r="AU39" s="92"/>
      <c r="AV39" s="92"/>
    </row>
    <row r="40" spans="2:52" s="82" customFormat="1" ht="15">
      <c r="E40" s="56" t="s">
        <v>1163</v>
      </c>
      <c r="G40" s="2" t="s">
        <v>848</v>
      </c>
      <c r="I40" s="82" t="b">
        <f>I27 &gt;= 0</f>
        <v>1</v>
      </c>
      <c r="AJ40" s="92"/>
      <c r="AK40" s="92"/>
      <c r="AL40" s="92"/>
      <c r="AM40" s="92"/>
      <c r="AN40" s="92"/>
      <c r="AO40" s="92"/>
      <c r="AP40" s="92"/>
      <c r="AQ40" s="215"/>
      <c r="AR40" s="92"/>
      <c r="AS40" s="92"/>
      <c r="AT40" s="92"/>
      <c r="AU40" s="92"/>
      <c r="AV40" s="92"/>
    </row>
    <row r="41" spans="2:52" s="82" customFormat="1" ht="15">
      <c r="E41" s="56"/>
      <c r="G41" s="2"/>
      <c r="AJ41" s="92"/>
      <c r="AK41" s="92"/>
      <c r="AL41" s="92"/>
      <c r="AM41" s="92"/>
      <c r="AN41" s="92"/>
      <c r="AO41" s="92"/>
      <c r="AP41" s="92"/>
      <c r="AQ41" s="215"/>
      <c r="AR41" s="92"/>
      <c r="AS41" s="92"/>
      <c r="AT41" s="92"/>
      <c r="AU41" s="92"/>
      <c r="AV41" s="92"/>
    </row>
    <row r="42" spans="2:52" s="82" customFormat="1" ht="15">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5">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5">
      <c r="E44" s="2"/>
      <c r="G44" s="2"/>
      <c r="AJ44" s="92"/>
      <c r="AK44" s="92"/>
      <c r="AL44" s="92"/>
      <c r="AM44" s="92"/>
      <c r="AN44" s="92"/>
      <c r="AO44" s="92"/>
      <c r="AP44" s="92"/>
      <c r="AQ44" s="215"/>
      <c r="AR44" s="92"/>
      <c r="AS44" s="92"/>
      <c r="AT44" s="92"/>
      <c r="AU44" s="92"/>
      <c r="AV44" s="92"/>
    </row>
    <row r="45" spans="2:52" s="82" customFormat="1" ht="15">
      <c r="E45" s="2" t="s">
        <v>1162</v>
      </c>
      <c r="G45" s="2" t="s">
        <v>101</v>
      </c>
      <c r="I45" s="446">
        <f>I19 * (-I42 -I43)</f>
        <v>0</v>
      </c>
      <c r="AJ45" s="92"/>
      <c r="AK45" s="92"/>
      <c r="AL45" s="92"/>
      <c r="AM45" s="92"/>
      <c r="AN45" s="92"/>
      <c r="AO45" s="92"/>
      <c r="AP45" s="92"/>
      <c r="AQ45" s="215"/>
      <c r="AR45" s="92"/>
      <c r="AS45" s="92"/>
      <c r="AT45" s="92"/>
      <c r="AU45" s="92"/>
      <c r="AV45" s="92"/>
    </row>
    <row r="46" spans="2:52" s="21" customFormat="1" ht="15">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5">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5">
      <c r="B49" s="34"/>
      <c r="C49" s="34"/>
      <c r="D49" s="34"/>
      <c r="E49" s="35" t="s">
        <v>1167</v>
      </c>
      <c r="F49" s="35"/>
      <c r="G49" s="21" t="s">
        <v>848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5">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5">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5">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5">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5">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5">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5">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5">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5">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5">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0.19031098193428675</v>
      </c>
      <c r="AS62" s="439">
        <f t="shared" ref="AS62:AV62" si="2">AS15/$I$19</f>
        <v>0.19470973142539333</v>
      </c>
      <c r="AT62" s="439">
        <f t="shared" si="2"/>
        <v>0.19985030115239433</v>
      </c>
      <c r="AU62" s="439">
        <f t="shared" si="2"/>
        <v>0.20508833407364938</v>
      </c>
      <c r="AV62" s="439">
        <f t="shared" si="2"/>
        <v>0.21004065141427639</v>
      </c>
      <c r="AW62" s="34"/>
      <c r="AX62"/>
      <c r="AY62"/>
      <c r="AZ62"/>
    </row>
    <row r="63" spans="2:52" s="21" customFormat="1" ht="15">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5">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5">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5">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5">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5">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24.05383008765584</v>
      </c>
      <c r="AS68" s="7">
        <f t="shared" ref="AS68:AV68" si="4">AS25</f>
        <v>19.978979501416305</v>
      </c>
      <c r="AT68" s="7">
        <f t="shared" si="4"/>
        <v>-0.32263333062531752</v>
      </c>
      <c r="AU68" s="7">
        <f t="shared" si="4"/>
        <v>-0.96948008354949522</v>
      </c>
      <c r="AV68" s="7">
        <f t="shared" si="4"/>
        <v>6.9330307698853062</v>
      </c>
      <c r="AW68" s="34"/>
      <c r="AX68"/>
      <c r="AY68"/>
      <c r="AZ68"/>
    </row>
    <row r="69" spans="1:52" s="21" customFormat="1" ht="15">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5">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24.05383008765584</v>
      </c>
      <c r="AS70" s="431">
        <f t="shared" ref="AS70:AV70" si="6">SUM(AS68:AS69)</f>
        <v>19.978979501416305</v>
      </c>
      <c r="AT70" s="431">
        <f t="shared" si="6"/>
        <v>-0.32263333062531752</v>
      </c>
      <c r="AU70" s="431">
        <f t="shared" si="6"/>
        <v>-0.96948008354949522</v>
      </c>
      <c r="AV70" s="431">
        <f t="shared" si="6"/>
        <v>6.9330307698853062</v>
      </c>
      <c r="AW70" s="34"/>
      <c r="AX70"/>
      <c r="AY70"/>
      <c r="AZ70"/>
    </row>
    <row r="71" spans="1:52" s="21" customFormat="1" ht="15">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5">
      <c r="B72" s="34"/>
      <c r="C72" s="34"/>
      <c r="D72" s="34"/>
      <c r="E72" s="35" t="s">
        <v>1158</v>
      </c>
      <c r="F72" s="35"/>
      <c r="G72" s="21" t="s">
        <v>1181</v>
      </c>
      <c r="H72" s="35"/>
      <c r="I72" s="450">
        <f>SUM(AR68:AV68) / I19</f>
        <v>8.8312212528231047E-3</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5">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5">
      <c r="B74" s="34"/>
      <c r="C74" s="34"/>
      <c r="D74" s="34"/>
      <c r="E74" s="35" t="s">
        <v>1182</v>
      </c>
      <c r="F74" s="35"/>
      <c r="G74" s="21" t="s">
        <v>1181</v>
      </c>
      <c r="H74" s="35"/>
      <c r="I74" s="451">
        <f>SUM(I72:I73)</f>
        <v>8.8312212528231047E-3</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5">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5">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row r="78" spans="1:52"/>
  </sheetData>
  <conditionalFormatting sqref="AM2">
    <cfRule type="expression" dxfId="406" priority="1">
      <formula>mac_sensitivity=2</formula>
    </cfRule>
    <cfRule type="expression" dxfId="405" priority="2">
      <formula>mac_sensitivity=1</formula>
    </cfRule>
  </conditionalFormatting>
  <conditionalFormatting sqref="AM3">
    <cfRule type="expression" dxfId="404"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65" customWidth="1"/>
    <col min="6" max="6" width="1.875" customWidth="1"/>
    <col min="7" max="7" width="12" customWidth="1"/>
    <col min="8" max="8" width="2" customWidth="1"/>
    <col min="9" max="9" width="10.5" customWidth="1"/>
    <col min="10" max="10" width="1.5" customWidth="1" collapsed="1"/>
    <col min="11" max="35" width="9.625" hidden="1" customWidth="1" outlineLevel="1"/>
    <col min="36" max="48" width="9.625" customWidth="1"/>
    <col min="49" max="49" width="6" customWidth="1"/>
    <col min="50" max="52" width="9" hidden="1" customWidth="1"/>
    <col min="53" max="99" width="0" hidden="1" customWidth="1"/>
    <col min="100" max="16384" width="9" hidden="1"/>
  </cols>
  <sheetData>
    <row r="1" spans="1:52" ht="19.5">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5">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5">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5">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70.167570210486204</v>
      </c>
      <c r="AS8" s="8">
        <f>TIM!AS66</f>
        <v>72.459397823360931</v>
      </c>
      <c r="AT8" s="8">
        <f>TIM!AT66</f>
        <v>73.269033881017236</v>
      </c>
      <c r="AU8" s="8">
        <f>TIM!AU66</f>
        <v>72.811781185207835</v>
      </c>
      <c r="AV8" s="8">
        <f>TIM!AV66</f>
        <v>68.157946632138476</v>
      </c>
    </row>
    <row r="9" spans="1:52" ht="15">
      <c r="E9" s="7" t="s">
        <v>916</v>
      </c>
      <c r="F9" s="7"/>
      <c r="G9" s="2" t="s">
        <v>101</v>
      </c>
      <c r="H9" s="288"/>
      <c r="I9" s="2" t="s">
        <v>1186</v>
      </c>
      <c r="AJ9" s="8"/>
      <c r="AK9" s="8"/>
      <c r="AL9" s="8"/>
      <c r="AM9" s="8"/>
      <c r="AN9" s="8"/>
      <c r="AO9" s="8"/>
      <c r="AP9" s="8"/>
      <c r="AQ9" s="435"/>
      <c r="AR9" s="8">
        <f>-'Return&amp;RAV'!AR45</f>
        <v>192.13896415702308</v>
      </c>
      <c r="AS9" s="8">
        <f>-'Return&amp;RAV'!AS45</f>
        <v>191.06072555531307</v>
      </c>
      <c r="AT9" s="8">
        <f>-'Return&amp;RAV'!AT45</f>
        <v>190.48957540855938</v>
      </c>
      <c r="AU9" s="8">
        <f>-'Return&amp;RAV'!AU45</f>
        <v>188.23444385101459</v>
      </c>
      <c r="AV9" s="8">
        <f>-'Return&amp;RAV'!AV45</f>
        <v>185.52482653938557</v>
      </c>
    </row>
    <row r="10" spans="1:52" ht="15">
      <c r="E10" s="7" t="s">
        <v>899</v>
      </c>
      <c r="F10" s="7"/>
      <c r="G10" s="2" t="s">
        <v>101</v>
      </c>
      <c r="H10" s="288"/>
      <c r="I10" s="2" t="s">
        <v>1187</v>
      </c>
      <c r="AJ10" s="8"/>
      <c r="AK10" s="8"/>
      <c r="AL10" s="8"/>
      <c r="AM10" s="8"/>
      <c r="AN10" s="8"/>
      <c r="AO10" s="8"/>
      <c r="AP10" s="8"/>
      <c r="AQ10" s="435"/>
      <c r="AR10" s="8">
        <f>'Return&amp;RAV'!AR30</f>
        <v>105.36945088114018</v>
      </c>
      <c r="AS10" s="8">
        <f>'Return&amp;RAV'!AS30</f>
        <v>112.28593403240571</v>
      </c>
      <c r="AT10" s="8">
        <f>'Return&amp;RAV'!AT30</f>
        <v>114.01382063182784</v>
      </c>
      <c r="AU10" s="8">
        <f>'Return&amp;RAV'!AU30</f>
        <v>119.7091405589925</v>
      </c>
      <c r="AV10" s="8">
        <f>'Return&amp;RAV'!AV30</f>
        <v>120.94570561430183</v>
      </c>
    </row>
    <row r="11" spans="1:52" ht="15">
      <c r="E11" s="7" t="s">
        <v>729</v>
      </c>
      <c r="F11" s="21"/>
      <c r="G11" s="2" t="s">
        <v>101</v>
      </c>
      <c r="H11" s="288"/>
      <c r="I11" s="2" t="s">
        <v>1188</v>
      </c>
      <c r="AJ11" s="8"/>
      <c r="AK11" s="8"/>
      <c r="AL11" s="8"/>
      <c r="AM11" s="8"/>
      <c r="AN11" s="8"/>
      <c r="AO11" s="8"/>
      <c r="AP11" s="8"/>
      <c r="AQ11" s="435"/>
      <c r="AR11" s="8">
        <f>InputSummary!AR97</f>
        <v>59.571489527466845</v>
      </c>
      <c r="AS11" s="8">
        <f>InputSummary!AS97</f>
        <v>38.642780521034261</v>
      </c>
      <c r="AT11" s="8">
        <f>InputSummary!AT97</f>
        <v>37.74030596737537</v>
      </c>
      <c r="AU11" s="8">
        <f>InputSummary!AU97</f>
        <v>42.330558371102271</v>
      </c>
      <c r="AV11" s="8">
        <f>InputSummary!AV97</f>
        <v>61.956623177858361</v>
      </c>
    </row>
    <row r="12" spans="1:52" ht="15">
      <c r="E12" s="133" t="s">
        <v>1189</v>
      </c>
      <c r="F12" s="21"/>
      <c r="G12" s="180" t="s">
        <v>101</v>
      </c>
      <c r="H12" s="288"/>
      <c r="I12" s="2"/>
      <c r="AJ12" s="539"/>
      <c r="AK12" s="539"/>
      <c r="AL12" s="539"/>
      <c r="AM12" s="539"/>
      <c r="AN12" s="539"/>
      <c r="AO12" s="539"/>
      <c r="AP12" s="539"/>
      <c r="AQ12" s="540"/>
      <c r="AR12" s="539">
        <f t="shared" ref="AR12:AV12" si="0">SUM(AR8:AR11)</f>
        <v>427.24747477611629</v>
      </c>
      <c r="AS12" s="539">
        <f t="shared" si="0"/>
        <v>414.44883793211392</v>
      </c>
      <c r="AT12" s="539">
        <f t="shared" si="0"/>
        <v>415.51273588877984</v>
      </c>
      <c r="AU12" s="539">
        <f t="shared" si="0"/>
        <v>423.08592396631718</v>
      </c>
      <c r="AV12" s="539">
        <f t="shared" si="0"/>
        <v>436.58510196368428</v>
      </c>
    </row>
    <row r="13" spans="1:52" ht="15">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5">
      <c r="E14" s="21" t="s">
        <v>261</v>
      </c>
      <c r="F14" s="21"/>
      <c r="G14" s="2" t="s">
        <v>101</v>
      </c>
      <c r="H14" s="288"/>
      <c r="I14" s="2" t="s">
        <v>1192</v>
      </c>
      <c r="AJ14" s="8"/>
      <c r="AK14" s="8"/>
      <c r="AL14" s="8"/>
      <c r="AM14" s="8"/>
      <c r="AN14" s="8"/>
      <c r="AO14" s="8"/>
      <c r="AP14" s="8"/>
      <c r="AQ14" s="435"/>
      <c r="AR14" s="8">
        <f>'Finance&amp;Tax'!AR185</f>
        <v>6.2888931388551619</v>
      </c>
      <c r="AS14" s="8">
        <f>'Finance&amp;Tax'!AS185</f>
        <v>0</v>
      </c>
      <c r="AT14" s="8">
        <f>'Finance&amp;Tax'!AT185</f>
        <v>0</v>
      </c>
      <c r="AU14" s="8">
        <f>'Finance&amp;Tax'!AU185</f>
        <v>0</v>
      </c>
      <c r="AV14" s="8">
        <f>'Finance&amp;Tax'!AV185</f>
        <v>0</v>
      </c>
    </row>
    <row r="15" spans="1:52" ht="15">
      <c r="E15" s="7" t="s">
        <v>1193</v>
      </c>
      <c r="F15" s="21"/>
      <c r="G15" s="2" t="s">
        <v>101</v>
      </c>
      <c r="H15" s="288"/>
      <c r="I15" s="2" t="s">
        <v>1194</v>
      </c>
      <c r="AJ15" s="8"/>
      <c r="AK15" s="8"/>
      <c r="AL15" s="8"/>
      <c r="AM15" s="8"/>
      <c r="AN15" s="8"/>
      <c r="AO15" s="8"/>
      <c r="AP15" s="8"/>
      <c r="AQ15" s="435"/>
      <c r="AR15" s="8">
        <f>TIM!AR76</f>
        <v>1.38</v>
      </c>
      <c r="AS15" s="8">
        <f>TIM!AS76</f>
        <v>0</v>
      </c>
      <c r="AT15" s="8">
        <f>TIM!AT76</f>
        <v>0</v>
      </c>
      <c r="AU15" s="8">
        <f>TIM!AU76</f>
        <v>0</v>
      </c>
      <c r="AV15" s="8">
        <f>TIM!AV76</f>
        <v>0</v>
      </c>
    </row>
    <row r="16" spans="1:52" ht="15">
      <c r="E16" s="7" t="s">
        <v>1195</v>
      </c>
      <c r="F16" s="21"/>
      <c r="G16" s="2" t="s">
        <v>101</v>
      </c>
      <c r="H16" s="288"/>
      <c r="I16" s="2" t="s">
        <v>1196</v>
      </c>
      <c r="AJ16" s="8"/>
      <c r="AK16" s="8"/>
      <c r="AL16" s="8"/>
      <c r="AM16" s="8"/>
      <c r="AN16" s="8"/>
      <c r="AO16" s="8"/>
      <c r="AP16" s="8"/>
      <c r="AQ16" s="435"/>
      <c r="AR16" s="8">
        <f>InputSummary!AR111</f>
        <v>0.64558833300500829</v>
      </c>
      <c r="AS16" s="8">
        <f>InputSummary!AS111</f>
        <v>6.7657623560404634</v>
      </c>
      <c r="AT16" s="8">
        <f>InputSummary!AT111</f>
        <v>3.0555291000000007</v>
      </c>
      <c r="AU16" s="8">
        <f>InputSummary!AU111</f>
        <v>3.8398653499999877</v>
      </c>
      <c r="AV16" s="8">
        <f>InputSummary!AV111</f>
        <v>6.1730240507499747</v>
      </c>
    </row>
    <row r="17" spans="1:48" ht="15">
      <c r="E17" s="7" t="s">
        <v>192</v>
      </c>
      <c r="F17" s="21"/>
      <c r="G17" s="2" t="s">
        <v>101</v>
      </c>
      <c r="H17" s="288"/>
      <c r="I17" s="2" t="s">
        <v>1197</v>
      </c>
      <c r="AJ17" s="8"/>
      <c r="AK17" s="8"/>
      <c r="AL17" s="8"/>
      <c r="AM17" s="8"/>
      <c r="AN17" s="8"/>
      <c r="AO17" s="8"/>
      <c r="AP17" s="8"/>
      <c r="AQ17" s="435"/>
      <c r="AR17" s="8">
        <f>InputSummary!AR123</f>
        <v>0.60235541491903966</v>
      </c>
      <c r="AS17" s="8">
        <f>InputSummary!AS123</f>
        <v>0.19952037044633403</v>
      </c>
      <c r="AT17" s="8">
        <f>InputSummary!AT123</f>
        <v>0</v>
      </c>
      <c r="AU17" s="8">
        <f>InputSummary!AU123</f>
        <v>0</v>
      </c>
      <c r="AV17" s="8">
        <f>InputSummary!AV123</f>
        <v>0</v>
      </c>
    </row>
    <row r="18" spans="1:48" ht="15">
      <c r="E18" s="7" t="s">
        <v>558</v>
      </c>
      <c r="F18" s="21"/>
      <c r="G18" s="2" t="s">
        <v>101</v>
      </c>
      <c r="H18" s="288"/>
      <c r="I18" s="2" t="s">
        <v>210</v>
      </c>
      <c r="AJ18" s="8"/>
      <c r="AK18" s="8"/>
      <c r="AL18" s="8"/>
      <c r="AM18" s="8"/>
      <c r="AN18" s="8"/>
      <c r="AO18" s="8"/>
      <c r="AP18" s="8"/>
      <c r="AQ18" s="435"/>
      <c r="AR18" s="8">
        <f>InputSummary!AR149</f>
        <v>3.2796545750657467E-3</v>
      </c>
      <c r="AS18" s="8">
        <f>InputSummary!AS149</f>
        <v>0</v>
      </c>
      <c r="AT18" s="8">
        <f>InputSummary!AT149</f>
        <v>0</v>
      </c>
      <c r="AU18" s="8">
        <f>InputSummary!AU149</f>
        <v>0</v>
      </c>
      <c r="AV18" s="8">
        <f>InputSummary!AV149</f>
        <v>0</v>
      </c>
    </row>
    <row r="19" spans="1:48" ht="15">
      <c r="E19" s="133" t="s">
        <v>1198</v>
      </c>
      <c r="F19" s="21"/>
      <c r="G19" s="180" t="s">
        <v>101</v>
      </c>
      <c r="H19" s="288"/>
      <c r="I19" s="2"/>
      <c r="AJ19" s="541"/>
      <c r="AK19" s="541"/>
      <c r="AL19" s="541"/>
      <c r="AM19" s="541"/>
      <c r="AN19" s="541"/>
      <c r="AO19" s="541"/>
      <c r="AP19" s="541"/>
      <c r="AQ19" s="542"/>
      <c r="AR19" s="541">
        <f t="shared" ref="AR19:AV19" si="1">SUM(AR12:AR18)</f>
        <v>436.16759131747051</v>
      </c>
      <c r="AS19" s="541">
        <f t="shared" si="1"/>
        <v>421.41412065860072</v>
      </c>
      <c r="AT19" s="541">
        <f t="shared" si="1"/>
        <v>418.56826498877984</v>
      </c>
      <c r="AU19" s="541">
        <f t="shared" si="1"/>
        <v>426.92578931631715</v>
      </c>
      <c r="AV19" s="541">
        <f t="shared" si="1"/>
        <v>442.75812601443425</v>
      </c>
    </row>
    <row r="20" spans="1:48" ht="15">
      <c r="E20" s="21" t="s">
        <v>1087</v>
      </c>
      <c r="F20" s="21"/>
      <c r="G20" s="2" t="s">
        <v>101</v>
      </c>
      <c r="H20" s="288"/>
      <c r="I20" s="2" t="s">
        <v>1199</v>
      </c>
      <c r="AJ20" s="93"/>
      <c r="AK20" s="93"/>
      <c r="AL20" s="93"/>
      <c r="AM20" s="93"/>
      <c r="AN20" s="93"/>
      <c r="AO20" s="93"/>
      <c r="AP20" s="8"/>
      <c r="AQ20" s="435"/>
      <c r="AR20" s="8">
        <f>'Finance&amp;Tax'!AR240</f>
        <v>25.436285442746374</v>
      </c>
      <c r="AS20" s="8">
        <f>'Finance&amp;Tax'!AS240</f>
        <v>28.11494266285716</v>
      </c>
      <c r="AT20" s="8">
        <f>'Finance&amp;Tax'!AT240</f>
        <v>20.12147276391709</v>
      </c>
      <c r="AU20" s="8">
        <f>'Finance&amp;Tax'!AU240</f>
        <v>21.607082066749197</v>
      </c>
      <c r="AV20" s="8">
        <f>'Finance&amp;Tax'!AV240</f>
        <v>23.393986454237286</v>
      </c>
    </row>
    <row r="21" spans="1:48" ht="15">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5">
      <c r="E22" s="133" t="s">
        <v>1201</v>
      </c>
      <c r="F22" s="21"/>
      <c r="G22" s="180" t="s">
        <v>101</v>
      </c>
      <c r="H22" s="288"/>
      <c r="I22" s="2"/>
      <c r="AJ22" s="541"/>
      <c r="AK22" s="541"/>
      <c r="AL22" s="541"/>
      <c r="AM22" s="541"/>
      <c r="AN22" s="541"/>
      <c r="AO22" s="541"/>
      <c r="AP22" s="541"/>
      <c r="AQ22" s="542"/>
      <c r="AR22" s="541">
        <f t="shared" ref="AR22:AV22" si="2">SUM(AR19:AR21)</f>
        <v>461.60387676021691</v>
      </c>
      <c r="AS22" s="541">
        <f t="shared" si="2"/>
        <v>449.5290633214579</v>
      </c>
      <c r="AT22" s="541">
        <f t="shared" si="2"/>
        <v>438.68973775269694</v>
      </c>
      <c r="AU22" s="541">
        <f t="shared" si="2"/>
        <v>448.53287138306632</v>
      </c>
      <c r="AV22" s="541">
        <f t="shared" si="2"/>
        <v>466.15211246867153</v>
      </c>
    </row>
    <row r="23" spans="1:48" ht="15">
      <c r="E23" s="133"/>
      <c r="F23" s="7"/>
      <c r="G23" s="180"/>
      <c r="AJ23" s="85"/>
      <c r="AK23" s="85"/>
      <c r="AL23" s="85"/>
      <c r="AM23" s="85"/>
      <c r="AN23" s="85"/>
      <c r="AO23" s="85"/>
      <c r="AP23" s="85"/>
      <c r="AQ23" s="240"/>
      <c r="AR23" s="480"/>
      <c r="AS23" s="480"/>
      <c r="AT23" s="480"/>
      <c r="AU23" s="480"/>
      <c r="AV23" s="480"/>
    </row>
    <row r="24" spans="1:48">
      <c r="AQ24" s="313"/>
    </row>
    <row r="25" spans="1:48" ht="15">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403" priority="1">
      <formula>mac_sensitivity=2</formula>
    </cfRule>
    <cfRule type="expression" dxfId="402" priority="2">
      <formula>mac_sensitivity=1</formula>
    </cfRule>
  </conditionalFormatting>
  <conditionalFormatting sqref="AM3">
    <cfRule type="expression" dxfId="40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142875</xdr:colOff>
                    <xdr:row>0</xdr:row>
                    <xdr:rowOff>28575</xdr:rowOff>
                  </from>
                  <to>
                    <xdr:col>8</xdr:col>
                    <xdr:colOff>0</xdr:colOff>
                    <xdr:row>0</xdr:row>
                    <xdr:rowOff>161925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F1" zoomScale="85" zoomScaleNormal="85" workbookViewId="0">
      <selection activeCell="AO13" sqref="AO13"/>
    </sheetView>
  </sheetViews>
  <sheetFormatPr defaultColWidth="0" defaultRowHeight="12.75" customHeight="1"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2" width="9.625" customWidth="1"/>
    <col min="43" max="43" width="9.625" style="220" customWidth="1"/>
    <col min="44"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5">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5">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5">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5">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5">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5">
      <c r="I15" s="182"/>
      <c r="AQ15" s="147"/>
    </row>
    <row r="16" spans="1:102" s="82" customFormat="1" ht="15.75">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1.321792585589326</v>
      </c>
      <c r="AT16" s="92">
        <f>InputSummary!AT$194</f>
        <v>1.3743827621199309</v>
      </c>
      <c r="AU16" s="92">
        <f>InputSummary!AU$194</f>
        <v>1.4066722012363251</v>
      </c>
      <c r="AV16" s="92">
        <f>InputSummary!AV$194</f>
        <v>1.4352422149476913</v>
      </c>
    </row>
    <row r="17" spans="3:48" s="82" customFormat="1" ht="15">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388.82731892752673</v>
      </c>
      <c r="AT17" s="8">
        <f>'Annual Inflation'!AT29</f>
        <v>404.29759585694637</v>
      </c>
      <c r="AU17" s="8">
        <f>'Annual Inflation'!AU29</f>
        <v>413.79607253035232</v>
      </c>
      <c r="AV17" s="8">
        <f>'Annual Inflation'!AV29</f>
        <v>422.20041823044591</v>
      </c>
    </row>
    <row r="18" spans="3:48" s="82" customFormat="1" ht="15">
      <c r="E18" s="2"/>
      <c r="G18" s="2"/>
      <c r="AJ18" s="92"/>
      <c r="AK18" s="92"/>
      <c r="AL18" s="92"/>
      <c r="AM18" s="92"/>
      <c r="AN18" s="92"/>
      <c r="AO18" s="92"/>
      <c r="AP18" s="92"/>
      <c r="AQ18" s="215"/>
      <c r="AR18" s="92"/>
      <c r="AS18" s="92"/>
      <c r="AT18" s="92"/>
      <c r="AU18" s="92"/>
      <c r="AV18" s="92"/>
    </row>
    <row r="19" spans="3:48" s="82" customFormat="1" ht="15">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5">
      <c r="E20" s="2"/>
      <c r="G20" s="2"/>
      <c r="AJ20" s="92"/>
      <c r="AK20" s="92"/>
      <c r="AL20" s="92"/>
      <c r="AM20" s="92"/>
      <c r="AN20" s="92"/>
      <c r="AO20" s="92"/>
      <c r="AP20" s="92"/>
      <c r="AQ20" s="215"/>
      <c r="AR20" s="92"/>
      <c r="AS20" s="92"/>
      <c r="AT20" s="92"/>
      <c r="AU20" s="92"/>
      <c r="AV20" s="92"/>
    </row>
    <row r="21" spans="3:48" s="82" customFormat="1" ht="15">
      <c r="E21" s="259" t="s">
        <v>392</v>
      </c>
      <c r="AJ21" s="92"/>
      <c r="AK21" s="92"/>
      <c r="AL21" s="92"/>
      <c r="AM21" s="92"/>
      <c r="AN21" s="92"/>
      <c r="AO21" s="92"/>
      <c r="AP21" s="92"/>
      <c r="AQ21" s="215"/>
      <c r="AR21" s="92"/>
      <c r="AS21" s="92"/>
      <c r="AT21" s="92"/>
      <c r="AU21" s="92"/>
      <c r="AV21" s="92"/>
    </row>
    <row r="22" spans="3:48" s="82" customFormat="1" ht="15">
      <c r="E22" s="346" t="s">
        <v>770</v>
      </c>
      <c r="G22" s="2" t="s">
        <v>298</v>
      </c>
      <c r="H22" s="82" t="s">
        <v>771</v>
      </c>
      <c r="AJ22" s="92"/>
      <c r="AK22" s="92"/>
      <c r="AL22" s="92"/>
      <c r="AM22" s="92"/>
      <c r="AN22" s="92"/>
      <c r="AO22" s="92"/>
      <c r="AP22" s="92"/>
      <c r="AQ22" s="215"/>
      <c r="AR22" s="8">
        <f>Legacy!AR26</f>
        <v>1.3946954727682772</v>
      </c>
      <c r="AS22" s="8">
        <f>Legacy!AS26</f>
        <v>1.4962121912904554</v>
      </c>
      <c r="AT22" s="8">
        <f>Legacy!AT26</f>
        <v>1.6195432671832328</v>
      </c>
      <c r="AU22" s="8">
        <f>Legacy!AU26</f>
        <v>1.7248412403381637</v>
      </c>
      <c r="AV22" s="8">
        <f>Legacy!AV26</f>
        <v>1.8329236444807704</v>
      </c>
    </row>
    <row r="23" spans="3:48" s="82" customFormat="1" ht="15">
      <c r="E23" s="346" t="s">
        <v>772</v>
      </c>
      <c r="G23" s="2" t="s">
        <v>298</v>
      </c>
      <c r="H23" s="82" t="s">
        <v>690</v>
      </c>
      <c r="AJ23" s="92"/>
      <c r="AK23" s="92"/>
      <c r="AL23" s="92"/>
      <c r="AM23" s="92"/>
      <c r="AN23" s="92"/>
      <c r="AO23" s="92"/>
      <c r="AP23" s="92"/>
      <c r="AQ23" s="215"/>
      <c r="AR23" s="8">
        <f>Legacy!AR33</f>
        <v>17.156716073349525</v>
      </c>
      <c r="AS23" s="8">
        <f>Legacy!AS33</f>
        <v>50.911548126811404</v>
      </c>
      <c r="AT23" s="8">
        <f>Legacy!AT33</f>
        <v>0</v>
      </c>
      <c r="AU23" s="8">
        <f>Legacy!AU33</f>
        <v>0</v>
      </c>
      <c r="AV23" s="8">
        <f>Legacy!AV33</f>
        <v>0</v>
      </c>
    </row>
    <row r="24" spans="3:48" s="82" customFormat="1" ht="15">
      <c r="E24" s="346" t="s">
        <v>695</v>
      </c>
      <c r="G24" s="2" t="s">
        <v>298</v>
      </c>
      <c r="H24" s="82" t="s">
        <v>698</v>
      </c>
      <c r="AJ24" s="92"/>
      <c r="AK24" s="92"/>
      <c r="AL24" s="92"/>
      <c r="AM24" s="92"/>
      <c r="AN24" s="92"/>
      <c r="AO24" s="92"/>
      <c r="AP24" s="92"/>
      <c r="AQ24" s="475"/>
      <c r="AR24" s="8">
        <f>Legacy!AR43</f>
        <v>-17.711652604094262</v>
      </c>
      <c r="AS24" s="8">
        <f>Legacy!AS43</f>
        <v>0</v>
      </c>
      <c r="AT24" s="8">
        <f>Legacy!AT43</f>
        <v>0</v>
      </c>
      <c r="AU24" s="8">
        <f>Legacy!AU43</f>
        <v>0</v>
      </c>
      <c r="AV24" s="8">
        <f>Legacy!AV43</f>
        <v>0</v>
      </c>
    </row>
    <row r="25" spans="3:48" s="82" customFormat="1" ht="15">
      <c r="E25" s="346" t="s">
        <v>425</v>
      </c>
      <c r="G25" s="2" t="s">
        <v>298</v>
      </c>
      <c r="H25" s="82" t="s">
        <v>699</v>
      </c>
      <c r="AJ25" s="92"/>
      <c r="AK25" s="92"/>
      <c r="AL25" s="92"/>
      <c r="AM25" s="92"/>
      <c r="AN25" s="92"/>
      <c r="AO25" s="92"/>
      <c r="AP25" s="92"/>
      <c r="AQ25" s="475"/>
      <c r="AR25" s="8">
        <f>Legacy!AR48</f>
        <v>2.6688400000000001E-2</v>
      </c>
      <c r="AS25" s="8">
        <f>Legacy!AS48</f>
        <v>0</v>
      </c>
      <c r="AT25" s="8">
        <f>Legacy!AT48</f>
        <v>0</v>
      </c>
      <c r="AU25" s="8">
        <f>Legacy!AU48</f>
        <v>0</v>
      </c>
      <c r="AV25" s="8">
        <f>Legacy!AV48</f>
        <v>0</v>
      </c>
    </row>
    <row r="26" spans="3:48" s="82" customFormat="1" ht="15">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5">
      <c r="E27" s="259" t="s">
        <v>435</v>
      </c>
      <c r="AJ27" s="92"/>
      <c r="AK27" s="92"/>
      <c r="AL27" s="92"/>
      <c r="AM27" s="92"/>
      <c r="AN27" s="92"/>
      <c r="AO27" s="92"/>
      <c r="AP27" s="92"/>
      <c r="AQ27" s="215"/>
      <c r="AR27" s="8"/>
      <c r="AS27" s="8"/>
      <c r="AT27" s="8"/>
      <c r="AU27" s="8"/>
      <c r="AV27" s="8"/>
    </row>
    <row r="28" spans="3:48" s="82" customFormat="1" ht="15">
      <c r="E28" s="346" t="s">
        <v>774</v>
      </c>
      <c r="F28"/>
      <c r="G28" s="2" t="s">
        <v>298</v>
      </c>
      <c r="H28" s="82" t="s">
        <v>775</v>
      </c>
      <c r="AJ28" s="92"/>
      <c r="AK28" s="92"/>
      <c r="AL28" s="92"/>
      <c r="AM28" s="92"/>
      <c r="AN28" s="92"/>
      <c r="AO28" s="92"/>
      <c r="AP28" s="92"/>
      <c r="AQ28" s="215"/>
      <c r="AR28" s="8">
        <f>Legacy!AR62</f>
        <v>5.3669764752943037</v>
      </c>
      <c r="AS28" s="8">
        <f>Legacy!AS62</f>
        <v>7.1714660944790722</v>
      </c>
      <c r="AT28" s="8">
        <f>Legacy!AT62</f>
        <v>0</v>
      </c>
      <c r="AU28" s="8">
        <f>Legacy!AU62</f>
        <v>0</v>
      </c>
      <c r="AV28" s="8">
        <f>Legacy!AV62</f>
        <v>0</v>
      </c>
    </row>
    <row r="29" spans="3:48" s="82" customFormat="1" ht="15">
      <c r="E29" s="346" t="s">
        <v>776</v>
      </c>
      <c r="F29"/>
      <c r="G29" s="2" t="s">
        <v>298</v>
      </c>
      <c r="H29" s="82" t="s">
        <v>777</v>
      </c>
      <c r="AJ29" s="92"/>
      <c r="AK29" s="92"/>
      <c r="AL29" s="92"/>
      <c r="AM29" s="92"/>
      <c r="AN29" s="92"/>
      <c r="AO29" s="92"/>
      <c r="AP29" s="92"/>
      <c r="AQ29" s="215"/>
      <c r="AR29" s="8">
        <f>Legacy!AR68</f>
        <v>26.046370677532522</v>
      </c>
      <c r="AS29" s="8">
        <f>Legacy!AS68</f>
        <v>28.839247477967056</v>
      </c>
      <c r="AT29" s="8">
        <f>Legacy!AT68</f>
        <v>0</v>
      </c>
      <c r="AU29" s="8">
        <f>Legacy!AU68</f>
        <v>0</v>
      </c>
      <c r="AV29" s="8">
        <f>Legacy!AV68</f>
        <v>0</v>
      </c>
    </row>
    <row r="30" spans="3:48" s="82" customFormat="1" ht="15">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5">
      <c r="E31" s="346" t="s">
        <v>727</v>
      </c>
      <c r="F31"/>
      <c r="G31" s="2" t="s">
        <v>298</v>
      </c>
      <c r="H31" s="82" t="s">
        <v>780</v>
      </c>
      <c r="AJ31" s="92"/>
      <c r="AK31" s="92"/>
      <c r="AL31" s="92"/>
      <c r="AM31" s="92"/>
      <c r="AN31" s="92"/>
      <c r="AO31" s="92"/>
      <c r="AP31" s="92"/>
      <c r="AQ31" s="215"/>
      <c r="AR31" s="8">
        <f>Legacy!AR79</f>
        <v>1.6786498120284858</v>
      </c>
      <c r="AS31" s="8">
        <f>Legacy!AS79</f>
        <v>2.053820569293705</v>
      </c>
      <c r="AT31" s="8">
        <f>Legacy!AT79</f>
        <v>0</v>
      </c>
      <c r="AU31" s="8">
        <f>Legacy!AU79</f>
        <v>0</v>
      </c>
      <c r="AV31" s="8">
        <f>Legacy!AV79</f>
        <v>0</v>
      </c>
    </row>
    <row r="32" spans="3:48" s="82" customFormat="1" ht="15">
      <c r="E32" s="259" t="s">
        <v>462</v>
      </c>
      <c r="H32" s="182"/>
      <c r="AJ32" s="92"/>
      <c r="AK32" s="92"/>
      <c r="AL32" s="92"/>
      <c r="AM32" s="92"/>
      <c r="AN32" s="92"/>
      <c r="AO32" s="92"/>
      <c r="AP32" s="92"/>
      <c r="AQ32" s="215"/>
      <c r="AR32" s="8"/>
      <c r="AS32" s="8"/>
      <c r="AT32" s="8"/>
      <c r="AU32" s="8"/>
      <c r="AV32" s="8"/>
    </row>
    <row r="33" spans="2:52" s="82" customFormat="1" ht="15">
      <c r="E33" s="346" t="s">
        <v>463</v>
      </c>
      <c r="G33" s="2" t="s">
        <v>298</v>
      </c>
      <c r="H33" s="82" t="s">
        <v>734</v>
      </c>
      <c r="AJ33" s="92"/>
      <c r="AK33" s="92"/>
      <c r="AL33" s="92"/>
      <c r="AM33" s="92"/>
      <c r="AN33" s="92"/>
      <c r="AO33" s="92"/>
      <c r="AP33" s="92"/>
      <c r="AQ33" s="215"/>
      <c r="AR33" s="8">
        <f>Legacy!AR85</f>
        <v>1.2683833591340747</v>
      </c>
      <c r="AS33" s="8">
        <f>Legacy!AS85</f>
        <v>1.0437720376795794</v>
      </c>
      <c r="AT33" s="8">
        <f>Legacy!AT85</f>
        <v>0</v>
      </c>
      <c r="AU33" s="8">
        <f>Legacy!AU85</f>
        <v>0</v>
      </c>
      <c r="AV33" s="8">
        <f>Legacy!AV85</f>
        <v>0</v>
      </c>
    </row>
    <row r="34" spans="2:52" s="82" customFormat="1" ht="15">
      <c r="E34" s="346" t="s">
        <v>468</v>
      </c>
      <c r="G34" s="2" t="s">
        <v>298</v>
      </c>
      <c r="H34" s="82" t="s">
        <v>737</v>
      </c>
      <c r="AJ34" s="92"/>
      <c r="AK34" s="92"/>
      <c r="AL34" s="92"/>
      <c r="AM34" s="92"/>
      <c r="AN34" s="92"/>
      <c r="AO34" s="92"/>
      <c r="AP34" s="92"/>
      <c r="AQ34" s="215"/>
      <c r="AR34" s="8">
        <f>Legacy!AR90</f>
        <v>-45.593959311469973</v>
      </c>
      <c r="AS34" s="8">
        <f>Legacy!AS90</f>
        <v>-54.285120301092746</v>
      </c>
      <c r="AT34" s="8">
        <f>Legacy!AT90</f>
        <v>0</v>
      </c>
      <c r="AU34" s="8">
        <f>Legacy!AU90</f>
        <v>0</v>
      </c>
      <c r="AV34" s="8">
        <f>Legacy!AV90</f>
        <v>0</v>
      </c>
    </row>
    <row r="35" spans="2:52" s="82" customFormat="1" ht="15">
      <c r="E35" s="346" t="s">
        <v>473</v>
      </c>
      <c r="G35" s="2" t="s">
        <v>298</v>
      </c>
      <c r="H35" s="82" t="s">
        <v>740</v>
      </c>
      <c r="AJ35" s="92"/>
      <c r="AK35" s="92"/>
      <c r="AL35" s="92"/>
      <c r="AM35" s="92"/>
      <c r="AN35" s="92"/>
      <c r="AO35" s="92"/>
      <c r="AP35" s="92"/>
      <c r="AQ35" s="215"/>
      <c r="AR35" s="8">
        <f>Legacy!AR95</f>
        <v>-8.8884300251489243</v>
      </c>
      <c r="AS35" s="8">
        <f>Legacy!AS95</f>
        <v>-13.203616442819088</v>
      </c>
      <c r="AT35" s="8">
        <f>Legacy!AT95</f>
        <v>0</v>
      </c>
      <c r="AU35" s="8">
        <f>Legacy!AU95</f>
        <v>0</v>
      </c>
      <c r="AV35" s="8">
        <f>Legacy!AV95</f>
        <v>0</v>
      </c>
    </row>
    <row r="36" spans="2:52" s="82" customFormat="1" ht="15">
      <c r="E36" s="346" t="s">
        <v>478</v>
      </c>
      <c r="G36" s="2" t="s">
        <v>298</v>
      </c>
      <c r="H36" s="82" t="s">
        <v>743</v>
      </c>
      <c r="AJ36" s="92"/>
      <c r="AK36" s="92"/>
      <c r="AL36" s="92"/>
      <c r="AM36" s="92"/>
      <c r="AN36" s="92"/>
      <c r="AO36" s="92"/>
      <c r="AP36" s="92"/>
      <c r="AQ36" s="215"/>
      <c r="AR36" s="8">
        <f>Legacy!AR100</f>
        <v>3.6181513185152254</v>
      </c>
      <c r="AS36" s="8">
        <f>Legacy!AS100</f>
        <v>3.6939011520651333</v>
      </c>
      <c r="AT36" s="8">
        <f>Legacy!AT100</f>
        <v>0</v>
      </c>
      <c r="AU36" s="8">
        <f>Legacy!AU100</f>
        <v>0</v>
      </c>
      <c r="AV36" s="8">
        <f>Legacy!AV100</f>
        <v>0</v>
      </c>
    </row>
    <row r="37" spans="2:52" s="82" customFormat="1" ht="15">
      <c r="E37" s="346" t="s">
        <v>483</v>
      </c>
      <c r="G37" s="2" t="s">
        <v>298</v>
      </c>
      <c r="H37" s="82" t="s">
        <v>746</v>
      </c>
      <c r="AJ37" s="92"/>
      <c r="AK37" s="92"/>
      <c r="AL37" s="92"/>
      <c r="AM37" s="92"/>
      <c r="AN37" s="92"/>
      <c r="AO37" s="92"/>
      <c r="AP37" s="92"/>
      <c r="AQ37" s="215"/>
      <c r="AR37" s="8">
        <f>Legacy!AR105</f>
        <v>0.5046952670707413</v>
      </c>
      <c r="AS37" s="8">
        <f>Legacy!AS105</f>
        <v>0.4242189727013278</v>
      </c>
      <c r="AT37" s="8">
        <f>Legacy!AT105</f>
        <v>0</v>
      </c>
      <c r="AU37" s="8">
        <f>Legacy!AU105</f>
        <v>0</v>
      </c>
      <c r="AV37" s="8">
        <f>Legacy!AV105</f>
        <v>0</v>
      </c>
    </row>
    <row r="38" spans="2:52" s="82" customFormat="1" ht="15">
      <c r="E38" s="346" t="s">
        <v>782</v>
      </c>
      <c r="G38" s="2" t="s">
        <v>298</v>
      </c>
      <c r="H38" s="82" t="s">
        <v>749</v>
      </c>
      <c r="AJ38" s="92"/>
      <c r="AK38" s="92"/>
      <c r="AL38" s="92"/>
      <c r="AM38" s="92"/>
      <c r="AN38" s="92"/>
      <c r="AO38" s="92"/>
      <c r="AP38" s="92"/>
      <c r="AQ38" s="215"/>
      <c r="AR38" s="8">
        <f>Legacy!AR110</f>
        <v>5.6983779838499955E-2</v>
      </c>
      <c r="AS38" s="8">
        <f>Legacy!AS110</f>
        <v>5.2010165960880053E-2</v>
      </c>
      <c r="AT38" s="8">
        <f>Legacy!AT110</f>
        <v>0</v>
      </c>
      <c r="AU38" s="8">
        <f>Legacy!AU110</f>
        <v>0</v>
      </c>
      <c r="AV38" s="8">
        <f>Legacy!AV110</f>
        <v>0</v>
      </c>
    </row>
    <row r="39" spans="2:52" s="82" customFormat="1" ht="15">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5">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5">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5">
      <c r="E42" s="346" t="s">
        <v>784</v>
      </c>
      <c r="G42" s="2" t="s">
        <v>298</v>
      </c>
      <c r="H42" s="82" t="s">
        <v>1209</v>
      </c>
      <c r="AJ42" s="92"/>
      <c r="AK42" s="92"/>
      <c r="AL42" s="92"/>
      <c r="AM42" s="92"/>
      <c r="AN42" s="92"/>
      <c r="AO42" s="92"/>
      <c r="AP42" s="92"/>
      <c r="AQ42" s="215"/>
      <c r="AR42" s="8">
        <f>Legacy!AR130</f>
        <v>1.2712354643166031</v>
      </c>
      <c r="AS42" s="8">
        <f>Legacy!AS130</f>
        <v>2.2541676240083715</v>
      </c>
      <c r="AT42" s="8">
        <f>Legacy!AT130</f>
        <v>0</v>
      </c>
      <c r="AU42" s="8">
        <f>Legacy!AU130</f>
        <v>0</v>
      </c>
      <c r="AV42" s="8">
        <f>Legacy!AV130</f>
        <v>0</v>
      </c>
    </row>
    <row r="43" spans="2:52" s="82" customFormat="1" ht="15">
      <c r="E43" s="346" t="s">
        <v>785</v>
      </c>
      <c r="G43" s="2" t="s">
        <v>298</v>
      </c>
      <c r="H43" s="82" t="s">
        <v>766</v>
      </c>
      <c r="AJ43" s="92"/>
      <c r="AK43" s="92"/>
      <c r="AL43" s="92"/>
      <c r="AM43" s="92"/>
      <c r="AN43" s="92"/>
      <c r="AO43" s="92"/>
      <c r="AP43" s="92"/>
      <c r="AQ43" s="215"/>
      <c r="AR43" s="8">
        <f>Legacy!AR135</f>
        <v>2.5011630110187557</v>
      </c>
      <c r="AS43" s="8">
        <f>Legacy!AS135</f>
        <v>4.8909302674314485</v>
      </c>
      <c r="AT43" s="8">
        <f>Legacy!AT135</f>
        <v>-0.26738717781833882</v>
      </c>
      <c r="AU43" s="8">
        <f>Legacy!AU135</f>
        <v>0</v>
      </c>
      <c r="AV43" s="8">
        <f>Legacy!AV135</f>
        <v>0</v>
      </c>
    </row>
    <row r="44" spans="2:52" s="82" customFormat="1" ht="15">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5">
      <c r="E45" s="2" t="s">
        <v>1210</v>
      </c>
      <c r="G45" s="2" t="s">
        <v>298</v>
      </c>
      <c r="H45" s="82" t="s">
        <v>1211</v>
      </c>
      <c r="AJ45" s="92"/>
      <c r="AK45" s="92"/>
      <c r="AL45" s="92"/>
      <c r="AM45" s="92"/>
      <c r="AN45" s="92"/>
      <c r="AO45" s="92"/>
      <c r="AP45" s="92"/>
      <c r="AQ45" s="215"/>
      <c r="AR45" s="543">
        <f>SUM(AR22:AR44)</f>
        <v>-11.303332829846141</v>
      </c>
      <c r="AS45" s="544">
        <f t="shared" ref="AS45:AV45" si="1">SUM(AS22:AS44)</f>
        <v>35.34255793577659</v>
      </c>
      <c r="AT45" s="544">
        <f t="shared" si="1"/>
        <v>1.3521560893648941</v>
      </c>
      <c r="AU45" s="544">
        <f t="shared" si="1"/>
        <v>1.7248412403381637</v>
      </c>
      <c r="AV45" s="544">
        <f t="shared" si="1"/>
        <v>1.8329236444807704</v>
      </c>
    </row>
    <row r="46" spans="2:52" s="82" customFormat="1" ht="15">
      <c r="E46" s="2"/>
      <c r="G46" s="2"/>
      <c r="AJ46" s="92"/>
      <c r="AK46" s="92"/>
      <c r="AL46" s="92"/>
      <c r="AM46" s="92"/>
      <c r="AN46" s="92"/>
      <c r="AO46" s="92"/>
      <c r="AP46" s="92"/>
      <c r="AQ46" s="215"/>
      <c r="AR46" s="92"/>
      <c r="AS46" s="92"/>
      <c r="AT46" s="92"/>
      <c r="AU46" s="92"/>
      <c r="AV46" s="92"/>
    </row>
    <row r="47" spans="2:52" s="2" customFormat="1" ht="15">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5">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5">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591.14038933629024</v>
      </c>
      <c r="AS49" s="35">
        <f>Revenue!AS22 * (AS17/$AO$17)</f>
        <v>594.18418290521765</v>
      </c>
      <c r="AT49" s="35">
        <f>Revenue!AT22 * (AT17/$AO$17)</f>
        <v>602.9276134862198</v>
      </c>
      <c r="AU49" s="35">
        <f>Revenue!AU22 * (AU17/$AO$17)</f>
        <v>630.93872151526739</v>
      </c>
      <c r="AV49" s="35">
        <f>Revenue!AV22 * (AV17/$AO$17)</f>
        <v>669.0411904020815</v>
      </c>
      <c r="AW49" s="34"/>
      <c r="AX49"/>
      <c r="AY49"/>
      <c r="AZ49"/>
    </row>
    <row r="50" spans="2:52" s="21" customFormat="1" ht="15">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-2.1984489234992282</v>
      </c>
      <c r="AS50" s="35">
        <f>AS69</f>
        <v>52.554572561662162</v>
      </c>
      <c r="AT50" s="35">
        <f>AT69</f>
        <v>-38.761266138378453</v>
      </c>
      <c r="AU50" s="35">
        <f>AU69</f>
        <v>-16.829070363547817</v>
      </c>
      <c r="AV50" s="35">
        <f>AV69</f>
        <v>35.795828546146112</v>
      </c>
      <c r="AW50" s="34"/>
      <c r="AX50"/>
      <c r="AY50"/>
      <c r="AZ50"/>
    </row>
    <row r="51" spans="2:52" s="21" customFormat="1" ht="15">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5">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-11.303332829846141</v>
      </c>
      <c r="AS52" s="35">
        <f t="shared" ref="AS52:AV52" si="3">AS45</f>
        <v>35.34255793577659</v>
      </c>
      <c r="AT52" s="35">
        <f t="shared" si="3"/>
        <v>1.3521560893648941</v>
      </c>
      <c r="AU52" s="35">
        <f t="shared" si="3"/>
        <v>1.7248412403381637</v>
      </c>
      <c r="AV52" s="35">
        <f t="shared" si="3"/>
        <v>1.8329236444807704</v>
      </c>
      <c r="AW52" s="34"/>
      <c r="AX52"/>
      <c r="AY52"/>
      <c r="AZ52"/>
    </row>
    <row r="53" spans="2:52" s="21" customFormat="1" ht="15">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577.63860758294493</v>
      </c>
      <c r="AS53" s="546">
        <f t="shared" ref="AS53:AV53" si="4">SUM(AS49:AS52)</f>
        <v>682.08131340265641</v>
      </c>
      <c r="AT53" s="546">
        <f t="shared" si="4"/>
        <v>565.51850343720628</v>
      </c>
      <c r="AU53" s="546">
        <f t="shared" si="4"/>
        <v>615.83449239205777</v>
      </c>
      <c r="AV53" s="546">
        <f t="shared" si="4"/>
        <v>706.66994259270837</v>
      </c>
      <c r="AW53" s="34"/>
      <c r="AX53"/>
      <c r="AY53"/>
      <c r="AZ53"/>
    </row>
    <row r="54" spans="2:52" s="21" customFormat="1" ht="15">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5">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5">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5">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621.07936740432899</v>
      </c>
      <c r="AR57" s="35"/>
      <c r="AS57" s="34"/>
      <c r="AT57" s="34"/>
      <c r="AU57" s="34"/>
      <c r="AV57" s="34"/>
      <c r="AW57" s="34"/>
      <c r="AX57"/>
      <c r="AY57"/>
      <c r="AZ57"/>
    </row>
    <row r="58" spans="2:52" s="21" customFormat="1" ht="15">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621.07936740432899</v>
      </c>
      <c r="AR58" s="35">
        <f>AR57 + AR53</f>
        <v>577.63860758294493</v>
      </c>
      <c r="AS58" s="34">
        <f t="shared" ref="AS58:AV58" si="6">AS57 + AS53</f>
        <v>682.08131340265641</v>
      </c>
      <c r="AT58" s="34">
        <f t="shared" si="6"/>
        <v>565.51850343720628</v>
      </c>
      <c r="AU58" s="34">
        <f t="shared" si="6"/>
        <v>615.83449239205777</v>
      </c>
      <c r="AV58" s="34">
        <f t="shared" si="6"/>
        <v>706.66994259270837</v>
      </c>
      <c r="AW58" s="34"/>
      <c r="AX58"/>
      <c r="AY58"/>
      <c r="AZ58"/>
    </row>
    <row r="59" spans="2:52" s="21" customFormat="1" ht="15">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5">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623.07913960999997</v>
      </c>
      <c r="AR60" s="330">
        <f>InputSummary!AR248</f>
        <v>528.64981785666669</v>
      </c>
      <c r="AS60" s="81">
        <f>InputSummary!AS248</f>
        <v>717.89084076833331</v>
      </c>
      <c r="AT60" s="81">
        <f>InputSummary!AT248</f>
        <v>581.32019402925937</v>
      </c>
      <c r="AU60" s="81">
        <f>InputSummary!AU248</f>
        <v>582.14944419357857</v>
      </c>
      <c r="AV60" s="81">
        <f>InputSummary!AV248</f>
        <v>0</v>
      </c>
      <c r="AW60" s="34"/>
      <c r="AX60"/>
      <c r="AY60"/>
      <c r="AZ60"/>
    </row>
    <row r="61" spans="2:52" s="21" customFormat="1" ht="15">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0</v>
      </c>
      <c r="AV61" s="34">
        <f t="shared" si="7"/>
        <v>706.66994259270837</v>
      </c>
      <c r="AW61" s="34"/>
      <c r="AX61"/>
      <c r="AY61"/>
      <c r="AZ61"/>
    </row>
    <row r="62" spans="2:52" s="21" customFormat="1" ht="15">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623.07913960999997</v>
      </c>
      <c r="AR62" s="35">
        <f t="shared" ref="AR62:AV62" si="8">AR60+AR61</f>
        <v>528.64981785666669</v>
      </c>
      <c r="AS62" s="35">
        <f t="shared" si="8"/>
        <v>717.89084076833331</v>
      </c>
      <c r="AT62" s="35">
        <f t="shared" si="8"/>
        <v>581.32019402925937</v>
      </c>
      <c r="AU62" s="35">
        <f t="shared" si="8"/>
        <v>582.14944419357857</v>
      </c>
      <c r="AV62" s="35">
        <f t="shared" si="8"/>
        <v>706.66994259270837</v>
      </c>
      <c r="AW62" s="34"/>
      <c r="AX62"/>
      <c r="AY62"/>
      <c r="AZ62"/>
    </row>
    <row r="63" spans="2:52" s="134" customFormat="1" ht="15">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-1.999772205670979</v>
      </c>
      <c r="AR63" s="365">
        <f t="shared" si="9"/>
        <v>48.988789726278242</v>
      </c>
      <c r="AS63" s="365">
        <f t="shared" si="9"/>
        <v>-35.8095273656769</v>
      </c>
      <c r="AT63" s="365">
        <f t="shared" si="9"/>
        <v>-15.801690592053092</v>
      </c>
      <c r="AU63" s="365">
        <f t="shared" si="9"/>
        <v>33.685048198479194</v>
      </c>
      <c r="AV63" s="365">
        <f t="shared" si="9"/>
        <v>0</v>
      </c>
      <c r="AW63" s="77"/>
      <c r="AX63" s="78"/>
      <c r="AY63" s="78"/>
      <c r="AZ63" s="78"/>
    </row>
    <row r="64" spans="2:52" s="21" customFormat="1" ht="1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5">
      <c r="E65" s="7" t="s">
        <v>1225</v>
      </c>
      <c r="F65" s="7"/>
      <c r="G65" s="7" t="s">
        <v>246</v>
      </c>
      <c r="H65" s="141" t="s">
        <v>582</v>
      </c>
      <c r="AJ65" s="8"/>
      <c r="AK65" s="8"/>
      <c r="AL65" s="8"/>
      <c r="AM65" s="8"/>
      <c r="AN65" s="8"/>
      <c r="AO65" s="8"/>
      <c r="AP65" s="8"/>
      <c r="AQ65" s="216">
        <f>InputSummary!AQ182</f>
        <v>2.4934999999999999E-2</v>
      </c>
      <c r="AR65" s="211">
        <f>InputSummary!AR182</f>
        <v>3.9373577600000001E-2</v>
      </c>
      <c r="AS65" s="211">
        <f>InputSummary!AS182</f>
        <v>4.1010183200000001E-2</v>
      </c>
      <c r="AT65" s="211">
        <f>InputSummary!AT182</f>
        <v>4.05701584E-2</v>
      </c>
      <c r="AU65" s="211">
        <f>InputSummary!AU182</f>
        <v>4.1508818000000003E-2</v>
      </c>
      <c r="AV65" s="211">
        <f>InputSummary!AV182</f>
        <v>4.09487932E-2</v>
      </c>
      <c r="AW65" s="8"/>
    </row>
    <row r="66" spans="1:52" ht="15">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3.2148357289527585E-2</v>
      </c>
      <c r="AS66" s="212">
        <f t="shared" si="10"/>
        <v>3.9787011293574093E-2</v>
      </c>
      <c r="AT66" s="212">
        <f t="shared" si="10"/>
        <v>2.3493774810293022E-2</v>
      </c>
      <c r="AU66" s="212">
        <f t="shared" si="10"/>
        <v>2.0310356376031402E-2</v>
      </c>
      <c r="AV66" s="212" t="str">
        <f t="shared" si="10"/>
        <v/>
      </c>
      <c r="AW66" s="8"/>
    </row>
    <row r="67" spans="1:52" ht="15">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7.278773072997935E-2</v>
      </c>
      <c r="AS67" s="548">
        <f t="shared" si="11"/>
        <v>8.2428867115704074E-2</v>
      </c>
      <c r="AT67" s="548">
        <f t="shared" si="11"/>
        <v>6.5017079375760511E-2</v>
      </c>
      <c r="AU67" s="548">
        <f t="shared" si="11"/>
        <v>6.2662233262359202E-2</v>
      </c>
      <c r="AV67" s="548" t="str">
        <f t="shared" si="11"/>
        <v/>
      </c>
      <c r="AW67" s="8"/>
    </row>
    <row r="68" spans="1:52" s="21" customFormat="1" ht="15">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5">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-2.1984489234992282</v>
      </c>
      <c r="AS69" s="34">
        <f>(AR58 - AR62) * (1 + AR67)</f>
        <v>52.554572561662162</v>
      </c>
      <c r="AT69" s="34">
        <f>(AS58 - AS62) * (1 + AS67)</f>
        <v>-38.761266138378453</v>
      </c>
      <c r="AU69" s="34">
        <f>(AT58 - AT62) * (1 + AT67)</f>
        <v>-16.829070363547817</v>
      </c>
      <c r="AV69" s="34">
        <f>(AU58 - AU62) * (1 + AU67)</f>
        <v>35.795828546146112</v>
      </c>
      <c r="AW69" s="34"/>
      <c r="AX69"/>
      <c r="AY69"/>
      <c r="AZ69"/>
    </row>
    <row r="70" spans="1:52" s="21" customFormat="1" ht="15">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5">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5">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5">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5">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5">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427.24747477611629</v>
      </c>
      <c r="AS75" s="34">
        <f>Revenue!AS12</f>
        <v>414.44883793211392</v>
      </c>
      <c r="AT75" s="34">
        <f>Revenue!AT12</f>
        <v>415.51273588877984</v>
      </c>
      <c r="AU75" s="34">
        <f>Revenue!AU12</f>
        <v>423.08592396631718</v>
      </c>
      <c r="AV75" s="34">
        <f>Revenue!AV12</f>
        <v>436.58510196368428</v>
      </c>
      <c r="AW75" s="34"/>
      <c r="AX75"/>
      <c r="AY75"/>
      <c r="AZ75"/>
    </row>
    <row r="76" spans="1:52" s="21" customFormat="1" ht="15">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427.24747477611629</v>
      </c>
      <c r="AS76" s="34">
        <f t="shared" ref="AS76:AV76" si="13">AS74 + AS75</f>
        <v>414.44883793211392</v>
      </c>
      <c r="AT76" s="34">
        <f t="shared" si="13"/>
        <v>415.51273588877984</v>
      </c>
      <c r="AU76" s="34">
        <f t="shared" si="13"/>
        <v>423.08592396631718</v>
      </c>
      <c r="AV76" s="34">
        <f t="shared" si="13"/>
        <v>436.58510196368428</v>
      </c>
      <c r="AW76" s="34"/>
      <c r="AX76"/>
      <c r="AY76"/>
      <c r="AZ76"/>
    </row>
    <row r="77" spans="1:52" s="21" customFormat="1" ht="15">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5">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429.14144932565534</v>
      </c>
      <c r="AU78" s="81">
        <f>InputSummary!AU250</f>
        <v>412.00601929769078</v>
      </c>
      <c r="AV78" s="81">
        <f>InputSummary!AV250</f>
        <v>0</v>
      </c>
      <c r="AW78" s="34"/>
      <c r="AX78"/>
      <c r="AY78"/>
      <c r="AZ78"/>
    </row>
    <row r="79" spans="1:52" s="21" customFormat="1" ht="15">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427.24747477611629</v>
      </c>
      <c r="AS79" s="35">
        <f t="shared" ref="AS79:AV79" si="16">IF(AS78 = 0, AS76, 0)</f>
        <v>414.44883793211392</v>
      </c>
      <c r="AT79" s="35">
        <f t="shared" si="16"/>
        <v>0</v>
      </c>
      <c r="AU79" s="35">
        <f t="shared" si="16"/>
        <v>0</v>
      </c>
      <c r="AV79" s="35">
        <f t="shared" si="16"/>
        <v>436.58510196368428</v>
      </c>
      <c r="AW79" s="34"/>
      <c r="AX79"/>
      <c r="AY79"/>
      <c r="AZ79"/>
    </row>
    <row r="80" spans="1:52" s="21" customFormat="1" ht="15">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427.24747477611629</v>
      </c>
      <c r="AS80" s="35">
        <f t="shared" ref="AS80:AV80" si="18">AS78+AS79</f>
        <v>414.44883793211392</v>
      </c>
      <c r="AT80" s="35">
        <f t="shared" si="18"/>
        <v>429.14144932565534</v>
      </c>
      <c r="AU80" s="35">
        <f t="shared" si="18"/>
        <v>412.00601929769078</v>
      </c>
      <c r="AV80" s="35">
        <f t="shared" si="18"/>
        <v>436.58510196368428</v>
      </c>
      <c r="AW80" s="34"/>
      <c r="AX80"/>
      <c r="AY80"/>
      <c r="AZ80"/>
    </row>
    <row r="81" spans="2:52" s="134" customFormat="1" ht="15">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-13.628713436875501</v>
      </c>
      <c r="AU81" s="365">
        <f t="shared" si="21"/>
        <v>11.079904668626398</v>
      </c>
      <c r="AV81" s="365">
        <f t="shared" si="21"/>
        <v>0</v>
      </c>
      <c r="AW81" s="77"/>
      <c r="AX81" s="78"/>
      <c r="AY81" s="78"/>
      <c r="AZ81" s="78"/>
    </row>
    <row r="82" spans="2:52" s="21" customFormat="1" ht="15">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5">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5">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5">
      <c r="E85" s="131" t="s">
        <v>314</v>
      </c>
      <c r="F85" s="21"/>
      <c r="G85" s="21" t="s">
        <v>206</v>
      </c>
      <c r="H85" s="21"/>
      <c r="I85" s="370">
        <f>InputSummary!I255</f>
        <v>0.06</v>
      </c>
      <c r="AQ85" s="369"/>
      <c r="AR85" s="143"/>
      <c r="AS85" s="143"/>
      <c r="AT85" s="143"/>
      <c r="AU85" s="143"/>
      <c r="AV85" s="143"/>
    </row>
    <row r="86" spans="2:52" s="21" customFormat="1" ht="15">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1.0327997489841647</v>
      </c>
      <c r="AU86" s="368">
        <f>IFERROR(AU80/AU76,0)</f>
        <v>0.97381169157140646</v>
      </c>
      <c r="AV86" s="368">
        <f t="shared" si="22"/>
        <v>1</v>
      </c>
      <c r="AW86" s="34"/>
      <c r="AX86"/>
      <c r="AY86"/>
      <c r="AZ86"/>
    </row>
    <row r="87" spans="2:52" s="21" customFormat="1" ht="15">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5">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5">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5">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5">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5">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520.81434287343518</v>
      </c>
      <c r="AS92" s="330">
        <f>InputSummary!AS249</f>
        <v>710.56167651617056</v>
      </c>
      <c r="AT92" s="330">
        <f>InputSummary!AT249</f>
        <v>568.95486167833837</v>
      </c>
      <c r="AU92" s="330">
        <f>InputSummary!AU249</f>
        <v>579.48770086432239</v>
      </c>
      <c r="AV92" s="330">
        <f>InputSummary!AV249</f>
        <v>0</v>
      </c>
      <c r="AW92" s="34"/>
      <c r="AX92"/>
      <c r="AY92"/>
      <c r="AZ92"/>
    </row>
    <row r="93" spans="2:52" s="21" customFormat="1" ht="15">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621.07936740432899</v>
      </c>
      <c r="AR93" s="35">
        <f t="shared" si="24"/>
        <v>0</v>
      </c>
      <c r="AS93" s="35">
        <f t="shared" si="24"/>
        <v>0</v>
      </c>
      <c r="AT93" s="35">
        <f t="shared" si="24"/>
        <v>0</v>
      </c>
      <c r="AU93" s="35">
        <f t="shared" si="24"/>
        <v>0</v>
      </c>
      <c r="AV93" s="35">
        <f t="shared" si="24"/>
        <v>706.66994259270837</v>
      </c>
      <c r="AW93" s="34"/>
      <c r="AX93"/>
      <c r="AY93"/>
      <c r="AZ93"/>
    </row>
    <row r="94" spans="2:52" s="21" customFormat="1" ht="15">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621.07936740432899</v>
      </c>
      <c r="AR94" s="35">
        <f t="shared" ref="AR94:AV94" si="25">AR92+AR93</f>
        <v>520.81434287343518</v>
      </c>
      <c r="AS94" s="35">
        <f t="shared" si="25"/>
        <v>710.56167651617056</v>
      </c>
      <c r="AT94" s="35">
        <f t="shared" si="25"/>
        <v>568.95486167833837</v>
      </c>
      <c r="AU94" s="35">
        <f t="shared" si="25"/>
        <v>579.48770086432239</v>
      </c>
      <c r="AV94" s="35">
        <f t="shared" si="25"/>
        <v>706.66994259270837</v>
      </c>
      <c r="AW94" s="34"/>
      <c r="AX94"/>
      <c r="AY94"/>
      <c r="AZ94"/>
    </row>
    <row r="95" spans="2:52" s="134" customFormat="1" ht="15">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1.999772205670979</v>
      </c>
      <c r="AR95" s="365">
        <f t="shared" si="26"/>
        <v>7.8354749832315065</v>
      </c>
      <c r="AS95" s="365">
        <f t="shared" si="26"/>
        <v>7.3291642521627409</v>
      </c>
      <c r="AT95" s="365">
        <f t="shared" si="26"/>
        <v>12.365332350920994</v>
      </c>
      <c r="AU95" s="365">
        <f t="shared" si="26"/>
        <v>2.6617433292561827</v>
      </c>
      <c r="AV95" s="365">
        <f t="shared" si="26"/>
        <v>0</v>
      </c>
      <c r="AW95" s="77"/>
      <c r="AX95" s="78"/>
      <c r="AY95" s="78"/>
      <c r="AZ95" s="78"/>
    </row>
    <row r="96" spans="2:52" s="21" customFormat="1" ht="1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5">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5">
      <c r="E99" s="131" t="s">
        <v>314</v>
      </c>
      <c r="F99" s="21"/>
      <c r="G99" s="21" t="s">
        <v>206</v>
      </c>
      <c r="H99" s="21"/>
      <c r="I99" s="370">
        <f>InputSummary!I255</f>
        <v>0.06</v>
      </c>
      <c r="AQ99" s="369"/>
      <c r="AR99" s="143"/>
      <c r="AS99" s="143"/>
      <c r="AT99" s="143"/>
      <c r="AU99" s="143"/>
      <c r="AV99" s="143"/>
    </row>
    <row r="100" spans="1:52" s="21" customFormat="1" ht="15">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0.99679050047009654</v>
      </c>
      <c r="AR100" s="368">
        <f t="shared" ref="AR100:AV100" si="27">IFERROR(AR94/AR62,0)</f>
        <v>0.98517832652435355</v>
      </c>
      <c r="AS100" s="368">
        <f t="shared" si="27"/>
        <v>0.98979069820097076</v>
      </c>
      <c r="AT100" s="368">
        <f t="shared" si="27"/>
        <v>0.97872887871791603</v>
      </c>
      <c r="AU100" s="368">
        <f t="shared" si="27"/>
        <v>0.99542773190663547</v>
      </c>
      <c r="AV100" s="368">
        <f t="shared" si="27"/>
        <v>1</v>
      </c>
      <c r="AW100" s="34"/>
      <c r="AX100"/>
      <c r="AY100"/>
      <c r="AZ100"/>
    </row>
    <row r="101" spans="1:52" s="21" customFormat="1" ht="15">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5">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5">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5">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row r="110" spans="1:52"/>
  </sheetData>
  <conditionalFormatting sqref="K11:AV11">
    <cfRule type="cellIs" dxfId="400" priority="5" operator="equal">
      <formula>FALSE()</formula>
    </cfRule>
  </conditionalFormatting>
  <conditionalFormatting sqref="AM2">
    <cfRule type="expression" dxfId="399" priority="1">
      <formula>mac_sensitivity=2</formula>
    </cfRule>
    <cfRule type="expression" dxfId="398" priority="2">
      <formula>mac_sensitivity=1</formula>
    </cfRule>
  </conditionalFormatting>
  <conditionalFormatting sqref="AM3">
    <cfRule type="expression" dxfId="39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59"/>
  <sheetViews>
    <sheetView topLeftCell="G28" zoomScale="85" zoomScaleNormal="85" workbookViewId="0">
      <selection activeCell="AR50" sqref="AR50"/>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 min="11" max="35" width="9.625" hidden="1" customWidth="1" outlineLevel="1"/>
    <col min="36" max="36" width="9.625" customWidth="1" collapsed="1"/>
    <col min="37" max="48" width="9.625" customWidth="1"/>
    <col min="49" max="49" width="3" customWidth="1"/>
    <col min="50" max="54" width="0" hidden="1" customWidth="1"/>
    <col min="55" max="16384" width="9" hidden="1"/>
  </cols>
  <sheetData>
    <row r="1" spans="1:49" ht="19.5">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5">
      <c r="A2" s="181"/>
      <c r="B2" s="157" t="str">
        <f>UserInterface!$E$30</f>
        <v>EMID</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5">
      <c r="A8" s="2"/>
      <c r="B8" s="2"/>
      <c r="C8" s="2"/>
      <c r="D8" s="2"/>
      <c r="E8" s="2" t="s">
        <v>1253</v>
      </c>
      <c r="F8" s="2"/>
      <c r="G8" s="2" t="s">
        <v>1252</v>
      </c>
      <c r="H8" s="2"/>
      <c r="I8" s="501">
        <f t="array" ref="I8">YEAR(LARGE(IF('Monthly Inflation'!$H$5:$H$355&lt;&gt;"",'Monthly Inflation'!$E$5:$E$352),1))</f>
        <v>2025</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5">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5">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5">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5">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5">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5">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5">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5">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OUTTURN</v>
      </c>
      <c r="AT21" s="251" t="str">
        <f t="shared" si="2"/>
        <v>FORECAST</v>
      </c>
      <c r="AU21" s="251" t="str">
        <f t="shared" si="2"/>
        <v>FORECAST</v>
      </c>
      <c r="AV21" s="251" t="str">
        <f t="shared" si="2"/>
        <v>FORECAST</v>
      </c>
      <c r="AW21" s="2"/>
    </row>
    <row r="22" spans="1:49" ht="15">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5">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389.95</v>
      </c>
      <c r="AT23" s="252">
        <f>IFERROR(AVERAGEIFS('Monthly Inflation'!$M:$M,'Monthly Inflation'!$E:$E,"&gt;="&amp;DATE(AT$6 - 1, $I11, $I12),'Monthly Inflation'!$E:$E,"&lt;="&amp;DATE(AT$6, $I11 - 1, $I12)),"")</f>
        <v>408.82611374685274</v>
      </c>
      <c r="AU23" s="252">
        <f>IFERROR(AVERAGEIFS('Monthly Inflation'!$M:$M,'Monthly Inflation'!$E:$E,"&gt;="&amp;DATE(AU$6 - 1, $I11, $I12),'Monthly Inflation'!$E:$E,"&lt;="&amp;DATE(AU$6, $I11 - 1, $I12)),"")</f>
        <v>423.266241740238</v>
      </c>
      <c r="AV23" s="252">
        <f>IFERROR(AVERAGEIFS('Monthly Inflation'!$M:$M,'Monthly Inflation'!$E:$E,"&gt;="&amp;DATE(AV$6 - 1, $I11, $I12),'Monthly Inflation'!$E:$E,"&lt;="&amp;DATE(AV$6, $I11 - 1, $I12)),"")</f>
        <v>436.21338748048788</v>
      </c>
      <c r="AW23" s="2"/>
    </row>
    <row r="24" spans="1:49" ht="15">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3.3025740650801216E-2</v>
      </c>
      <c r="AT24" s="322">
        <f t="shared" si="3"/>
        <v>4.840649761983018E-2</v>
      </c>
      <c r="AU24" s="322">
        <f t="shared" si="3"/>
        <v>3.5320953108995079E-2</v>
      </c>
      <c r="AV24" s="322">
        <f t="shared" si="3"/>
        <v>3.058865665028776E-2</v>
      </c>
      <c r="AW24" s="2"/>
    </row>
    <row r="25" spans="1:49" ht="15">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5">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134.04166666666663</v>
      </c>
      <c r="AT26" s="252">
        <f>IFERROR(AVERAGEIFS('Monthly Inflation'!$L:$L,'Monthly Inflation'!$E:$E,"&gt;="&amp;DATE(AT$6-1,$I11, $I12),'Monthly Inflation'!$E:$E,"&lt;="&amp;DATE(AT$6,$I11-1,$I12)),"")</f>
        <v>139.37478397214281</v>
      </c>
      <c r="AU26" s="252">
        <f>IFERROR(AVERAGEIFS('Monthly Inflation'!$L:$L,'Monthly Inflation'!$E:$E,"&gt;="&amp;DATE(AU$6-1,$I11, $I12),'Monthly Inflation'!$E:$E,"&lt;="&amp;DATE(AU$6,$I11-1,$I12)),"")</f>
        <v>142.64922376101745</v>
      </c>
      <c r="AV26" s="252">
        <f>IFERROR(AVERAGEIFS('Monthly Inflation'!$L:$L,'Monthly Inflation'!$E:$E,"&gt;="&amp;DATE(AV$6-1,$I11, $I12),'Monthly Inflation'!$E:$E,"&lt;="&amp;DATE(AV$6,$I11-1,$I12)),"")</f>
        <v>145.54648033236796</v>
      </c>
      <c r="AW26" s="2"/>
    </row>
    <row r="27" spans="1:49" ht="15">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3.2148357289527585E-2</v>
      </c>
      <c r="AT27" s="322">
        <f t="shared" si="4"/>
        <v>3.9787011293574315E-2</v>
      </c>
      <c r="AU27" s="322">
        <f t="shared" si="4"/>
        <v>2.3493774810292134E-2</v>
      </c>
      <c r="AV27" s="322">
        <f t="shared" si="4"/>
        <v>2.0310356376031402E-2</v>
      </c>
      <c r="AW27" s="2"/>
    </row>
    <row r="28" spans="1:49" ht="15">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5">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388.82731892752673</v>
      </c>
      <c r="AT29" s="252">
        <f>IFERROR(AVERAGEIFS('Monthly Inflation'!$N:$N,'Monthly Inflation'!$E:$E,"&gt;="&amp;DATE(AT$6-1, $I11, $I12),'Monthly Inflation'!$E:$E,"&lt;="&amp;DATE(AT$6, $I11 - 1, $I12)),"")</f>
        <v>404.29759585694637</v>
      </c>
      <c r="AU29" s="252">
        <f>IFERROR(AVERAGEIFS('Monthly Inflation'!$N:$N,'Monthly Inflation'!$E:$E,"&gt;="&amp;DATE(AU$6-1, $I11, $I12),'Monthly Inflation'!$E:$E,"&lt;="&amp;DATE(AU$6, $I11 - 1, $I12)),"")</f>
        <v>413.79607253035232</v>
      </c>
      <c r="AV29" s="252">
        <f>IFERROR(AVERAGEIFS('Monthly Inflation'!$N:$N,'Monthly Inflation'!$E:$E,"&gt;="&amp;DATE(AV$6-1, $I11, $I12),'Monthly Inflation'!$E:$E,"&lt;="&amp;DATE(AV$6, $I11 - 1, $I12)),"")</f>
        <v>422.20041823044591</v>
      </c>
      <c r="AW29" s="2"/>
    </row>
    <row r="30" spans="1:49" ht="15">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3.2148357289527585E-2</v>
      </c>
      <c r="AT30" s="322">
        <f t="shared" si="5"/>
        <v>3.9787011293574093E-2</v>
      </c>
      <c r="AU30" s="322">
        <f t="shared" si="5"/>
        <v>2.3493774810293022E-2</v>
      </c>
      <c r="AV30" s="322">
        <f t="shared" si="5"/>
        <v>2.0310356376031402E-2</v>
      </c>
      <c r="AW30" s="2"/>
    </row>
    <row r="31" spans="1:49" ht="15">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5">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1.321792585589326</v>
      </c>
      <c r="AT32" s="253">
        <f t="shared" si="6"/>
        <v>1.3743827621199309</v>
      </c>
      <c r="AU32" s="253">
        <f t="shared" si="6"/>
        <v>1.4066722012363251</v>
      </c>
      <c r="AV32" s="253">
        <f t="shared" si="6"/>
        <v>1.4352422149476913</v>
      </c>
      <c r="AW32" s="2"/>
    </row>
    <row r="33" spans="1:49" ht="15">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5">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5">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5">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5">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5">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5">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OUTTURN</v>
      </c>
      <c r="AU39" s="251" t="str">
        <f t="shared" si="8"/>
        <v>FORECAST</v>
      </c>
      <c r="AV39" s="251" t="str">
        <f t="shared" si="8"/>
        <v>FORECAST</v>
      </c>
      <c r="AW39" s="2"/>
    </row>
    <row r="40" spans="1:49" ht="15">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397.11875631590988</v>
      </c>
      <c r="AU40" s="206">
        <f>IFERROR(AVERAGEIFS('Monthly Inflation'!$N:$N,'Monthly Inflation'!$E:$E,"&gt;="&amp;DATE(AU$6 - 1, $I11 - 1, $I12),'Monthly Inflation'!$E:$E,"&lt;="&amp;DATE(AU$6 - 1, $I11, $I12)),"")</f>
        <v>409.33258033889854</v>
      </c>
      <c r="AV40" s="206">
        <f>IFERROR(AVERAGEIFS('Monthly Inflation'!$N:$N,'Monthly Inflation'!$E:$E,"&gt;="&amp;DATE(AV$6 - 1, $I11 - 1, $I12),'Monthly Inflation'!$E:$E,"&lt;="&amp;DATE(AV$6 - 1, $I11, $I12)),"")</f>
        <v>417.97726553354613</v>
      </c>
      <c r="AW40" s="2"/>
    </row>
    <row r="41" spans="1:49" ht="15">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5">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OUTTURN</v>
      </c>
      <c r="AT42" s="251" t="str">
        <f t="shared" si="10"/>
        <v>FORECAST</v>
      </c>
      <c r="AU42" s="251" t="str">
        <f t="shared" si="10"/>
        <v>FORECAST</v>
      </c>
      <c r="AV42" s="251" t="str">
        <f t="shared" si="10"/>
        <v>FORECAST</v>
      </c>
      <c r="AW42" s="2"/>
    </row>
    <row r="43" spans="1:49" ht="15">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397.11875631590988</v>
      </c>
      <c r="AT43" s="206">
        <f>IFERROR(AVERAGEIFS('Monthly Inflation'!$N:$N,'Monthly Inflation'!$E:$E,"&gt;="&amp;DATE(AT$6,$I11 - 1, $I12),'Monthly Inflation'!$E:$E,"&lt;="&amp;DATE(AT$6, $I11, $I12)),"")</f>
        <v>409.33258033889854</v>
      </c>
      <c r="AU43" s="206">
        <f>IFERROR(AVERAGEIFS('Monthly Inflation'!$N:$N,'Monthly Inflation'!$E:$E,"&gt;="&amp;DATE(AU$6,$I11 - 1, $I12),'Monthly Inflation'!$E:$E,"&lt;="&amp;DATE(AU$6, $I11, $I12)),"")</f>
        <v>417.97726553354613</v>
      </c>
      <c r="AV43" s="206">
        <f>IFERROR(AVERAGEIFS('Monthly Inflation'!$N:$N,'Monthly Inflation'!$E:$E,"&gt;="&amp;DATE(AV$6,$I11 - 1, $I12),'Monthly Inflation'!$E:$E,"&lt;="&amp;DATE(AV$6, $I11, $I12)),"")</f>
        <v>426.10805663597023</v>
      </c>
      <c r="AW43" s="2"/>
    </row>
    <row r="44" spans="1:49" ht="15">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5">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1.3499787750115915</v>
      </c>
      <c r="AU45" s="256">
        <f t="shared" si="11"/>
        <v>1.3914988566761421</v>
      </c>
      <c r="AV45" s="256">
        <f t="shared" si="11"/>
        <v>1.420885888499307</v>
      </c>
      <c r="AW45" s="2"/>
    </row>
    <row r="46" spans="1:49" ht="15">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1.3499787750115915</v>
      </c>
      <c r="AT46" s="256">
        <f t="shared" si="12"/>
        <v>1.3914988566761421</v>
      </c>
      <c r="AU46" s="256">
        <f t="shared" si="12"/>
        <v>1.420885888499307</v>
      </c>
      <c r="AV46" s="256">
        <f t="shared" si="12"/>
        <v>1.4485259715670376</v>
      </c>
      <c r="AW46" s="2"/>
    </row>
    <row r="47" spans="1:49" ht="15">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5">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5">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5">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9.6910000000000007</v>
      </c>
      <c r="AR50" s="441">
        <v>3.5849815186325129</v>
      </c>
      <c r="AS50" s="441">
        <v>4.3267137962244462</v>
      </c>
      <c r="AT50" s="441">
        <v>3.711413121659124</v>
      </c>
      <c r="AU50" s="441">
        <v>3.1282634078222848</v>
      </c>
      <c r="AV50" s="441">
        <v>2.8700091896755264</v>
      </c>
      <c r="AW50" s="2"/>
    </row>
    <row r="51" spans="1:49" ht="15">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0.11111274569672129</v>
      </c>
      <c r="AR51" s="291">
        <f t="shared" si="13"/>
        <v>8.1644953796581293E-2</v>
      </c>
      <c r="AS51" s="291">
        <f t="shared" si="13"/>
        <v>3.7704145880304962E-2</v>
      </c>
      <c r="AT51" s="291">
        <f t="shared" si="13"/>
        <v>4.1728886275831156E-2</v>
      </c>
      <c r="AU51" s="291">
        <f t="shared" si="13"/>
        <v>3.5656256931999142E-2</v>
      </c>
      <c r="AV51" s="291">
        <f t="shared" si="13"/>
        <v>3.0636998532855952E-2</v>
      </c>
      <c r="AW51" s="2"/>
    </row>
    <row r="52" spans="1:49" ht="15">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5">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7.3029999999999999</v>
      </c>
      <c r="AR53" s="441">
        <v>2.5301927741606001</v>
      </c>
      <c r="AS53" s="441">
        <v>3.4527688414550228</v>
      </c>
      <c r="AT53" s="441">
        <v>2.4801225431334784</v>
      </c>
      <c r="AU53" s="441">
        <v>2.0152390816676968</v>
      </c>
      <c r="AV53" s="441">
        <v>2.035043738253961</v>
      </c>
      <c r="AW53" s="2"/>
    </row>
    <row r="54" spans="1:49" ht="15">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8.6258091660279271E-2</v>
      </c>
      <c r="AR54" s="291">
        <f t="shared" si="14"/>
        <v>6.1097981935401502E-2</v>
      </c>
      <c r="AS54" s="291">
        <f t="shared" si="14"/>
        <v>2.7608367909842058E-2</v>
      </c>
      <c r="AT54" s="291">
        <f t="shared" si="14"/>
        <v>3.2096072668746367E-2</v>
      </c>
      <c r="AU54" s="291">
        <f t="shared" si="14"/>
        <v>2.363901677767033E-2</v>
      </c>
      <c r="AV54" s="291">
        <f t="shared" si="14"/>
        <v>2.0201902458142629E-2</v>
      </c>
      <c r="AW54" s="2"/>
    </row>
    <row r="55" spans="1:49" ht="15">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5">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5">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5">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5"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396" priority="21" operator="equal">
      <formula>"FORECAST"</formula>
    </cfRule>
  </conditionalFormatting>
  <conditionalFormatting sqref="K23:T26">
    <cfRule type="expression" dxfId="395" priority="20">
      <formula>K$21 = "FORECAST"</formula>
    </cfRule>
  </conditionalFormatting>
  <conditionalFormatting sqref="K23:AV24">
    <cfRule type="expression" dxfId="394" priority="17">
      <formula>K$21 = "FORECAST"</formula>
    </cfRule>
    <cfRule type="cellIs" dxfId="393" priority="18" operator="equal">
      <formula>"FORECAST"</formula>
    </cfRule>
  </conditionalFormatting>
  <conditionalFormatting sqref="K26:AV30">
    <cfRule type="expression" dxfId="392" priority="5">
      <formula>K$21 = "FORECAST"</formula>
    </cfRule>
  </conditionalFormatting>
  <conditionalFormatting sqref="K27:AV27">
    <cfRule type="cellIs" dxfId="391" priority="12" operator="equal">
      <formula>"FORECAST"</formula>
    </cfRule>
  </conditionalFormatting>
  <conditionalFormatting sqref="K30:AV30">
    <cfRule type="cellIs" dxfId="390" priority="6" operator="equal">
      <formula>"FORECAST"</formula>
    </cfRule>
  </conditionalFormatting>
  <conditionalFormatting sqref="K32:AV32">
    <cfRule type="expression" dxfId="389" priority="19">
      <formula>K$21 = "FORECAST"</formula>
    </cfRule>
  </conditionalFormatting>
  <conditionalFormatting sqref="K39:AV39">
    <cfRule type="cellIs" dxfId="388" priority="1" operator="equal">
      <formula>"FORECAST"</formula>
    </cfRule>
  </conditionalFormatting>
  <conditionalFormatting sqref="K40:AV41">
    <cfRule type="expression" dxfId="387" priority="4">
      <formula>K$39 = "FORECAST"</formula>
    </cfRule>
  </conditionalFormatting>
  <conditionalFormatting sqref="K42:AV46">
    <cfRule type="cellIs" dxfId="386" priority="3" operator="equal">
      <formula>"FORECAST"</formula>
    </cfRule>
  </conditionalFormatting>
  <conditionalFormatting sqref="K43:AV46">
    <cfRule type="expression" dxfId="385" priority="2">
      <formula>K$42 = "FORECAST"</formula>
    </cfRule>
  </conditionalFormatting>
  <conditionalFormatting sqref="U27:V27 X27:AV27">
    <cfRule type="expression" dxfId="384" priority="15">
      <formula>U$21 = "FORECAST"</formula>
    </cfRule>
  </conditionalFormatting>
  <conditionalFormatting sqref="U30:V30 X30:AV30">
    <cfRule type="expression" dxfId="383" priority="9">
      <formula>U$21 = "FORECAST"</formula>
    </cfRule>
  </conditionalFormatting>
  <conditionalFormatting sqref="U21:AV23 U24:V24 X24:AV24 U25:AV25">
    <cfRule type="cellIs" dxfId="382" priority="24" operator="equal">
      <formula>"FORECAST"</formula>
    </cfRule>
  </conditionalFormatting>
  <conditionalFormatting sqref="U23:AV23 U24:V24 X24:AV24 U25:AV26 U28:AV29">
    <cfRule type="expression" dxfId="381"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98" zoomScale="85" zoomScaleNormal="85" workbookViewId="0">
      <selection activeCell="H308" sqref="H308:I319"/>
    </sheetView>
  </sheetViews>
  <sheetFormatPr defaultColWidth="0" defaultRowHeight="12.75" zeroHeight="1"/>
  <cols>
    <col min="1" max="4" width="1.5" customWidth="1"/>
    <col min="5" max="14" width="22.75" customWidth="1"/>
    <col min="15" max="16" width="9" customWidth="1"/>
    <col min="17" max="18" width="9.625" customWidth="1"/>
    <col min="19" max="38" width="9.625" hidden="1" customWidth="1"/>
    <col min="39" max="55" width="9" hidden="1" customWidth="1"/>
    <col min="56" max="57" width="0" hidden="1" customWidth="1"/>
    <col min="58" max="16384" width="9" hidden="1"/>
  </cols>
  <sheetData>
    <row r="1" spans="1:14" ht="19.5">
      <c r="A1" s="195" t="s">
        <v>70</v>
      </c>
      <c r="B1" s="181"/>
      <c r="C1" s="181"/>
      <c r="D1" s="181"/>
      <c r="E1" s="181"/>
      <c r="F1" s="181"/>
      <c r="G1" s="181"/>
      <c r="H1" s="181"/>
      <c r="I1" s="181"/>
      <c r="J1" s="181"/>
      <c r="K1" s="181"/>
      <c r="L1" s="247"/>
      <c r="M1" s="247"/>
      <c r="N1" s="247"/>
    </row>
    <row r="2" spans="1:14" ht="15">
      <c r="A2" s="181"/>
      <c r="B2" s="157"/>
      <c r="C2" s="181"/>
      <c r="D2" s="181"/>
      <c r="E2" s="181"/>
      <c r="F2" s="181"/>
      <c r="G2" s="181"/>
      <c r="H2" s="181"/>
      <c r="I2" s="181"/>
      <c r="J2" s="181"/>
      <c r="K2" s="181"/>
      <c r="L2" s="247"/>
      <c r="M2" s="247"/>
      <c r="N2" s="247"/>
    </row>
    <row r="3" spans="1:14" ht="15">
      <c r="A3" s="181"/>
      <c r="B3" s="181"/>
      <c r="C3" s="181"/>
      <c r="D3" s="181"/>
      <c r="E3" s="179"/>
      <c r="F3" s="179"/>
      <c r="G3" s="179"/>
      <c r="H3" s="478" t="s">
        <v>1289</v>
      </c>
      <c r="I3" s="478" t="s">
        <v>1290</v>
      </c>
      <c r="J3" s="179"/>
      <c r="K3" s="179"/>
      <c r="L3" s="247"/>
      <c r="M3" s="247"/>
      <c r="N3" s="247"/>
    </row>
    <row r="4" spans="1:14" ht="30">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5">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5">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5">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5">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5">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5">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5">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5">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5">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5">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5">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5">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5">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5">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5">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5">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5">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5">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5">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5">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5">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5">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5">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5">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5">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5">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5">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5">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5">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5">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5">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5">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5">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5">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5">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5">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5">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5">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5">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5">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5">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5">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5">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5">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5">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5">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5">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5">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5">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5">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5">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5">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5">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5">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5">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5">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5">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5">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5">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5">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5">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5">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5">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5">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5">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5">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5">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5">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5">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5">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5">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5">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5">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5">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5">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5">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5">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5">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5">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5">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5">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5">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5">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5">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5">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5">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5">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5">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5">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5">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5">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5">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5">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5">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5">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5">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5">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5">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5">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5">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5">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5">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5">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5">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5">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5">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5">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5">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5">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5">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5">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5">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5">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5">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5">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5">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5">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5">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5">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5">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5">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5">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5">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5">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5">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5">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5">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5">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5">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5">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5">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5">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5">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5">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5">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5">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5">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5">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5">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5">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5">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5">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5">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5">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5">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5">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5">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5">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5">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5">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5">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5">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5">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5">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5">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5">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5">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5">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5">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5">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5">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5">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5">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5">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5">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5">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5">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5">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5">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5">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5">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5">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5">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5">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5">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5">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5">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5">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5">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5">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5">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5">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5">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5">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5">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5">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5">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5">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5">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5">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5">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5">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5">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5">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5">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5">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5">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5">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5">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5">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5">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5">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5">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5">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5">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5">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5">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5">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5">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5">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5">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5">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5">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5">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5">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5">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5">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5">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5">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5">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5">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5">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5">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5">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5">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5">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5">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5">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5">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5">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5">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5">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5">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5">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5">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5">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5">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5">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5">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5">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5">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5">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5">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5">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5">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5">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5">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5">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5">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5">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5">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5">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5">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5">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5">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5">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5">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5">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5">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5">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5">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5">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5">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5">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5">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5">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5">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5">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5">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5">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5">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5">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5">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5">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5">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5">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5">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5">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5">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5">
      <c r="E284" s="248">
        <v>44743</v>
      </c>
      <c r="F284" s="323">
        <f t="shared" si="20"/>
        <v>44773</v>
      </c>
      <c r="G284" s="159">
        <f t="shared" si="21"/>
        <v>2023</v>
      </c>
      <c r="H284" s="500">
        <v>121.2</v>
      </c>
      <c r="I284" s="500">
        <v>343.2</v>
      </c>
      <c r="J284" s="257">
        <f>IF($E284&lt;DATE(2018,7,1),"-",INDEX('Annual Inflation'!$AM$53:$BA$53, MATCH(YEAR(EOMONTH($E284,6)), 'Annual Inflation'!$AM$6:$BA$6, 0))/100)</f>
        <v>7.3029999999999998E-2</v>
      </c>
      <c r="K284" s="257">
        <f>IF($E284&lt;DATE(2018,7,1),"-",INDEX('Annual Inflation'!$AM$50:$BA$50, MATCH(YEAR(EOMONTH($E284,6)), 'Annual Inflation'!$AM$6:$BA$6, 0))/100)</f>
        <v>9.691000000000001E-2</v>
      </c>
      <c r="L284" s="258">
        <f t="shared" si="25"/>
        <v>121.2</v>
      </c>
      <c r="M284" s="258">
        <f t="shared" si="26"/>
        <v>343.2</v>
      </c>
      <c r="N284" s="258">
        <f t="shared" si="24"/>
        <v>343.2</v>
      </c>
    </row>
    <row r="285" spans="5:14" ht="15">
      <c r="E285" s="248">
        <v>44774</v>
      </c>
      <c r="F285" s="323">
        <f t="shared" si="20"/>
        <v>44804</v>
      </c>
      <c r="G285" s="159">
        <f t="shared" si="21"/>
        <v>2023</v>
      </c>
      <c r="H285" s="500">
        <v>121.8</v>
      </c>
      <c r="I285" s="500">
        <v>345.2</v>
      </c>
      <c r="J285" s="257">
        <f>IF($E285&lt;DATE(2018,7,1),"-",INDEX('Annual Inflation'!$AM$53:$BA$53, MATCH(YEAR(EOMONTH($E285,6)), 'Annual Inflation'!$AM$6:$BA$6, 0))/100)</f>
        <v>7.3029999999999998E-2</v>
      </c>
      <c r="K285" s="257">
        <f>IF($E285&lt;DATE(2018,7,1),"-",INDEX('Annual Inflation'!$AM$50:$BA$50, MATCH(YEAR(EOMONTH($E285,6)), 'Annual Inflation'!$AM$6:$BA$6, 0))/100)</f>
        <v>9.691000000000001E-2</v>
      </c>
      <c r="L285" s="258">
        <f t="shared" si="25"/>
        <v>121.8</v>
      </c>
      <c r="M285" s="258">
        <f t="shared" si="26"/>
        <v>345.2</v>
      </c>
      <c r="N285" s="258">
        <f t="shared" si="24"/>
        <v>345.2</v>
      </c>
    </row>
    <row r="286" spans="5:14" ht="15">
      <c r="E286" s="248">
        <v>44805</v>
      </c>
      <c r="F286" s="323">
        <f t="shared" si="20"/>
        <v>44834</v>
      </c>
      <c r="G286" s="159">
        <f t="shared" si="21"/>
        <v>2023</v>
      </c>
      <c r="H286" s="500">
        <v>122.3</v>
      </c>
      <c r="I286" s="500">
        <v>347.6</v>
      </c>
      <c r="J286" s="257">
        <f>IF($E286&lt;DATE(2018,7,1),"-",INDEX('Annual Inflation'!$AM$53:$BA$53, MATCH(YEAR(EOMONTH($E286,6)), 'Annual Inflation'!$AM$6:$BA$6, 0))/100)</f>
        <v>7.3029999999999998E-2</v>
      </c>
      <c r="K286" s="257">
        <f>IF($E286&lt;DATE(2018,7,1),"-",INDEX('Annual Inflation'!$AM$50:$BA$50, MATCH(YEAR(EOMONTH($E286,6)), 'Annual Inflation'!$AM$6:$BA$6, 0))/100)</f>
        <v>9.691000000000001E-2</v>
      </c>
      <c r="L286" s="258">
        <f t="shared" si="25"/>
        <v>122.3</v>
      </c>
      <c r="M286" s="258">
        <f t="shared" si="26"/>
        <v>347.6</v>
      </c>
      <c r="N286" s="258">
        <f t="shared" si="24"/>
        <v>347.6</v>
      </c>
    </row>
    <row r="287" spans="5:14" ht="15">
      <c r="E287" s="248">
        <v>44835</v>
      </c>
      <c r="F287" s="323">
        <f t="shared" si="20"/>
        <v>44865</v>
      </c>
      <c r="G287" s="159">
        <f t="shared" si="21"/>
        <v>2023</v>
      </c>
      <c r="H287" s="500">
        <v>124.3</v>
      </c>
      <c r="I287" s="500">
        <v>356.2</v>
      </c>
      <c r="J287" s="257">
        <f>IF($E287&lt;DATE(2018,7,1),"-",INDEX('Annual Inflation'!$AM$53:$BA$53, MATCH(YEAR(EOMONTH($E287,6)), 'Annual Inflation'!$AM$6:$BA$6, 0))/100)</f>
        <v>7.3029999999999998E-2</v>
      </c>
      <c r="K287" s="257">
        <f>IF($E287&lt;DATE(2018,7,1),"-",INDEX('Annual Inflation'!$AM$50:$BA$50, MATCH(YEAR(EOMONTH($E287,6)), 'Annual Inflation'!$AM$6:$BA$6, 0))/100)</f>
        <v>9.691000000000001E-2</v>
      </c>
      <c r="L287" s="258">
        <f t="shared" si="25"/>
        <v>124.3</v>
      </c>
      <c r="M287" s="258">
        <f t="shared" si="26"/>
        <v>356.2</v>
      </c>
      <c r="N287" s="258">
        <f t="shared" si="24"/>
        <v>356.2</v>
      </c>
    </row>
    <row r="288" spans="5:14" ht="15">
      <c r="E288" s="248">
        <v>44866</v>
      </c>
      <c r="F288" s="323">
        <f t="shared" si="20"/>
        <v>44895</v>
      </c>
      <c r="G288" s="159">
        <f t="shared" si="21"/>
        <v>2023</v>
      </c>
      <c r="H288" s="500">
        <v>124.8</v>
      </c>
      <c r="I288" s="500">
        <v>358.3</v>
      </c>
      <c r="J288" s="257">
        <f>IF($E288&lt;DATE(2018,7,1),"-",INDEX('Annual Inflation'!$AM$53:$BA$53, MATCH(YEAR(EOMONTH($E288,6)), 'Annual Inflation'!$AM$6:$BA$6, 0))/100)</f>
        <v>7.3029999999999998E-2</v>
      </c>
      <c r="K288" s="257">
        <f>IF($E288&lt;DATE(2018,7,1),"-",INDEX('Annual Inflation'!$AM$50:$BA$50, MATCH(YEAR(EOMONTH($E288,6)), 'Annual Inflation'!$AM$6:$BA$6, 0))/100)</f>
        <v>9.691000000000001E-2</v>
      </c>
      <c r="L288" s="258">
        <f t="shared" si="22"/>
        <v>124.8</v>
      </c>
      <c r="M288" s="258">
        <f t="shared" si="23"/>
        <v>358.3</v>
      </c>
      <c r="N288" s="258">
        <f t="shared" si="24"/>
        <v>358.3</v>
      </c>
    </row>
    <row r="289" spans="5:14" ht="15">
      <c r="E289" s="248">
        <v>44896</v>
      </c>
      <c r="F289" s="323">
        <f t="shared" si="20"/>
        <v>44926</v>
      </c>
      <c r="G289" s="159">
        <f t="shared" si="21"/>
        <v>2023</v>
      </c>
      <c r="H289" s="500">
        <v>125.3</v>
      </c>
      <c r="I289" s="500">
        <v>360.4</v>
      </c>
      <c r="J289" s="257">
        <f>IF($E289&lt;DATE(2018,7,1),"-",INDEX('Annual Inflation'!$AM$53:$BA$53, MATCH(YEAR(EOMONTH($E289,6)), 'Annual Inflation'!$AM$6:$BA$6, 0))/100)</f>
        <v>7.3029999999999998E-2</v>
      </c>
      <c r="K289" s="257">
        <f>IF($E289&lt;DATE(2018,7,1),"-",INDEX('Annual Inflation'!$AM$50:$BA$50, MATCH(YEAR(EOMONTH($E289,6)), 'Annual Inflation'!$AM$6:$BA$6, 0))/100)</f>
        <v>9.691000000000001E-2</v>
      </c>
      <c r="L289" s="258">
        <f t="shared" si="22"/>
        <v>125.3</v>
      </c>
      <c r="M289" s="258">
        <f t="shared" si="23"/>
        <v>360.4</v>
      </c>
      <c r="N289" s="258">
        <f t="shared" si="24"/>
        <v>360.4</v>
      </c>
    </row>
    <row r="290" spans="5:14" ht="15">
      <c r="E290" s="248">
        <v>44927</v>
      </c>
      <c r="F290" s="323">
        <f t="shared" si="20"/>
        <v>44957</v>
      </c>
      <c r="G290" s="159">
        <f t="shared" si="21"/>
        <v>2023</v>
      </c>
      <c r="H290" s="500">
        <v>124.8</v>
      </c>
      <c r="I290" s="500">
        <v>360.3</v>
      </c>
      <c r="J290" s="257">
        <f>IF($E290&lt;DATE(2018,7,1),"-",INDEX('Annual Inflation'!$AM$53:$BA$53, MATCH(YEAR(EOMONTH($E290,6)), 'Annual Inflation'!$AM$6:$BA$6, 0))/100)</f>
        <v>7.3029999999999998E-2</v>
      </c>
      <c r="K290" s="257">
        <f>IF($E290&lt;DATE(2018,7,1),"-",INDEX('Annual Inflation'!$AM$50:$BA$50, MATCH(YEAR(EOMONTH($E290,6)), 'Annual Inflation'!$AM$6:$BA$6, 0))/100)</f>
        <v>9.691000000000001E-2</v>
      </c>
      <c r="L290" s="258">
        <f t="shared" si="22"/>
        <v>124.8</v>
      </c>
      <c r="M290" s="258">
        <f t="shared" si="23"/>
        <v>360.3</v>
      </c>
      <c r="N290" s="258">
        <f t="shared" si="24"/>
        <v>360.3</v>
      </c>
    </row>
    <row r="291" spans="5:14" ht="15">
      <c r="E291" s="248">
        <v>44958</v>
      </c>
      <c r="F291" s="323">
        <f t="shared" si="20"/>
        <v>44985</v>
      </c>
      <c r="G291" s="159">
        <f t="shared" si="21"/>
        <v>2023</v>
      </c>
      <c r="H291" s="500">
        <v>126</v>
      </c>
      <c r="I291" s="500">
        <v>364.5</v>
      </c>
      <c r="J291" s="257">
        <f>IF($E291&lt;DATE(2018,7,1),"-",INDEX('Annual Inflation'!$AM$53:$BA$53, MATCH(YEAR(EOMONTH($E291,6)), 'Annual Inflation'!$AM$6:$BA$6, 0))/100)</f>
        <v>7.3029999999999998E-2</v>
      </c>
      <c r="K291" s="257">
        <f>IF($E291&lt;DATE(2018,7,1),"-",INDEX('Annual Inflation'!$AM$50:$BA$50, MATCH(YEAR(EOMONTH($E291,6)), 'Annual Inflation'!$AM$6:$BA$6, 0))/100)</f>
        <v>9.691000000000001E-2</v>
      </c>
      <c r="L291" s="258">
        <f t="shared" si="22"/>
        <v>126</v>
      </c>
      <c r="M291" s="258">
        <f t="shared" si="23"/>
        <v>364.5</v>
      </c>
      <c r="N291" s="258">
        <f t="shared" si="24"/>
        <v>364.5</v>
      </c>
    </row>
    <row r="292" spans="5:14" ht="15">
      <c r="E292" s="248">
        <v>44986</v>
      </c>
      <c r="F292" s="323">
        <f t="shared" si="20"/>
        <v>45016</v>
      </c>
      <c r="G292" s="159">
        <f t="shared" si="21"/>
        <v>2023</v>
      </c>
      <c r="H292" s="500">
        <v>126.8</v>
      </c>
      <c r="I292" s="500">
        <v>367.2</v>
      </c>
      <c r="J292" s="257">
        <f>IF($E292&lt;DATE(2018,7,1),"-",INDEX('Annual Inflation'!$AM$53:$BA$53, MATCH(YEAR(EOMONTH($E292,6)), 'Annual Inflation'!$AM$6:$BA$6, 0))/100)</f>
        <v>7.3029999999999998E-2</v>
      </c>
      <c r="K292" s="257">
        <f>IF($E292&lt;DATE(2018,7,1),"-",INDEX('Annual Inflation'!$AM$50:$BA$50, MATCH(YEAR(EOMONTH($E292,6)), 'Annual Inflation'!$AM$6:$BA$6, 0))/100)</f>
        <v>9.691000000000001E-2</v>
      </c>
      <c r="L292" s="258">
        <f t="shared" si="22"/>
        <v>126.8</v>
      </c>
      <c r="M292" s="258">
        <f t="shared" si="23"/>
        <v>367.2</v>
      </c>
      <c r="N292" s="258">
        <f t="shared" si="24"/>
        <v>367.2</v>
      </c>
    </row>
    <row r="293" spans="5:14" ht="15">
      <c r="E293" s="248">
        <v>45017</v>
      </c>
      <c r="F293" s="323">
        <f t="shared" si="20"/>
        <v>45046</v>
      </c>
      <c r="G293" s="159">
        <f t="shared" si="21"/>
        <v>2024</v>
      </c>
      <c r="H293" s="500">
        <v>128.30000000000001</v>
      </c>
      <c r="I293" s="500">
        <v>372.8</v>
      </c>
      <c r="J293" s="257">
        <f>IF($E293&lt;DATE(2018,7,1),"-",INDEX('Annual Inflation'!$AM$53:$BA$53, MATCH(YEAR(EOMONTH($E293,6)), 'Annual Inflation'!$AM$6:$BA$6, 0))/100)</f>
        <v>7.3029999999999998E-2</v>
      </c>
      <c r="K293" s="257">
        <f>IF($E293&lt;DATE(2018,7,1),"-",INDEX('Annual Inflation'!$AM$50:$BA$50, MATCH(YEAR(EOMONTH($E293,6)), 'Annual Inflation'!$AM$6:$BA$6, 0))/100)</f>
        <v>9.691000000000001E-2</v>
      </c>
      <c r="L293" s="258">
        <f t="shared" si="22"/>
        <v>128.30000000000001</v>
      </c>
      <c r="M293" s="258">
        <f t="shared" si="23"/>
        <v>372.8</v>
      </c>
      <c r="N293" s="258">
        <f t="shared" si="24"/>
        <v>372.17192429022083</v>
      </c>
    </row>
    <row r="294" spans="5:14" ht="15">
      <c r="E294" s="248">
        <v>45047</v>
      </c>
      <c r="F294" s="323">
        <f t="shared" si="20"/>
        <v>45077</v>
      </c>
      <c r="G294" s="159">
        <f t="shared" si="21"/>
        <v>2024</v>
      </c>
      <c r="H294" s="500">
        <v>129.1</v>
      </c>
      <c r="I294" s="500">
        <v>375.3</v>
      </c>
      <c r="J294" s="257">
        <f>IF($E294&lt;DATE(2018,7,1),"-",INDEX('Annual Inflation'!$AM$53:$BA$53, MATCH(YEAR(EOMONTH($E294,6)), 'Annual Inflation'!$AM$6:$BA$6, 0))/100)</f>
        <v>7.3029999999999998E-2</v>
      </c>
      <c r="K294" s="257">
        <f>IF($E294&lt;DATE(2018,7,1),"-",INDEX('Annual Inflation'!$AM$50:$BA$50, MATCH(YEAR(EOMONTH($E294,6)), 'Annual Inflation'!$AM$6:$BA$6, 0))/100)</f>
        <v>9.691000000000001E-2</v>
      </c>
      <c r="L294" s="258">
        <f t="shared" si="22"/>
        <v>129.1</v>
      </c>
      <c r="M294" s="258">
        <f t="shared" si="23"/>
        <v>375.3</v>
      </c>
      <c r="N294" s="258">
        <f t="shared" si="24"/>
        <v>374.49255982749423</v>
      </c>
    </row>
    <row r="295" spans="5:14" ht="15">
      <c r="E295" s="248">
        <v>45078</v>
      </c>
      <c r="F295" s="323">
        <f t="shared" si="20"/>
        <v>45107</v>
      </c>
      <c r="G295" s="159">
        <f t="shared" si="21"/>
        <v>2024</v>
      </c>
      <c r="H295" s="500">
        <v>129.4</v>
      </c>
      <c r="I295" s="500">
        <v>376.4</v>
      </c>
      <c r="J295" s="257">
        <f>IF($E295&lt;DATE(2018,7,1),"-",INDEX('Annual Inflation'!$AM$53:$BA$53, MATCH(YEAR(EOMONTH($E295,6)), 'Annual Inflation'!$AM$6:$BA$6, 0))/100)</f>
        <v>7.3029999999999998E-2</v>
      </c>
      <c r="K295" s="257">
        <f>IF($E295&lt;DATE(2018,7,1),"-",INDEX('Annual Inflation'!$AM$50:$BA$50, MATCH(YEAR(EOMONTH($E295,6)), 'Annual Inflation'!$AM$6:$BA$6, 0))/100)</f>
        <v>9.691000000000001E-2</v>
      </c>
      <c r="L295" s="258">
        <f t="shared" si="22"/>
        <v>129.4</v>
      </c>
      <c r="M295" s="258">
        <f t="shared" si="23"/>
        <v>376.4</v>
      </c>
      <c r="N295" s="258">
        <f t="shared" si="24"/>
        <v>375.36279815397182</v>
      </c>
    </row>
    <row r="296" spans="5:14" ht="15">
      <c r="E296" s="248">
        <v>45108</v>
      </c>
      <c r="F296" s="323">
        <f t="shared" si="20"/>
        <v>45138</v>
      </c>
      <c r="G296" s="159">
        <f t="shared" si="21"/>
        <v>2024</v>
      </c>
      <c r="H296" s="500">
        <v>129</v>
      </c>
      <c r="I296" s="500">
        <v>374.2</v>
      </c>
      <c r="J296" s="257">
        <f>IF($E296&lt;DATE(2018,7,1),"-",INDEX('Annual Inflation'!$AM$53:$BA$53, MATCH(YEAR(EOMONTH($E296,6)), 'Annual Inflation'!$AM$6:$BA$6, 0))/100)</f>
        <v>2.5301927741606001E-2</v>
      </c>
      <c r="K296" s="257">
        <f>IF($E296&lt;DATE(2018,7,1),"-",INDEX('Annual Inflation'!$AM$50:$BA$50, MATCH(YEAR(EOMONTH($E296,6)), 'Annual Inflation'!$AM$6:$BA$6, 0))/100)</f>
        <v>3.5849815186325129E-2</v>
      </c>
      <c r="L296" s="258">
        <f t="shared" si="22"/>
        <v>129</v>
      </c>
      <c r="M296" s="258">
        <f t="shared" si="23"/>
        <v>374.2</v>
      </c>
      <c r="N296" s="258">
        <f t="shared" si="24"/>
        <v>374.20248038533509</v>
      </c>
    </row>
    <row r="297" spans="5:14" ht="15">
      <c r="E297" s="248">
        <v>45139</v>
      </c>
      <c r="F297" s="323">
        <f t="shared" si="20"/>
        <v>45169</v>
      </c>
      <c r="G297" s="159">
        <f t="shared" si="21"/>
        <v>2024</v>
      </c>
      <c r="H297" s="500">
        <v>129.4</v>
      </c>
      <c r="I297" s="500">
        <v>376.6</v>
      </c>
      <c r="J297" s="257">
        <f>IF($E297&lt;DATE(2018,7,1),"-",INDEX('Annual Inflation'!$AM$53:$BA$53, MATCH(YEAR(EOMONTH($E297,6)), 'Annual Inflation'!$AM$6:$BA$6, 0))/100)</f>
        <v>2.5301927741606001E-2</v>
      </c>
      <c r="K297" s="257">
        <f>IF($E297&lt;DATE(2018,7,1),"-",INDEX('Annual Inflation'!$AM$50:$BA$50, MATCH(YEAR(EOMONTH($E297,6)), 'Annual Inflation'!$AM$6:$BA$6, 0))/100)</f>
        <v>3.5849815186325129E-2</v>
      </c>
      <c r="L297" s="258">
        <f t="shared" si="22"/>
        <v>129.4</v>
      </c>
      <c r="M297" s="258">
        <f t="shared" si="23"/>
        <v>376.6</v>
      </c>
      <c r="N297" s="258">
        <f t="shared" si="24"/>
        <v>375.36279815397182</v>
      </c>
    </row>
    <row r="298" spans="5:14" ht="15">
      <c r="E298" s="248">
        <v>45170</v>
      </c>
      <c r="F298" s="323">
        <f t="shared" si="20"/>
        <v>45199</v>
      </c>
      <c r="G298" s="159">
        <f t="shared" si="21"/>
        <v>2024</v>
      </c>
      <c r="H298" s="500">
        <v>130.1</v>
      </c>
      <c r="I298" s="500">
        <v>378.4</v>
      </c>
      <c r="J298" s="257">
        <f>IF($E298&lt;DATE(2018,7,1),"-",INDEX('Annual Inflation'!$AM$53:$BA$53, MATCH(YEAR(EOMONTH($E298,6)), 'Annual Inflation'!$AM$6:$BA$6, 0))/100)</f>
        <v>2.5301927741606001E-2</v>
      </c>
      <c r="K298" s="257">
        <f>IF($E298&lt;DATE(2018,7,1),"-",INDEX('Annual Inflation'!$AM$50:$BA$50, MATCH(YEAR(EOMONTH($E298,6)), 'Annual Inflation'!$AM$6:$BA$6, 0))/100)</f>
        <v>3.5849815186325129E-2</v>
      </c>
      <c r="L298" s="258">
        <f t="shared" si="22"/>
        <v>130.1</v>
      </c>
      <c r="M298" s="258">
        <f t="shared" si="23"/>
        <v>378.4</v>
      </c>
      <c r="N298" s="258">
        <f t="shared" si="24"/>
        <v>377.39335424908597</v>
      </c>
    </row>
    <row r="299" spans="5:14" ht="15">
      <c r="E299" s="248">
        <v>45200</v>
      </c>
      <c r="F299" s="323">
        <f t="shared" si="20"/>
        <v>45230</v>
      </c>
      <c r="G299" s="159">
        <f t="shared" si="21"/>
        <v>2024</v>
      </c>
      <c r="H299" s="500">
        <v>130.19999999999999</v>
      </c>
      <c r="I299" s="500">
        <v>377.8</v>
      </c>
      <c r="J299" s="257">
        <f>IF($E299&lt;DATE(2018,7,1),"-",INDEX('Annual Inflation'!$AM$53:$BA$53, MATCH(YEAR(EOMONTH($E299,6)), 'Annual Inflation'!$AM$6:$BA$6, 0))/100)</f>
        <v>2.5301927741606001E-2</v>
      </c>
      <c r="K299" s="257">
        <f>IF($E299&lt;DATE(2018,7,1),"-",INDEX('Annual Inflation'!$AM$50:$BA$50, MATCH(YEAR(EOMONTH($E299,6)), 'Annual Inflation'!$AM$6:$BA$6, 0))/100)</f>
        <v>3.5849815186325129E-2</v>
      </c>
      <c r="L299" s="258">
        <f t="shared" si="22"/>
        <v>130.19999999999999</v>
      </c>
      <c r="M299" s="258">
        <f t="shared" si="23"/>
        <v>377.8</v>
      </c>
      <c r="N299" s="258">
        <f t="shared" si="24"/>
        <v>377.68343369124511</v>
      </c>
    </row>
    <row r="300" spans="5:14" ht="15">
      <c r="E300" s="248">
        <v>45231</v>
      </c>
      <c r="F300" s="323">
        <f t="shared" si="20"/>
        <v>45260</v>
      </c>
      <c r="G300" s="159">
        <f t="shared" si="21"/>
        <v>2024</v>
      </c>
      <c r="H300" s="500">
        <v>130</v>
      </c>
      <c r="I300" s="500">
        <v>377.3</v>
      </c>
      <c r="J300" s="257">
        <f>IF($E300&lt;DATE(2018,7,1),"-",INDEX('Annual Inflation'!$AM$53:$BA$53, MATCH(YEAR(EOMONTH($E300,6)), 'Annual Inflation'!$AM$6:$BA$6, 0))/100)</f>
        <v>2.5301927741606001E-2</v>
      </c>
      <c r="K300" s="257">
        <f>IF($E300&lt;DATE(2018,7,1),"-",INDEX('Annual Inflation'!$AM$50:$BA$50, MATCH(YEAR(EOMONTH($E300,6)), 'Annual Inflation'!$AM$6:$BA$6, 0))/100)</f>
        <v>3.5849815186325129E-2</v>
      </c>
      <c r="L300" s="258">
        <f t="shared" si="22"/>
        <v>130</v>
      </c>
      <c r="M300" s="258">
        <f t="shared" si="23"/>
        <v>377.3</v>
      </c>
      <c r="N300" s="258">
        <f t="shared" si="24"/>
        <v>377.10327480692678</v>
      </c>
    </row>
    <row r="301" spans="5:14" ht="15">
      <c r="E301" s="248">
        <v>45261</v>
      </c>
      <c r="F301" s="323">
        <f t="shared" si="20"/>
        <v>45291</v>
      </c>
      <c r="G301" s="159">
        <f t="shared" si="21"/>
        <v>2024</v>
      </c>
      <c r="H301" s="500">
        <v>130.5</v>
      </c>
      <c r="I301" s="500">
        <v>379</v>
      </c>
      <c r="J301" s="257">
        <f>IF($E301&lt;DATE(2018,7,1),"-",INDEX('Annual Inflation'!$AM$53:$BA$53, MATCH(YEAR(EOMONTH($E301,6)), 'Annual Inflation'!$AM$6:$BA$6, 0))/100)</f>
        <v>2.5301927741606001E-2</v>
      </c>
      <c r="K301" s="257">
        <f>IF($E301&lt;DATE(2018,7,1),"-",INDEX('Annual Inflation'!$AM$50:$BA$50, MATCH(YEAR(EOMONTH($E301,6)), 'Annual Inflation'!$AM$6:$BA$6, 0))/100)</f>
        <v>3.5849815186325129E-2</v>
      </c>
      <c r="L301" s="258">
        <f t="shared" si="22"/>
        <v>130.5</v>
      </c>
      <c r="M301" s="258">
        <f t="shared" si="23"/>
        <v>379</v>
      </c>
      <c r="N301" s="258">
        <f t="shared" si="24"/>
        <v>378.55367201772265</v>
      </c>
    </row>
    <row r="302" spans="5:14" ht="15">
      <c r="E302" s="248">
        <v>45292</v>
      </c>
      <c r="F302" s="323">
        <f t="shared" si="20"/>
        <v>45322</v>
      </c>
      <c r="G302" s="159">
        <f t="shared" si="21"/>
        <v>2024</v>
      </c>
      <c r="H302" s="500">
        <v>130</v>
      </c>
      <c r="I302" s="500">
        <v>378</v>
      </c>
      <c r="J302" s="257">
        <f>IF($E302&lt;DATE(2018,7,1),"-",INDEX('Annual Inflation'!$AM$53:$BA$53, MATCH(YEAR(EOMONTH($E302,6)), 'Annual Inflation'!$AM$6:$BA$6, 0))/100)</f>
        <v>2.5301927741606001E-2</v>
      </c>
      <c r="K302" s="257">
        <f>IF($E302&lt;DATE(2018,7,1),"-",INDEX('Annual Inflation'!$AM$50:$BA$50, MATCH(YEAR(EOMONTH($E302,6)), 'Annual Inflation'!$AM$6:$BA$6, 0))/100)</f>
        <v>3.5849815186325129E-2</v>
      </c>
      <c r="L302" s="258">
        <f t="shared" si="22"/>
        <v>130</v>
      </c>
      <c r="M302" s="258">
        <f t="shared" si="23"/>
        <v>378</v>
      </c>
      <c r="N302" s="258">
        <f t="shared" si="24"/>
        <v>377.10327480692678</v>
      </c>
    </row>
    <row r="303" spans="5:14" ht="15">
      <c r="E303" s="248">
        <v>45323</v>
      </c>
      <c r="F303" s="323">
        <f t="shared" si="20"/>
        <v>45351</v>
      </c>
      <c r="G303" s="159">
        <f t="shared" si="21"/>
        <v>2024</v>
      </c>
      <c r="H303" s="500">
        <v>130.80000000000001</v>
      </c>
      <c r="I303" s="500">
        <v>381</v>
      </c>
      <c r="J303" s="257">
        <f>IF($E303&lt;DATE(2018,7,1),"-",INDEX('Annual Inflation'!$AM$53:$BA$53, MATCH(YEAR(EOMONTH($E303,6)), 'Annual Inflation'!$AM$6:$BA$6, 0))/100)</f>
        <v>2.5301927741606001E-2</v>
      </c>
      <c r="K303" s="257">
        <f>IF($E303&lt;DATE(2018,7,1),"-",INDEX('Annual Inflation'!$AM$50:$BA$50, MATCH(YEAR(EOMONTH($E303,6)), 'Annual Inflation'!$AM$6:$BA$6, 0))/100)</f>
        <v>3.5849815186325129E-2</v>
      </c>
      <c r="L303" s="258">
        <f t="shared" si="22"/>
        <v>130.80000000000001</v>
      </c>
      <c r="M303" s="258">
        <f t="shared" si="23"/>
        <v>381</v>
      </c>
      <c r="N303" s="258">
        <f t="shared" si="24"/>
        <v>379.42391034420018</v>
      </c>
    </row>
    <row r="304" spans="5:14" ht="15">
      <c r="E304" s="248">
        <v>45352</v>
      </c>
      <c r="F304" s="323">
        <f t="shared" si="20"/>
        <v>45382</v>
      </c>
      <c r="G304" s="159">
        <f t="shared" si="21"/>
        <v>2024</v>
      </c>
      <c r="H304" s="500">
        <v>131.6</v>
      </c>
      <c r="I304" s="500">
        <v>383</v>
      </c>
      <c r="J304" s="257">
        <f>IF($E304&lt;DATE(2018,7,1),"-",INDEX('Annual Inflation'!$AM$53:$BA$53, MATCH(YEAR(EOMONTH($E304,6)), 'Annual Inflation'!$AM$6:$BA$6, 0))/100)</f>
        <v>2.5301927741606001E-2</v>
      </c>
      <c r="K304" s="257">
        <f>IF($E304&lt;DATE(2018,7,1),"-",INDEX('Annual Inflation'!$AM$50:$BA$50, MATCH(YEAR(EOMONTH($E304,6)), 'Annual Inflation'!$AM$6:$BA$6, 0))/100)</f>
        <v>3.5849815186325129E-2</v>
      </c>
      <c r="L304" s="258">
        <f t="shared" si="22"/>
        <v>131.6</v>
      </c>
      <c r="M304" s="258">
        <f t="shared" si="23"/>
        <v>383</v>
      </c>
      <c r="N304" s="258">
        <f t="shared" si="24"/>
        <v>381.74454588147353</v>
      </c>
    </row>
    <row r="305" spans="5:14" ht="15">
      <c r="E305" s="248">
        <v>45383</v>
      </c>
      <c r="F305" s="323">
        <f t="shared" si="20"/>
        <v>45412</v>
      </c>
      <c r="G305" s="159">
        <f t="shared" si="21"/>
        <v>2025</v>
      </c>
      <c r="H305" s="500">
        <v>132.19999999999999</v>
      </c>
      <c r="I305" s="500">
        <v>385</v>
      </c>
      <c r="J305" s="257">
        <f>IF($E305&lt;DATE(2018,7,1),"-",INDEX('Annual Inflation'!$AM$53:$BA$53, MATCH(YEAR(EOMONTH($E305,6)), 'Annual Inflation'!$AM$6:$BA$6, 0))/100)</f>
        <v>2.5301927741606001E-2</v>
      </c>
      <c r="K305" s="257">
        <f>IF($E305&lt;DATE(2018,7,1),"-",INDEX('Annual Inflation'!$AM$50:$BA$50, MATCH(YEAR(EOMONTH($E305,6)), 'Annual Inflation'!$AM$6:$BA$6, 0))/100)</f>
        <v>3.5849815186325129E-2</v>
      </c>
      <c r="L305" s="258">
        <f t="shared" si="22"/>
        <v>132.19999999999999</v>
      </c>
      <c r="M305" s="258">
        <f t="shared" si="23"/>
        <v>385</v>
      </c>
      <c r="N305" s="258">
        <f t="shared" si="24"/>
        <v>383.48502253442854</v>
      </c>
    </row>
    <row r="306" spans="5:14" ht="15">
      <c r="E306" s="248">
        <v>45413</v>
      </c>
      <c r="F306" s="323">
        <f t="shared" si="20"/>
        <v>45443</v>
      </c>
      <c r="G306" s="159">
        <f t="shared" si="21"/>
        <v>2025</v>
      </c>
      <c r="H306" s="500">
        <v>132.69999999999999</v>
      </c>
      <c r="I306" s="500">
        <v>386.4</v>
      </c>
      <c r="J306" s="257">
        <f>IF($E306&lt;DATE(2018,7,1),"-",INDEX('Annual Inflation'!$AM$53:$BA$53, MATCH(YEAR(EOMONTH($E306,6)), 'Annual Inflation'!$AM$6:$BA$6, 0))/100)</f>
        <v>2.5301927741606001E-2</v>
      </c>
      <c r="K306" s="257">
        <f>IF($E306&lt;DATE(2018,7,1),"-",INDEX('Annual Inflation'!$AM$50:$BA$50, MATCH(YEAR(EOMONTH($E306,6)), 'Annual Inflation'!$AM$6:$BA$6, 0))/100)</f>
        <v>3.5849815186325129E-2</v>
      </c>
      <c r="L306" s="258">
        <f t="shared" si="22"/>
        <v>132.69999999999999</v>
      </c>
      <c r="M306" s="258">
        <f t="shared" si="23"/>
        <v>386.4</v>
      </c>
      <c r="N306" s="258">
        <f t="shared" si="24"/>
        <v>384.93541974522441</v>
      </c>
    </row>
    <row r="307" spans="5:14" ht="15">
      <c r="E307" s="248">
        <v>45444</v>
      </c>
      <c r="F307" s="323">
        <f t="shared" si="20"/>
        <v>45473</v>
      </c>
      <c r="G307" s="159">
        <f t="shared" si="21"/>
        <v>2025</v>
      </c>
      <c r="H307" s="500">
        <v>133</v>
      </c>
      <c r="I307" s="500">
        <v>387.3</v>
      </c>
      <c r="J307" s="257">
        <f>IF($E307&lt;DATE(2018,7,1),"-",INDEX('Annual Inflation'!$AM$53:$BA$53, MATCH(YEAR(EOMONTH($E307,6)), 'Annual Inflation'!$AM$6:$BA$6, 0))/100)</f>
        <v>2.5301927741606001E-2</v>
      </c>
      <c r="K307" s="257">
        <f>IF($E307&lt;DATE(2018,7,1),"-",INDEX('Annual Inflation'!$AM$50:$BA$50, MATCH(YEAR(EOMONTH($E307,6)), 'Annual Inflation'!$AM$6:$BA$6, 0))/100)</f>
        <v>3.5849815186325129E-2</v>
      </c>
      <c r="L307" s="258">
        <f t="shared" si="22"/>
        <v>133</v>
      </c>
      <c r="M307" s="258">
        <f t="shared" si="23"/>
        <v>387.3</v>
      </c>
      <c r="N307" s="258">
        <f t="shared" si="24"/>
        <v>385.805658071702</v>
      </c>
    </row>
    <row r="308" spans="5:14" ht="15">
      <c r="E308" s="248">
        <v>45474</v>
      </c>
      <c r="F308" s="323">
        <f t="shared" si="20"/>
        <v>45504</v>
      </c>
      <c r="G308" s="159">
        <f t="shared" si="21"/>
        <v>2025</v>
      </c>
      <c r="H308" s="500">
        <v>132.9</v>
      </c>
      <c r="I308" s="500">
        <v>387.5</v>
      </c>
      <c r="J308" s="257">
        <f>IF($E308&lt;DATE(2018,7,1),"-",INDEX('Annual Inflation'!$AM$53:$BA$53, MATCH(YEAR(EOMONTH($E308,6)), 'Annual Inflation'!$AM$6:$BA$6, 0))/100)</f>
        <v>3.4527688414550228E-2</v>
      </c>
      <c r="K308" s="257">
        <f>IF($E308&lt;DATE(2018,7,1),"-",INDEX('Annual Inflation'!$AM$50:$BA$50, MATCH(YEAR(EOMONTH($E308,6)), 'Annual Inflation'!$AM$6:$BA$6, 0))/100)</f>
        <v>4.3267137962244462E-2</v>
      </c>
      <c r="L308" s="258">
        <f t="shared" si="22"/>
        <v>132.9</v>
      </c>
      <c r="M308" s="258">
        <f t="shared" si="23"/>
        <v>387.5</v>
      </c>
      <c r="N308" s="258">
        <f t="shared" si="24"/>
        <v>385.51557862954286</v>
      </c>
    </row>
    <row r="309" spans="5:14" ht="15">
      <c r="E309" s="248">
        <v>45505</v>
      </c>
      <c r="F309" s="323">
        <f t="shared" si="20"/>
        <v>45535</v>
      </c>
      <c r="G309" s="159">
        <f t="shared" si="21"/>
        <v>2025</v>
      </c>
      <c r="H309" s="500">
        <v>133.4</v>
      </c>
      <c r="I309" s="500">
        <v>389.9</v>
      </c>
      <c r="J309" s="257">
        <f>IF($E309&lt;DATE(2018,7,1),"-",INDEX('Annual Inflation'!$AM$53:$BA$53, MATCH(YEAR(EOMONTH($E309,6)), 'Annual Inflation'!$AM$6:$BA$6, 0))/100)</f>
        <v>3.4527688414550228E-2</v>
      </c>
      <c r="K309" s="257">
        <f>IF($E309&lt;DATE(2018,7,1),"-",INDEX('Annual Inflation'!$AM$50:$BA$50, MATCH(YEAR(EOMONTH($E309,6)), 'Annual Inflation'!$AM$6:$BA$6, 0))/100)</f>
        <v>4.3267137962244462E-2</v>
      </c>
      <c r="L309" s="258">
        <f t="shared" si="22"/>
        <v>133.4</v>
      </c>
      <c r="M309" s="258">
        <f t="shared" si="23"/>
        <v>389.9</v>
      </c>
      <c r="N309" s="258">
        <f t="shared" si="24"/>
        <v>386.96597584033873</v>
      </c>
    </row>
    <row r="310" spans="5:14" ht="15">
      <c r="E310" s="248">
        <v>45536</v>
      </c>
      <c r="F310" s="323">
        <f t="shared" si="20"/>
        <v>45565</v>
      </c>
      <c r="G310" s="159">
        <f t="shared" si="21"/>
        <v>2025</v>
      </c>
      <c r="H310" s="500">
        <v>133.5</v>
      </c>
      <c r="I310" s="500">
        <v>388.6</v>
      </c>
      <c r="J310" s="257">
        <f>IF($E310&lt;DATE(2018,7,1),"-",INDEX('Annual Inflation'!$AM$53:$BA$53, MATCH(YEAR(EOMONTH($E310,6)), 'Annual Inflation'!$AM$6:$BA$6, 0))/100)</f>
        <v>3.4527688414550228E-2</v>
      </c>
      <c r="K310" s="257">
        <f>IF($E310&lt;DATE(2018,7,1),"-",INDEX('Annual Inflation'!$AM$50:$BA$50, MATCH(YEAR(EOMONTH($E310,6)), 'Annual Inflation'!$AM$6:$BA$6, 0))/100)</f>
        <v>4.3267137962244462E-2</v>
      </c>
      <c r="L310" s="258">
        <f t="shared" si="22"/>
        <v>133.5</v>
      </c>
      <c r="M310" s="258">
        <f t="shared" si="23"/>
        <v>388.6</v>
      </c>
      <c r="N310" s="258">
        <f t="shared" si="24"/>
        <v>387.25605528249787</v>
      </c>
    </row>
    <row r="311" spans="5:14" ht="15">
      <c r="E311" s="248">
        <v>45566</v>
      </c>
      <c r="F311" s="323">
        <f t="shared" si="20"/>
        <v>45596</v>
      </c>
      <c r="G311" s="159">
        <f t="shared" si="21"/>
        <v>2025</v>
      </c>
      <c r="H311" s="500">
        <v>134.30000000000001</v>
      </c>
      <c r="I311" s="500">
        <v>390.7</v>
      </c>
      <c r="J311" s="257">
        <f>IF($E311&lt;DATE(2018,7,1),"-",INDEX('Annual Inflation'!$AM$53:$BA$53, MATCH(YEAR(EOMONTH($E311,6)), 'Annual Inflation'!$AM$6:$BA$6, 0))/100)</f>
        <v>3.4527688414550228E-2</v>
      </c>
      <c r="K311" s="257">
        <f>IF($E311&lt;DATE(2018,7,1),"-",INDEX('Annual Inflation'!$AM$50:$BA$50, MATCH(YEAR(EOMONTH($E311,6)), 'Annual Inflation'!$AM$6:$BA$6, 0))/100)</f>
        <v>4.3267137962244462E-2</v>
      </c>
      <c r="L311" s="258">
        <f t="shared" si="22"/>
        <v>134.30000000000001</v>
      </c>
      <c r="M311" s="258">
        <f t="shared" si="23"/>
        <v>390.7</v>
      </c>
      <c r="N311" s="258">
        <f t="shared" si="24"/>
        <v>389.57669081977133</v>
      </c>
    </row>
    <row r="312" spans="5:14" ht="15">
      <c r="E312" s="248">
        <v>45597</v>
      </c>
      <c r="F312" s="323">
        <f t="shared" si="20"/>
        <v>45626</v>
      </c>
      <c r="G312" s="159">
        <f t="shared" si="21"/>
        <v>2025</v>
      </c>
      <c r="H312" s="500">
        <v>134.6</v>
      </c>
      <c r="I312" s="500">
        <v>390.9</v>
      </c>
      <c r="J312" s="257">
        <f>IF($E312&lt;DATE(2018,7,1),"-",INDEX('Annual Inflation'!$AM$53:$BA$53, MATCH(YEAR(EOMONTH($E312,6)), 'Annual Inflation'!$AM$6:$BA$6, 0))/100)</f>
        <v>3.4527688414550228E-2</v>
      </c>
      <c r="K312" s="257">
        <f>IF($E312&lt;DATE(2018,7,1),"-",INDEX('Annual Inflation'!$AM$50:$BA$50, MATCH(YEAR(EOMONTH($E312,6)), 'Annual Inflation'!$AM$6:$BA$6, 0))/100)</f>
        <v>4.3267137962244462E-2</v>
      </c>
      <c r="L312" s="258">
        <f t="shared" si="22"/>
        <v>134.6</v>
      </c>
      <c r="M312" s="258">
        <f t="shared" si="23"/>
        <v>390.9</v>
      </c>
      <c r="N312" s="258">
        <f t="shared" si="24"/>
        <v>390.44692914624881</v>
      </c>
    </row>
    <row r="313" spans="5:14" ht="15">
      <c r="E313" s="248">
        <v>45627</v>
      </c>
      <c r="F313" s="323">
        <f t="shared" si="20"/>
        <v>45657</v>
      </c>
      <c r="G313" s="159">
        <f t="shared" si="21"/>
        <v>2025</v>
      </c>
      <c r="H313" s="500">
        <v>135.1</v>
      </c>
      <c r="I313" s="500">
        <v>392.1</v>
      </c>
      <c r="J313" s="257">
        <f>IF($E313&lt;DATE(2018,7,1),"-",INDEX('Annual Inflation'!$AM$53:$BA$53, MATCH(YEAR(EOMONTH($E313,6)), 'Annual Inflation'!$AM$6:$BA$6, 0))/100)</f>
        <v>3.4527688414550228E-2</v>
      </c>
      <c r="K313" s="257">
        <f>IF($E313&lt;DATE(2018,7,1),"-",INDEX('Annual Inflation'!$AM$50:$BA$50, MATCH(YEAR(EOMONTH($E313,6)), 'Annual Inflation'!$AM$6:$BA$6, 0))/100)</f>
        <v>4.3267137962244462E-2</v>
      </c>
      <c r="L313" s="258">
        <f t="shared" si="22"/>
        <v>135.1</v>
      </c>
      <c r="M313" s="258">
        <f t="shared" si="23"/>
        <v>392.1</v>
      </c>
      <c r="N313" s="258">
        <f t="shared" si="24"/>
        <v>391.89732635704468</v>
      </c>
    </row>
    <row r="314" spans="5:14" ht="15">
      <c r="E314" s="248">
        <v>45658</v>
      </c>
      <c r="F314" s="323">
        <f t="shared" si="20"/>
        <v>45688</v>
      </c>
      <c r="G314" s="159">
        <f t="shared" si="21"/>
        <v>2025</v>
      </c>
      <c r="H314" s="500">
        <v>135.1</v>
      </c>
      <c r="I314" s="500">
        <v>391.7</v>
      </c>
      <c r="J314" s="257">
        <f>IF($E314&lt;DATE(2018,7,1),"-",INDEX('Annual Inflation'!$AM$53:$BA$53, MATCH(YEAR(EOMONTH($E314,6)), 'Annual Inflation'!$AM$6:$BA$6, 0))/100)</f>
        <v>3.4527688414550228E-2</v>
      </c>
      <c r="K314" s="257">
        <f>IF($E314&lt;DATE(2018,7,1),"-",INDEX('Annual Inflation'!$AM$50:$BA$50, MATCH(YEAR(EOMONTH($E314,6)), 'Annual Inflation'!$AM$6:$BA$6, 0))/100)</f>
        <v>4.3267137962244462E-2</v>
      </c>
      <c r="L314" s="258">
        <f t="shared" si="22"/>
        <v>135.1</v>
      </c>
      <c r="M314" s="258">
        <f t="shared" si="23"/>
        <v>391.7</v>
      </c>
      <c r="N314" s="258">
        <f t="shared" si="24"/>
        <v>391.89732635704468</v>
      </c>
    </row>
    <row r="315" spans="5:14" ht="15">
      <c r="E315" s="248">
        <v>45689</v>
      </c>
      <c r="F315" s="323">
        <f t="shared" si="20"/>
        <v>45716</v>
      </c>
      <c r="G315" s="159">
        <f t="shared" si="21"/>
        <v>2025</v>
      </c>
      <c r="H315" s="500">
        <v>135.6</v>
      </c>
      <c r="I315" s="500">
        <v>394</v>
      </c>
      <c r="J315" s="257">
        <f>IF($E315&lt;DATE(2018,7,1),"-",INDEX('Annual Inflation'!$AM$53:$BA$53, MATCH(YEAR(EOMONTH($E315,6)), 'Annual Inflation'!$AM$6:$BA$6, 0))/100)</f>
        <v>3.4527688414550228E-2</v>
      </c>
      <c r="K315" s="257">
        <f>IF($E315&lt;DATE(2018,7,1),"-",INDEX('Annual Inflation'!$AM$50:$BA$50, MATCH(YEAR(EOMONTH($E315,6)), 'Annual Inflation'!$AM$6:$BA$6, 0))/100)</f>
        <v>4.3267137962244462E-2</v>
      </c>
      <c r="L315" s="258">
        <f t="shared" si="22"/>
        <v>135.6</v>
      </c>
      <c r="M315" s="258">
        <f t="shared" si="23"/>
        <v>394</v>
      </c>
      <c r="N315" s="258">
        <f t="shared" si="24"/>
        <v>393.3477235678406</v>
      </c>
    </row>
    <row r="316" spans="5:14" ht="15">
      <c r="E316" s="248">
        <v>45717</v>
      </c>
      <c r="F316" s="323">
        <f t="shared" si="20"/>
        <v>45747</v>
      </c>
      <c r="G316" s="159">
        <f t="shared" si="21"/>
        <v>2025</v>
      </c>
      <c r="H316" s="500">
        <v>136.1</v>
      </c>
      <c r="I316" s="500">
        <v>395.3</v>
      </c>
      <c r="J316" s="257">
        <f>IF($E316&lt;DATE(2018,7,1),"-",INDEX('Annual Inflation'!$AM$53:$BA$53, MATCH(YEAR(EOMONTH($E316,6)), 'Annual Inflation'!$AM$6:$BA$6, 0))/100)</f>
        <v>3.4527688414550228E-2</v>
      </c>
      <c r="K316" s="257">
        <f>IF($E316&lt;DATE(2018,7,1),"-",INDEX('Annual Inflation'!$AM$50:$BA$50, MATCH(YEAR(EOMONTH($E316,6)), 'Annual Inflation'!$AM$6:$BA$6, 0))/100)</f>
        <v>4.3267137962244462E-2</v>
      </c>
      <c r="L316" s="258">
        <f t="shared" si="22"/>
        <v>136.1</v>
      </c>
      <c r="M316" s="258">
        <f t="shared" si="23"/>
        <v>395.3</v>
      </c>
      <c r="N316" s="258">
        <f t="shared" si="24"/>
        <v>394.79812077863647</v>
      </c>
    </row>
    <row r="317" spans="5:14" ht="15">
      <c r="E317" s="248">
        <v>45748</v>
      </c>
      <c r="F317" s="323">
        <f t="shared" si="20"/>
        <v>45777</v>
      </c>
      <c r="G317" s="159">
        <f t="shared" si="21"/>
        <v>2026</v>
      </c>
      <c r="H317" s="500">
        <v>137.69999999999999</v>
      </c>
      <c r="I317" s="500">
        <v>402.2</v>
      </c>
      <c r="J317" s="257">
        <f>IF($E317&lt;DATE(2018,7,1),"-",INDEX('Annual Inflation'!$AM$53:$BA$53, MATCH(YEAR(EOMONTH($E317,6)), 'Annual Inflation'!$AM$6:$BA$6, 0))/100)</f>
        <v>3.4527688414550228E-2</v>
      </c>
      <c r="K317" s="257">
        <f>IF($E317&lt;DATE(2018,7,1),"-",INDEX('Annual Inflation'!$AM$50:$BA$50, MATCH(YEAR(EOMONTH($E317,6)), 'Annual Inflation'!$AM$6:$BA$6, 0))/100)</f>
        <v>4.3267137962244462E-2</v>
      </c>
      <c r="L317" s="258">
        <f t="shared" si="22"/>
        <v>137.69999999999999</v>
      </c>
      <c r="M317" s="258">
        <f t="shared" si="23"/>
        <v>402.2</v>
      </c>
      <c r="N317" s="258">
        <f t="shared" si="24"/>
        <v>399.43939185318322</v>
      </c>
    </row>
    <row r="318" spans="5:14" ht="15">
      <c r="E318" s="248">
        <v>45778</v>
      </c>
      <c r="F318" s="323">
        <f t="shared" si="20"/>
        <v>45808</v>
      </c>
      <c r="G318" s="159">
        <f t="shared" si="21"/>
        <v>2026</v>
      </c>
      <c r="H318" s="500">
        <v>138</v>
      </c>
      <c r="I318" s="500">
        <v>402.9</v>
      </c>
      <c r="J318" s="257">
        <f>IF($E318&lt;DATE(2018,7,1),"-",INDEX('Annual Inflation'!$AM$53:$BA$53, MATCH(YEAR(EOMONTH($E318,6)), 'Annual Inflation'!$AM$6:$BA$6, 0))/100)</f>
        <v>3.4527688414550228E-2</v>
      </c>
      <c r="K318" s="257">
        <f>IF($E318&lt;DATE(2018,7,1),"-",INDEX('Annual Inflation'!$AM$50:$BA$50, MATCH(YEAR(EOMONTH($E318,6)), 'Annual Inflation'!$AM$6:$BA$6, 0))/100)</f>
        <v>4.3267137962244462E-2</v>
      </c>
      <c r="L318" s="258">
        <f t="shared" si="22"/>
        <v>138</v>
      </c>
      <c r="M318" s="258">
        <f t="shared" si="23"/>
        <v>402.9</v>
      </c>
      <c r="N318" s="258">
        <f t="shared" si="24"/>
        <v>400.30963017966081</v>
      </c>
    </row>
    <row r="319" spans="5:14" ht="15">
      <c r="E319" s="248">
        <v>45809</v>
      </c>
      <c r="F319" s="323">
        <f t="shared" si="20"/>
        <v>45838</v>
      </c>
      <c r="G319" s="159">
        <f t="shared" si="21"/>
        <v>2026</v>
      </c>
      <c r="H319" s="500">
        <v>138.4</v>
      </c>
      <c r="I319" s="500">
        <v>404.5</v>
      </c>
      <c r="J319" s="257">
        <f>IF($E319&lt;DATE(2018,7,1),"-",INDEX('Annual Inflation'!$AM$53:$BA$53, MATCH(YEAR(EOMONTH($E319,6)), 'Annual Inflation'!$AM$6:$BA$6, 0))/100)</f>
        <v>3.4527688414550228E-2</v>
      </c>
      <c r="K319" s="257">
        <f>IF($E319&lt;DATE(2018,7,1),"-",INDEX('Annual Inflation'!$AM$50:$BA$50, MATCH(YEAR(EOMONTH($E319,6)), 'Annual Inflation'!$AM$6:$BA$6, 0))/100)</f>
        <v>4.3267137962244462E-2</v>
      </c>
      <c r="L319" s="258">
        <f t="shared" si="22"/>
        <v>138.4</v>
      </c>
      <c r="M319" s="258">
        <f t="shared" si="23"/>
        <v>404.5</v>
      </c>
      <c r="N319" s="258">
        <f t="shared" si="24"/>
        <v>401.46994794829754</v>
      </c>
    </row>
    <row r="320" spans="5:14" ht="15">
      <c r="E320" s="248">
        <v>45839</v>
      </c>
      <c r="F320" s="323">
        <f t="shared" si="20"/>
        <v>45869</v>
      </c>
      <c r="G320" s="159">
        <f t="shared" si="21"/>
        <v>2026</v>
      </c>
      <c r="H320" s="500"/>
      <c r="I320" s="500"/>
      <c r="J320" s="257">
        <f>IF($E320&lt;DATE(2018,7,1),"-",INDEX('Annual Inflation'!$AM$53:$BA$53, MATCH(YEAR(EOMONTH($E320,6)), 'Annual Inflation'!$AM$6:$BA$6, 0))/100)</f>
        <v>2.4801225431334784E-2</v>
      </c>
      <c r="K320" s="257">
        <f>IF($E320&lt;DATE(2018,7,1),"-",INDEX('Annual Inflation'!$AM$50:$BA$50, MATCH(YEAR(EOMONTH($E320,6)), 'Annual Inflation'!$AM$6:$BA$6, 0))/100)</f>
        <v>3.711413121659124E-2</v>
      </c>
      <c r="L320" s="258">
        <f t="shared" si="22"/>
        <v>138.68283991553739</v>
      </c>
      <c r="M320" s="258">
        <f t="shared" si="23"/>
        <v>405.73026559350069</v>
      </c>
      <c r="N320" s="258">
        <f t="shared" si="24"/>
        <v>402.29040839749189</v>
      </c>
    </row>
    <row r="321" spans="5:14" ht="15">
      <c r="E321" s="248">
        <v>45870</v>
      </c>
      <c r="F321" s="323">
        <f t="shared" si="20"/>
        <v>45900</v>
      </c>
      <c r="G321" s="159">
        <f t="shared" si="21"/>
        <v>2026</v>
      </c>
      <c r="H321" s="500"/>
      <c r="I321" s="500"/>
      <c r="J321" s="257">
        <f>IF($E321&lt;DATE(2018,7,1),"-",INDEX('Annual Inflation'!$AM$53:$BA$53, MATCH(YEAR(EOMONTH($E321,6)), 'Annual Inflation'!$AM$6:$BA$6, 0))/100)</f>
        <v>2.4801225431334784E-2</v>
      </c>
      <c r="K321" s="257">
        <f>IF($E321&lt;DATE(2018,7,1),"-",INDEX('Annual Inflation'!$AM$50:$BA$50, MATCH(YEAR(EOMONTH($E321,6)), 'Annual Inflation'!$AM$6:$BA$6, 0))/100)</f>
        <v>3.711413121659124E-2</v>
      </c>
      <c r="L321" s="258">
        <f t="shared" si="22"/>
        <v>138.96625785432491</v>
      </c>
      <c r="M321" s="258">
        <f t="shared" si="23"/>
        <v>406.96427297545767</v>
      </c>
      <c r="N321" s="258">
        <f t="shared" si="24"/>
        <v>403.11254557330579</v>
      </c>
    </row>
    <row r="322" spans="5:14" ht="15">
      <c r="E322" s="248">
        <v>45901</v>
      </c>
      <c r="F322" s="323">
        <f t="shared" si="20"/>
        <v>45930</v>
      </c>
      <c r="G322" s="159">
        <f t="shared" si="21"/>
        <v>2026</v>
      </c>
      <c r="H322" s="500"/>
      <c r="I322" s="500"/>
      <c r="J322" s="257">
        <f>IF($E322&lt;DATE(2018,7,1),"-",INDEX('Annual Inflation'!$AM$53:$BA$53, MATCH(YEAR(EOMONTH($E322,6)), 'Annual Inflation'!$AM$6:$BA$6, 0))/100)</f>
        <v>2.4801225431334784E-2</v>
      </c>
      <c r="K322" s="257">
        <f>IF($E322&lt;DATE(2018,7,1),"-",INDEX('Annual Inflation'!$AM$50:$BA$50, MATCH(YEAR(EOMONTH($E322,6)), 'Annual Inflation'!$AM$6:$BA$6, 0))/100)</f>
        <v>3.711413121659124E-2</v>
      </c>
      <c r="L322" s="258">
        <f t="shared" si="22"/>
        <v>139.25025499763461</v>
      </c>
      <c r="M322" s="258">
        <f t="shared" si="23"/>
        <v>408.20203352632478</v>
      </c>
      <c r="N322" s="258">
        <f t="shared" si="24"/>
        <v>403.93636290236657</v>
      </c>
    </row>
    <row r="323" spans="5:14" ht="15">
      <c r="E323" s="248">
        <v>45931</v>
      </c>
      <c r="F323" s="323">
        <f t="shared" si="20"/>
        <v>45961</v>
      </c>
      <c r="G323" s="159">
        <f t="shared" si="21"/>
        <v>2026</v>
      </c>
      <c r="H323" s="500"/>
      <c r="I323" s="500"/>
      <c r="J323" s="257">
        <f>IF($E323&lt;DATE(2018,7,1),"-",INDEX('Annual Inflation'!$AM$53:$BA$53, MATCH(YEAR(EOMONTH($E323,6)), 'Annual Inflation'!$AM$6:$BA$6, 0))/100)</f>
        <v>2.4801225431334784E-2</v>
      </c>
      <c r="K323" s="257">
        <f>IF($E323&lt;DATE(2018,7,1),"-",INDEX('Annual Inflation'!$AM$50:$BA$50, MATCH(YEAR(EOMONTH($E323,6)), 'Annual Inflation'!$AM$6:$BA$6, 0))/100)</f>
        <v>3.711413121659124E-2</v>
      </c>
      <c r="L323" s="258">
        <f t="shared" si="22"/>
        <v>139.5348325291526</v>
      </c>
      <c r="M323" s="258">
        <f t="shared" si="23"/>
        <v>409.44355866116894</v>
      </c>
      <c r="N323" s="258">
        <f t="shared" si="24"/>
        <v>404.76186381830428</v>
      </c>
    </row>
    <row r="324" spans="5:14" ht="15">
      <c r="E324" s="248">
        <v>45962</v>
      </c>
      <c r="F324" s="323">
        <f t="shared" si="20"/>
        <v>45991</v>
      </c>
      <c r="G324" s="159">
        <f t="shared" si="21"/>
        <v>2026</v>
      </c>
      <c r="H324" s="500"/>
      <c r="I324" s="500"/>
      <c r="J324" s="257">
        <f>IF($E324&lt;DATE(2018,7,1),"-",INDEX('Annual Inflation'!$AM$53:$BA$53, MATCH(YEAR(EOMONTH($E324,6)), 'Annual Inflation'!$AM$6:$BA$6, 0))/100)</f>
        <v>2.4801225431334784E-2</v>
      </c>
      <c r="K324" s="257">
        <f>IF($E324&lt;DATE(2018,7,1),"-",INDEX('Annual Inflation'!$AM$50:$BA$50, MATCH(YEAR(EOMONTH($E324,6)), 'Annual Inflation'!$AM$6:$BA$6, 0))/100)</f>
        <v>3.711413121659124E-2</v>
      </c>
      <c r="L324" s="258">
        <f t="shared" si="22"/>
        <v>139.81999163498401</v>
      </c>
      <c r="M324" s="258">
        <f t="shared" si="23"/>
        <v>410.68885982977542</v>
      </c>
      <c r="N324" s="258">
        <f t="shared" si="24"/>
        <v>405.58905176176614</v>
      </c>
    </row>
    <row r="325" spans="5:14" ht="15">
      <c r="E325" s="248">
        <v>45992</v>
      </c>
      <c r="F325" s="323">
        <f t="shared" si="20"/>
        <v>46022</v>
      </c>
      <c r="G325" s="159">
        <f t="shared" si="21"/>
        <v>2026</v>
      </c>
      <c r="H325" s="500"/>
      <c r="I325" s="500"/>
      <c r="J325" s="257">
        <f>IF($E325&lt;DATE(2018,7,1),"-",INDEX('Annual Inflation'!$AM$53:$BA$53, MATCH(YEAR(EOMONTH($E325,6)), 'Annual Inflation'!$AM$6:$BA$6, 0))/100)</f>
        <v>2.4801225431334784E-2</v>
      </c>
      <c r="K325" s="257">
        <f>IF($E325&lt;DATE(2018,7,1),"-",INDEX('Annual Inflation'!$AM$50:$BA$50, MATCH(YEAR(EOMONTH($E325,6)), 'Annual Inflation'!$AM$6:$BA$6, 0))/100)</f>
        <v>3.711413121659124E-2</v>
      </c>
      <c r="L325" s="258">
        <f t="shared" si="22"/>
        <v>140.10573350365797</v>
      </c>
      <c r="M325" s="258">
        <f t="shared" si="23"/>
        <v>411.93794851675347</v>
      </c>
      <c r="N325" s="258">
        <f t="shared" si="24"/>
        <v>406.4179301804308</v>
      </c>
    </row>
    <row r="326" spans="5:14" ht="15">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2.4801225431334784E-2</v>
      </c>
      <c r="K326" s="257">
        <f>IF($E326&lt;DATE(2018,7,1),"-",INDEX('Annual Inflation'!$AM$50:$BA$50, MATCH(YEAR(EOMONTH($E326,6)), 'Annual Inflation'!$AM$6:$BA$6, 0))/100)</f>
        <v>3.711413121659124E-2</v>
      </c>
      <c r="L326" s="258">
        <f t="shared" ref="L326:L352" si="29">IF(ISBLANK(H326),L325*((1+J326)^(1/12)),H326)</f>
        <v>140.39205932613251</v>
      </c>
      <c r="M326" s="258">
        <f t="shared" ref="M326:M352" si="30">IF(ISBLANK(I326),M325*((1+K326)^(1/12)),I326)</f>
        <v>413.19083624164205</v>
      </c>
      <c r="N326" s="258">
        <f t="shared" ref="N326:N352" si="31">IF($E326 &lt; DATE(2023,4,1),  M326,  IF($E326 = DATE(2023,4,1), N325 * ((0.5*L326/L325) + (0.5*M326/M325)), N325*(L326/L325)))</f>
        <v>407.24850252902263</v>
      </c>
    </row>
    <row r="327" spans="5:14" ht="15">
      <c r="E327" s="248">
        <v>46054</v>
      </c>
      <c r="F327" s="323">
        <f t="shared" si="27"/>
        <v>46081</v>
      </c>
      <c r="G327" s="159">
        <f t="shared" si="28"/>
        <v>2026</v>
      </c>
      <c r="H327" s="500"/>
      <c r="I327" s="500"/>
      <c r="J327" s="257">
        <f>IF($E327&lt;DATE(2018,7,1),"-",INDEX('Annual Inflation'!$AM$53:$BA$53, MATCH(YEAR(EOMONTH($E327,6)), 'Annual Inflation'!$AM$6:$BA$6, 0))/100)</f>
        <v>2.4801225431334784E-2</v>
      </c>
      <c r="K327" s="257">
        <f>IF($E327&lt;DATE(2018,7,1),"-",INDEX('Annual Inflation'!$AM$50:$BA$50, MATCH(YEAR(EOMONTH($E327,6)), 'Annual Inflation'!$AM$6:$BA$6, 0))/100)</f>
        <v>3.711413121659124E-2</v>
      </c>
      <c r="L327" s="258">
        <f t="shared" si="29"/>
        <v>140.67897029579959</v>
      </c>
      <c r="M327" s="258">
        <f t="shared" si="30"/>
        <v>414.44753455901628</v>
      </c>
      <c r="N327" s="258">
        <f t="shared" si="31"/>
        <v>408.08077226932636</v>
      </c>
    </row>
    <row r="328" spans="5:14" ht="15">
      <c r="E328" s="248">
        <v>46082</v>
      </c>
      <c r="F328" s="323">
        <f t="shared" si="27"/>
        <v>46112</v>
      </c>
      <c r="G328" s="159">
        <f t="shared" si="28"/>
        <v>2026</v>
      </c>
      <c r="H328" s="500"/>
      <c r="I328" s="500"/>
      <c r="J328" s="257">
        <f>IF($E328&lt;DATE(2018,7,1),"-",INDEX('Annual Inflation'!$AM$53:$BA$53, MATCH(YEAR(EOMONTH($E328,6)), 'Annual Inflation'!$AM$6:$BA$6, 0))/100)</f>
        <v>2.4801225431334784E-2</v>
      </c>
      <c r="K328" s="257">
        <f>IF($E328&lt;DATE(2018,7,1),"-",INDEX('Annual Inflation'!$AM$50:$BA$50, MATCH(YEAR(EOMONTH($E328,6)), 'Annual Inflation'!$AM$6:$BA$6, 0))/100)</f>
        <v>3.711413121659124E-2</v>
      </c>
      <c r="L328" s="258">
        <f t="shared" si="29"/>
        <v>140.96646760848998</v>
      </c>
      <c r="M328" s="258">
        <f t="shared" si="30"/>
        <v>415.70805505859391</v>
      </c>
      <c r="N328" s="258">
        <f t="shared" si="31"/>
        <v>408.91474287020128</v>
      </c>
    </row>
    <row r="329" spans="5:14" ht="15">
      <c r="E329" s="248">
        <v>46113</v>
      </c>
      <c r="F329" s="323">
        <f t="shared" si="27"/>
        <v>46142</v>
      </c>
      <c r="G329" s="159">
        <f t="shared" si="28"/>
        <v>2027</v>
      </c>
      <c r="H329" s="500"/>
      <c r="I329" s="500"/>
      <c r="J329" s="257">
        <f>IF($E329&lt;DATE(2018,7,1),"-",INDEX('Annual Inflation'!$AM$53:$BA$53, MATCH(YEAR(EOMONTH($E329,6)), 'Annual Inflation'!$AM$6:$BA$6, 0))/100)</f>
        <v>2.4801225431334784E-2</v>
      </c>
      <c r="K329" s="257">
        <f>IF($E329&lt;DATE(2018,7,1),"-",INDEX('Annual Inflation'!$AM$50:$BA$50, MATCH(YEAR(EOMONTH($E329,6)), 'Annual Inflation'!$AM$6:$BA$6, 0))/100)</f>
        <v>3.711413121659124E-2</v>
      </c>
      <c r="L329" s="258">
        <f t="shared" si="29"/>
        <v>141.25455246247833</v>
      </c>
      <c r="M329" s="258">
        <f t="shared" si="30"/>
        <v>416.97240936534223</v>
      </c>
      <c r="N329" s="258">
        <f t="shared" si="31"/>
        <v>409.7504178075958</v>
      </c>
    </row>
    <row r="330" spans="5:14" ht="15">
      <c r="E330" s="248">
        <v>46143</v>
      </c>
      <c r="F330" s="323">
        <f t="shared" si="27"/>
        <v>46173</v>
      </c>
      <c r="G330" s="159">
        <f t="shared" si="28"/>
        <v>2027</v>
      </c>
      <c r="H330" s="500"/>
      <c r="I330" s="500"/>
      <c r="J330" s="257">
        <f>IF($E330&lt;DATE(2018,7,1),"-",INDEX('Annual Inflation'!$AM$53:$BA$53, MATCH(YEAR(EOMONTH($E330,6)), 'Annual Inflation'!$AM$6:$BA$6, 0))/100)</f>
        <v>2.4801225431334784E-2</v>
      </c>
      <c r="K330" s="257">
        <f>IF($E330&lt;DATE(2018,7,1),"-",INDEX('Annual Inflation'!$AM$50:$BA$50, MATCH(YEAR(EOMONTH($E330,6)), 'Annual Inflation'!$AM$6:$BA$6, 0))/100)</f>
        <v>3.711413121659124E-2</v>
      </c>
      <c r="L330" s="258">
        <f t="shared" si="29"/>
        <v>141.54322605848813</v>
      </c>
      <c r="M330" s="258">
        <f t="shared" si="30"/>
        <v>418.24060913958516</v>
      </c>
      <c r="N330" s="258">
        <f t="shared" si="31"/>
        <v>410.58780056456192</v>
      </c>
    </row>
    <row r="331" spans="5:14" ht="15">
      <c r="E331" s="248">
        <v>46174</v>
      </c>
      <c r="F331" s="323">
        <f t="shared" si="27"/>
        <v>46203</v>
      </c>
      <c r="G331" s="159">
        <f t="shared" si="28"/>
        <v>2027</v>
      </c>
      <c r="H331" s="500"/>
      <c r="I331" s="500"/>
      <c r="J331" s="257">
        <f>IF($E331&lt;DATE(2018,7,1),"-",INDEX('Annual Inflation'!$AM$53:$BA$53, MATCH(YEAR(EOMONTH($E331,6)), 'Annual Inflation'!$AM$6:$BA$6, 0))/100)</f>
        <v>2.4801225431334784E-2</v>
      </c>
      <c r="K331" s="257">
        <f>IF($E331&lt;DATE(2018,7,1),"-",INDEX('Annual Inflation'!$AM$50:$BA$50, MATCH(YEAR(EOMONTH($E331,6)), 'Annual Inflation'!$AM$6:$BA$6, 0))/100)</f>
        <v>3.711413121659124E-2</v>
      </c>
      <c r="L331" s="258">
        <f t="shared" si="29"/>
        <v>141.83248959969674</v>
      </c>
      <c r="M331" s="258">
        <f t="shared" si="30"/>
        <v>419.51266607711102</v>
      </c>
      <c r="N331" s="258">
        <f t="shared" si="31"/>
        <v>411.4268946312697</v>
      </c>
    </row>
    <row r="332" spans="5:14" ht="15">
      <c r="E332" s="248">
        <v>46204</v>
      </c>
      <c r="F332" s="323">
        <f t="shared" si="27"/>
        <v>46234</v>
      </c>
      <c r="G332" s="159">
        <f t="shared" si="28"/>
        <v>2027</v>
      </c>
      <c r="H332" s="500"/>
      <c r="I332" s="500"/>
      <c r="J332" s="257">
        <f>IF($E332&lt;DATE(2018,7,1),"-",INDEX('Annual Inflation'!$AM$53:$BA$53, MATCH(YEAR(EOMONTH($E332,6)), 'Annual Inflation'!$AM$6:$BA$6, 0))/100)</f>
        <v>2.0152390816676968E-2</v>
      </c>
      <c r="K332" s="257">
        <f>IF($E332&lt;DATE(2018,7,1),"-",INDEX('Annual Inflation'!$AM$50:$BA$50, MATCH(YEAR(EOMONTH($E332,6)), 'Annual Inflation'!$AM$6:$BA$6, 0))/100)</f>
        <v>3.1282634078222848E-2</v>
      </c>
      <c r="L332" s="258">
        <f t="shared" si="29"/>
        <v>142.06850612999182</v>
      </c>
      <c r="M332" s="258">
        <f t="shared" si="30"/>
        <v>420.59091404377295</v>
      </c>
      <c r="N332" s="258">
        <f t="shared" si="31"/>
        <v>412.11153006575313</v>
      </c>
    </row>
    <row r="333" spans="5:14" ht="15">
      <c r="E333" s="248">
        <v>46235</v>
      </c>
      <c r="F333" s="323">
        <f t="shared" si="27"/>
        <v>46265</v>
      </c>
      <c r="G333" s="159">
        <f t="shared" si="28"/>
        <v>2027</v>
      </c>
      <c r="H333" s="500"/>
      <c r="I333" s="500"/>
      <c r="J333" s="257">
        <f>IF($E333&lt;DATE(2018,7,1),"-",INDEX('Annual Inflation'!$AM$53:$BA$53, MATCH(YEAR(EOMONTH($E333,6)), 'Annual Inflation'!$AM$6:$BA$6, 0))/100)</f>
        <v>2.0152390816676968E-2</v>
      </c>
      <c r="K333" s="257">
        <f>IF($E333&lt;DATE(2018,7,1),"-",INDEX('Annual Inflation'!$AM$50:$BA$50, MATCH(YEAR(EOMONTH($E333,6)), 'Annual Inflation'!$AM$6:$BA$6, 0))/100)</f>
        <v>3.1282634078222848E-2</v>
      </c>
      <c r="L333" s="258">
        <f t="shared" si="29"/>
        <v>142.30491540388698</v>
      </c>
      <c r="M333" s="258">
        <f t="shared" si="30"/>
        <v>421.67193336579942</v>
      </c>
      <c r="N333" s="258">
        <f t="shared" si="31"/>
        <v>412.79730476868076</v>
      </c>
    </row>
    <row r="334" spans="5:14" ht="15">
      <c r="E334" s="248">
        <v>46266</v>
      </c>
      <c r="F334" s="323">
        <f t="shared" si="27"/>
        <v>46295</v>
      </c>
      <c r="G334" s="159">
        <f t="shared" si="28"/>
        <v>2027</v>
      </c>
      <c r="H334" s="500"/>
      <c r="I334" s="500"/>
      <c r="J334" s="257">
        <f>IF($E334&lt;DATE(2018,7,1),"-",INDEX('Annual Inflation'!$AM$53:$BA$53, MATCH(YEAR(EOMONTH($E334,6)), 'Annual Inflation'!$AM$6:$BA$6, 0))/100)</f>
        <v>2.0152390816676968E-2</v>
      </c>
      <c r="K334" s="257">
        <f>IF($E334&lt;DATE(2018,7,1),"-",INDEX('Annual Inflation'!$AM$50:$BA$50, MATCH(YEAR(EOMONTH($E334,6)), 'Annual Inflation'!$AM$6:$BA$6, 0))/100)</f>
        <v>3.1282634078222848E-2</v>
      </c>
      <c r="L334" s="258">
        <f t="shared" si="29"/>
        <v>142.54171807492767</v>
      </c>
      <c r="M334" s="258">
        <f t="shared" si="30"/>
        <v>422.75573116623701</v>
      </c>
      <c r="N334" s="258">
        <f t="shared" si="31"/>
        <v>413.48422063585366</v>
      </c>
    </row>
    <row r="335" spans="5:14" ht="15">
      <c r="E335" s="248">
        <v>46296</v>
      </c>
      <c r="F335" s="323">
        <f t="shared" si="27"/>
        <v>46326</v>
      </c>
      <c r="G335" s="159">
        <f t="shared" si="28"/>
        <v>2027</v>
      </c>
      <c r="H335" s="500"/>
      <c r="I335" s="500"/>
      <c r="J335" s="257">
        <f>IF($E335&lt;DATE(2018,7,1),"-",INDEX('Annual Inflation'!$AM$53:$BA$53, MATCH(YEAR(EOMONTH($E335,6)), 'Annual Inflation'!$AM$6:$BA$6, 0))/100)</f>
        <v>2.0152390816676968E-2</v>
      </c>
      <c r="K335" s="257">
        <f>IF($E335&lt;DATE(2018,7,1),"-",INDEX('Annual Inflation'!$AM$50:$BA$50, MATCH(YEAR(EOMONTH($E335,6)), 'Annual Inflation'!$AM$6:$BA$6, 0))/100)</f>
        <v>3.1282634078222848E-2</v>
      </c>
      <c r="L335" s="258">
        <f t="shared" si="29"/>
        <v>142.77891479774692</v>
      </c>
      <c r="M335" s="258">
        <f t="shared" si="30"/>
        <v>423.84231458644035</v>
      </c>
      <c r="N335" s="258">
        <f t="shared" si="31"/>
        <v>414.17227956622759</v>
      </c>
    </row>
    <row r="336" spans="5:14" ht="15">
      <c r="E336" s="248">
        <v>46327</v>
      </c>
      <c r="F336" s="323">
        <f t="shared" si="27"/>
        <v>46356</v>
      </c>
      <c r="G336" s="159">
        <f t="shared" si="28"/>
        <v>2027</v>
      </c>
      <c r="H336" s="500"/>
      <c r="I336" s="500"/>
      <c r="J336" s="257">
        <f>IF($E336&lt;DATE(2018,7,1),"-",INDEX('Annual Inflation'!$AM$53:$BA$53, MATCH(YEAR(EOMONTH($E336,6)), 'Annual Inflation'!$AM$6:$BA$6, 0))/100)</f>
        <v>2.0152390816676968E-2</v>
      </c>
      <c r="K336" s="257">
        <f>IF($E336&lt;DATE(2018,7,1),"-",INDEX('Annual Inflation'!$AM$50:$BA$50, MATCH(YEAR(EOMONTH($E336,6)), 'Annual Inflation'!$AM$6:$BA$6, 0))/100)</f>
        <v>3.1282634078222848E-2</v>
      </c>
      <c r="L336" s="258">
        <f t="shared" si="29"/>
        <v>143.01650622806707</v>
      </c>
      <c r="M336" s="258">
        <f t="shared" si="30"/>
        <v>424.93169078611896</v>
      </c>
      <c r="N336" s="258">
        <f t="shared" si="31"/>
        <v>414.86148346191834</v>
      </c>
    </row>
    <row r="337" spans="5:14" ht="15">
      <c r="E337" s="248">
        <v>46357</v>
      </c>
      <c r="F337" s="323">
        <f t="shared" si="27"/>
        <v>46387</v>
      </c>
      <c r="G337" s="159">
        <f t="shared" si="28"/>
        <v>2027</v>
      </c>
      <c r="H337" s="500"/>
      <c r="I337" s="500"/>
      <c r="J337" s="257">
        <f>IF($E337&lt;DATE(2018,7,1),"-",INDEX('Annual Inflation'!$AM$53:$BA$53, MATCH(YEAR(EOMONTH($E337,6)), 'Annual Inflation'!$AM$6:$BA$6, 0))/100)</f>
        <v>2.0152390816676968E-2</v>
      </c>
      <c r="K337" s="257">
        <f>IF($E337&lt;DATE(2018,7,1),"-",INDEX('Annual Inflation'!$AM$50:$BA$50, MATCH(YEAR(EOMONTH($E337,6)), 'Annual Inflation'!$AM$6:$BA$6, 0))/100)</f>
        <v>3.1282634078222848E-2</v>
      </c>
      <c r="L337" s="258">
        <f t="shared" si="29"/>
        <v>143.25449302270164</v>
      </c>
      <c r="M337" s="258">
        <f t="shared" si="30"/>
        <v>426.02386694338458</v>
      </c>
      <c r="N337" s="258">
        <f t="shared" si="31"/>
        <v>415.55183422820681</v>
      </c>
    </row>
    <row r="338" spans="5:14" ht="15">
      <c r="E338" s="248">
        <v>46388</v>
      </c>
      <c r="F338" s="323">
        <f t="shared" si="27"/>
        <v>46418</v>
      </c>
      <c r="G338" s="159">
        <f t="shared" si="28"/>
        <v>2027</v>
      </c>
      <c r="H338" s="500"/>
      <c r="I338" s="500"/>
      <c r="J338" s="257">
        <f>IF($E338&lt;DATE(2018,7,1),"-",INDEX('Annual Inflation'!$AM$53:$BA$53, MATCH(YEAR(EOMONTH($E338,6)), 'Annual Inflation'!$AM$6:$BA$6, 0))/100)</f>
        <v>2.0152390816676968E-2</v>
      </c>
      <c r="K338" s="257">
        <f>IF($E338&lt;DATE(2018,7,1),"-",INDEX('Annual Inflation'!$AM$50:$BA$50, MATCH(YEAR(EOMONTH($E338,6)), 'Annual Inflation'!$AM$6:$BA$6, 0))/100)</f>
        <v>3.1282634078222848E-2</v>
      </c>
      <c r="L338" s="258">
        <f t="shared" si="29"/>
        <v>143.49287583955712</v>
      </c>
      <c r="M338" s="258">
        <f t="shared" si="30"/>
        <v>427.11885025479842</v>
      </c>
      <c r="N338" s="258">
        <f t="shared" si="31"/>
        <v>416.24333377354446</v>
      </c>
    </row>
    <row r="339" spans="5:14" ht="15">
      <c r="E339" s="248">
        <v>46419</v>
      </c>
      <c r="F339" s="323">
        <f t="shared" si="27"/>
        <v>46446</v>
      </c>
      <c r="G339" s="159">
        <f t="shared" si="28"/>
        <v>2027</v>
      </c>
      <c r="H339" s="500"/>
      <c r="I339" s="500"/>
      <c r="J339" s="257">
        <f>IF($E339&lt;DATE(2018,7,1),"-",INDEX('Annual Inflation'!$AM$53:$BA$53, MATCH(YEAR(EOMONTH($E339,6)), 'Annual Inflation'!$AM$6:$BA$6, 0))/100)</f>
        <v>2.0152390816676968E-2</v>
      </c>
      <c r="K339" s="257">
        <f>IF($E339&lt;DATE(2018,7,1),"-",INDEX('Annual Inflation'!$AM$50:$BA$50, MATCH(YEAR(EOMONTH($E339,6)), 'Annual Inflation'!$AM$6:$BA$6, 0))/100)</f>
        <v>3.1282634078222848E-2</v>
      </c>
      <c r="L339" s="258">
        <f t="shared" si="29"/>
        <v>143.73165533763475</v>
      </c>
      <c r="M339" s="258">
        <f t="shared" si="30"/>
        <v>428.21664793541856</v>
      </c>
      <c r="N339" s="258">
        <f t="shared" si="31"/>
        <v>416.93598400955852</v>
      </c>
    </row>
    <row r="340" spans="5:14" ht="15">
      <c r="E340" s="248">
        <v>46447</v>
      </c>
      <c r="F340" s="323">
        <f t="shared" si="27"/>
        <v>46477</v>
      </c>
      <c r="G340" s="159">
        <f t="shared" si="28"/>
        <v>2027</v>
      </c>
      <c r="H340" s="500"/>
      <c r="I340" s="500"/>
      <c r="J340" s="257">
        <f>IF($E340&lt;DATE(2018,7,1),"-",INDEX('Annual Inflation'!$AM$53:$BA$53, MATCH(YEAR(EOMONTH($E340,6)), 'Annual Inflation'!$AM$6:$BA$6, 0))/100)</f>
        <v>2.0152390816676968E-2</v>
      </c>
      <c r="K340" s="257">
        <f>IF($E340&lt;DATE(2018,7,1),"-",INDEX('Annual Inflation'!$AM$50:$BA$50, MATCH(YEAR(EOMONTH($E340,6)), 'Annual Inflation'!$AM$6:$BA$6, 0))/100)</f>
        <v>3.1282634078222848E-2</v>
      </c>
      <c r="L340" s="258">
        <f t="shared" si="29"/>
        <v>143.97083217703241</v>
      </c>
      <c r="M340" s="258">
        <f t="shared" si="30"/>
        <v>429.31726721884752</v>
      </c>
      <c r="N340" s="258">
        <f t="shared" si="31"/>
        <v>417.62978685105719</v>
      </c>
    </row>
    <row r="341" spans="5:14" ht="15">
      <c r="E341" s="248">
        <v>46478</v>
      </c>
      <c r="F341" s="323">
        <f t="shared" si="27"/>
        <v>46507</v>
      </c>
      <c r="G341" s="159">
        <f t="shared" si="28"/>
        <v>2028</v>
      </c>
      <c r="H341" s="500"/>
      <c r="I341" s="500"/>
      <c r="J341" s="257">
        <f>IF($E341&lt;DATE(2018,7,1),"-",INDEX('Annual Inflation'!$AM$53:$BA$53, MATCH(YEAR(EOMONTH($E341,6)), 'Annual Inflation'!$AM$6:$BA$6, 0))/100)</f>
        <v>2.0152390816676968E-2</v>
      </c>
      <c r="K341" s="257">
        <f>IF($E341&lt;DATE(2018,7,1),"-",INDEX('Annual Inflation'!$AM$50:$BA$50, MATCH(YEAR(EOMONTH($E341,6)), 'Annual Inflation'!$AM$6:$BA$6, 0))/100)</f>
        <v>3.1282634078222848E-2</v>
      </c>
      <c r="L341" s="258">
        <f t="shared" si="29"/>
        <v>144.21040701894643</v>
      </c>
      <c r="M341" s="258">
        <f t="shared" si="30"/>
        <v>430.4207153572799</v>
      </c>
      <c r="N341" s="258">
        <f t="shared" si="31"/>
        <v>418.32474421603507</v>
      </c>
    </row>
    <row r="342" spans="5:14" ht="15">
      <c r="E342" s="248">
        <v>46508</v>
      </c>
      <c r="F342" s="323">
        <f t="shared" si="27"/>
        <v>46538</v>
      </c>
      <c r="G342" s="159">
        <f t="shared" si="28"/>
        <v>2028</v>
      </c>
      <c r="H342" s="500"/>
      <c r="I342" s="500"/>
      <c r="J342" s="257">
        <f>IF($E342&lt;DATE(2018,7,1),"-",INDEX('Annual Inflation'!$AM$53:$BA$53, MATCH(YEAR(EOMONTH($E342,6)), 'Annual Inflation'!$AM$6:$BA$6, 0))/100)</f>
        <v>2.0152390816676968E-2</v>
      </c>
      <c r="K342" s="257">
        <f>IF($E342&lt;DATE(2018,7,1),"-",INDEX('Annual Inflation'!$AM$50:$BA$50, MATCH(YEAR(EOMONTH($E342,6)), 'Annual Inflation'!$AM$6:$BA$6, 0))/100)</f>
        <v>3.1282634078222848E-2</v>
      </c>
      <c r="L342" s="258">
        <f t="shared" si="29"/>
        <v>144.45038052567338</v>
      </c>
      <c r="M342" s="258">
        <f t="shared" si="30"/>
        <v>431.52699962155015</v>
      </c>
      <c r="N342" s="258">
        <f t="shared" si="31"/>
        <v>419.02085802567842</v>
      </c>
    </row>
    <row r="343" spans="5:14" ht="15">
      <c r="E343" s="248">
        <v>46539</v>
      </c>
      <c r="F343" s="323">
        <f t="shared" si="27"/>
        <v>46568</v>
      </c>
      <c r="G343" s="159">
        <f t="shared" si="28"/>
        <v>2028</v>
      </c>
      <c r="H343" s="500"/>
      <c r="I343" s="500"/>
      <c r="J343" s="257">
        <f>IF($E343&lt;DATE(2018,7,1),"-",INDEX('Annual Inflation'!$AM$53:$BA$53, MATCH(YEAR(EOMONTH($E343,6)), 'Annual Inflation'!$AM$6:$BA$6, 0))/100)</f>
        <v>2.0152390816676968E-2</v>
      </c>
      <c r="K343" s="257">
        <f>IF($E343&lt;DATE(2018,7,1),"-",INDEX('Annual Inflation'!$AM$50:$BA$50, MATCH(YEAR(EOMONTH($E343,6)), 'Annual Inflation'!$AM$6:$BA$6, 0))/100)</f>
        <v>3.1282634078222848E-2</v>
      </c>
      <c r="L343" s="258">
        <f t="shared" si="29"/>
        <v>144.69075336061195</v>
      </c>
      <c r="M343" s="258">
        <f t="shared" si="30"/>
        <v>432.63612730118058</v>
      </c>
      <c r="N343" s="258">
        <f t="shared" si="31"/>
        <v>419.71813020437042</v>
      </c>
    </row>
    <row r="344" spans="5:14" ht="15">
      <c r="E344" s="248">
        <v>46569</v>
      </c>
      <c r="F344" s="323">
        <f t="shared" si="27"/>
        <v>46599</v>
      </c>
      <c r="G344" s="159">
        <f t="shared" si="28"/>
        <v>2028</v>
      </c>
      <c r="H344" s="500"/>
      <c r="I344" s="500"/>
      <c r="J344" s="257">
        <f>IF($E344&lt;DATE(2018,7,1),"-",INDEX('Annual Inflation'!$AM$53:$BA$53, MATCH(YEAR(EOMONTH($E344,6)), 'Annual Inflation'!$AM$6:$BA$6, 0))/100)</f>
        <v>2.035043738253961E-2</v>
      </c>
      <c r="K344" s="257">
        <f>IF($E344&lt;DATE(2018,7,1),"-",INDEX('Annual Inflation'!$AM$50:$BA$50, MATCH(YEAR(EOMONTH($E344,6)), 'Annual Inflation'!$AM$6:$BA$6, 0))/100)</f>
        <v>2.8700091896755264E-2</v>
      </c>
      <c r="L344" s="258">
        <f t="shared" si="29"/>
        <v>144.93387066131137</v>
      </c>
      <c r="M344" s="258">
        <f t="shared" si="30"/>
        <v>433.65748549902173</v>
      </c>
      <c r="N344" s="258">
        <f t="shared" si="31"/>
        <v>420.42336351403173</v>
      </c>
    </row>
    <row r="345" spans="5:14" ht="15">
      <c r="E345" s="248">
        <v>46600</v>
      </c>
      <c r="F345" s="323">
        <f t="shared" si="27"/>
        <v>46630</v>
      </c>
      <c r="G345" s="159">
        <f t="shared" si="28"/>
        <v>2028</v>
      </c>
      <c r="H345" s="500"/>
      <c r="I345" s="500"/>
      <c r="J345" s="257">
        <f>IF($E345&lt;DATE(2018,7,1),"-",INDEX('Annual Inflation'!$AM$53:$BA$53, MATCH(YEAR(EOMONTH($E345,6)), 'Annual Inflation'!$AM$6:$BA$6, 0))/100)</f>
        <v>2.035043738253961E-2</v>
      </c>
      <c r="K345" s="257">
        <f>IF($E345&lt;DATE(2018,7,1),"-",INDEX('Annual Inflation'!$AM$50:$BA$50, MATCH(YEAR(EOMONTH($E345,6)), 'Annual Inflation'!$AM$6:$BA$6, 0))/100)</f>
        <v>2.8700091896755264E-2</v>
      </c>
      <c r="L345" s="258">
        <f t="shared" si="29"/>
        <v>145.17739646096823</v>
      </c>
      <c r="M345" s="258">
        <f t="shared" si="30"/>
        <v>434.68125489764446</v>
      </c>
      <c r="N345" s="258">
        <f t="shared" si="31"/>
        <v>421.12978179519001</v>
      </c>
    </row>
    <row r="346" spans="5:14" ht="15">
      <c r="E346" s="248">
        <v>46631</v>
      </c>
      <c r="F346" s="323">
        <f t="shared" si="27"/>
        <v>46660</v>
      </c>
      <c r="G346" s="159">
        <f t="shared" si="28"/>
        <v>2028</v>
      </c>
      <c r="H346" s="500"/>
      <c r="I346" s="500"/>
      <c r="J346" s="257">
        <f>IF($E346&lt;DATE(2018,7,1),"-",INDEX('Annual Inflation'!$AM$53:$BA$53, MATCH(YEAR(EOMONTH($E346,6)), 'Annual Inflation'!$AM$6:$BA$6, 0))/100)</f>
        <v>2.035043738253961E-2</v>
      </c>
      <c r="K346" s="257">
        <f>IF($E346&lt;DATE(2018,7,1),"-",INDEX('Annual Inflation'!$AM$50:$BA$50, MATCH(YEAR(EOMONTH($E346,6)), 'Annual Inflation'!$AM$6:$BA$6, 0))/100)</f>
        <v>2.8700091896755264E-2</v>
      </c>
      <c r="L346" s="258">
        <f t="shared" si="29"/>
        <v>145.42133144596477</v>
      </c>
      <c r="M346" s="258">
        <f t="shared" si="30"/>
        <v>435.70744118936051</v>
      </c>
      <c r="N346" s="258">
        <f t="shared" si="31"/>
        <v>421.83738703889907</v>
      </c>
    </row>
    <row r="347" spans="5:14" ht="15">
      <c r="E347" s="248">
        <v>46661</v>
      </c>
      <c r="F347" s="323">
        <f t="shared" si="27"/>
        <v>46691</v>
      </c>
      <c r="G347" s="159">
        <f t="shared" si="28"/>
        <v>2028</v>
      </c>
      <c r="H347" s="500"/>
      <c r="I347" s="500"/>
      <c r="J347" s="257">
        <f>IF($E347&lt;DATE(2018,7,1),"-",INDEX('Annual Inflation'!$AM$53:$BA$53, MATCH(YEAR(EOMONTH($E347,6)), 'Annual Inflation'!$AM$6:$BA$6, 0))/100)</f>
        <v>2.035043738253961E-2</v>
      </c>
      <c r="K347" s="257">
        <f>IF($E347&lt;DATE(2018,7,1),"-",INDEX('Annual Inflation'!$AM$50:$BA$50, MATCH(YEAR(EOMONTH($E347,6)), 'Annual Inflation'!$AM$6:$BA$6, 0))/100)</f>
        <v>2.8700091896755264E-2</v>
      </c>
      <c r="L347" s="258">
        <f t="shared" si="29"/>
        <v>145.66567630383653</v>
      </c>
      <c r="M347" s="258">
        <f t="shared" si="30"/>
        <v>436.73605007991983</v>
      </c>
      <c r="N347" s="258">
        <f t="shared" si="31"/>
        <v>422.54618123955811</v>
      </c>
    </row>
    <row r="348" spans="5:14" ht="15">
      <c r="E348" s="248">
        <v>46692</v>
      </c>
      <c r="F348" s="323">
        <f t="shared" si="27"/>
        <v>46721</v>
      </c>
      <c r="G348" s="159">
        <f t="shared" si="28"/>
        <v>2028</v>
      </c>
      <c r="H348" s="500"/>
      <c r="I348" s="500"/>
      <c r="J348" s="257">
        <f>IF($E348&lt;DATE(2018,7,1),"-",INDEX('Annual Inflation'!$AM$53:$BA$53, MATCH(YEAR(EOMONTH($E348,6)), 'Annual Inflation'!$AM$6:$BA$6, 0))/100)</f>
        <v>2.035043738253961E-2</v>
      </c>
      <c r="K348" s="257">
        <f>IF($E348&lt;DATE(2018,7,1),"-",INDEX('Annual Inflation'!$AM$50:$BA$50, MATCH(YEAR(EOMONTH($E348,6)), 'Annual Inflation'!$AM$6:$BA$6, 0))/100)</f>
        <v>2.8700091896755264E-2</v>
      </c>
      <c r="L348" s="258">
        <f t="shared" si="29"/>
        <v>145.91043172327431</v>
      </c>
      <c r="M348" s="258">
        <f t="shared" si="30"/>
        <v>437.76708728854243</v>
      </c>
      <c r="N348" s="258">
        <f t="shared" si="31"/>
        <v>423.25616639491756</v>
      </c>
    </row>
    <row r="349" spans="5:14" ht="15">
      <c r="E349" s="248">
        <v>46722</v>
      </c>
      <c r="F349" s="323">
        <f t="shared" si="27"/>
        <v>46752</v>
      </c>
      <c r="G349" s="159">
        <f t="shared" si="28"/>
        <v>2028</v>
      </c>
      <c r="H349" s="500"/>
      <c r="I349" s="500"/>
      <c r="J349" s="257">
        <f>IF($E349&lt;DATE(2018,7,1),"-",INDEX('Annual Inflation'!$AM$53:$BA$53, MATCH(YEAR(EOMONTH($E349,6)), 'Annual Inflation'!$AM$6:$BA$6, 0))/100)</f>
        <v>2.035043738253961E-2</v>
      </c>
      <c r="K349" s="257">
        <f>IF($E349&lt;DATE(2018,7,1),"-",INDEX('Annual Inflation'!$AM$50:$BA$50, MATCH(YEAR(EOMONTH($E349,6)), 'Annual Inflation'!$AM$6:$BA$6, 0))/100)</f>
        <v>2.8700091896755264E-2</v>
      </c>
      <c r="L349" s="258">
        <f t="shared" si="29"/>
        <v>146.15559839412603</v>
      </c>
      <c r="M349" s="258">
        <f t="shared" si="30"/>
        <v>438.80055854795006</v>
      </c>
      <c r="N349" s="258">
        <f t="shared" si="31"/>
        <v>423.96734450608443</v>
      </c>
    </row>
    <row r="350" spans="5:14" ht="15">
      <c r="E350" s="248">
        <v>46753</v>
      </c>
      <c r="F350" s="323">
        <f t="shared" si="27"/>
        <v>46783</v>
      </c>
      <c r="G350" s="159">
        <f t="shared" si="28"/>
        <v>2028</v>
      </c>
      <c r="H350" s="500"/>
      <c r="I350" s="500"/>
      <c r="J350" s="257">
        <f>IF($E350&lt;DATE(2018,7,1),"-",INDEX('Annual Inflation'!$AM$53:$BA$53, MATCH(YEAR(EOMONTH($E350,6)), 'Annual Inflation'!$AM$6:$BA$6, 0))/100)</f>
        <v>2.035043738253961E-2</v>
      </c>
      <c r="K350" s="257">
        <f>IF($E350&lt;DATE(2018,7,1),"-",INDEX('Annual Inflation'!$AM$50:$BA$50, MATCH(YEAR(EOMONTH($E350,6)), 'Annual Inflation'!$AM$6:$BA$6, 0))/100)</f>
        <v>2.8700091896755264E-2</v>
      </c>
      <c r="L350" s="258">
        <f t="shared" si="29"/>
        <v>146.40117700739879</v>
      </c>
      <c r="M350" s="258">
        <f t="shared" si="30"/>
        <v>439.83646960439825</v>
      </c>
      <c r="N350" s="258">
        <f t="shared" si="31"/>
        <v>424.67971757752827</v>
      </c>
    </row>
    <row r="351" spans="5:14" ht="15">
      <c r="E351" s="248">
        <v>46784</v>
      </c>
      <c r="F351" s="323">
        <f t="shared" si="27"/>
        <v>46812</v>
      </c>
      <c r="G351" s="159">
        <f t="shared" si="28"/>
        <v>2028</v>
      </c>
      <c r="H351" s="500"/>
      <c r="I351" s="500"/>
      <c r="J351" s="257">
        <f>IF($E351&lt;DATE(2018,7,1),"-",INDEX('Annual Inflation'!$AM$53:$BA$53, MATCH(YEAR(EOMONTH($E351,6)), 'Annual Inflation'!$AM$6:$BA$6, 0))/100)</f>
        <v>2.035043738253961E-2</v>
      </c>
      <c r="K351" s="257">
        <f>IF($E351&lt;DATE(2018,7,1),"-",INDEX('Annual Inflation'!$AM$50:$BA$50, MATCH(YEAR(EOMONTH($E351,6)), 'Annual Inflation'!$AM$6:$BA$6, 0))/100)</f>
        <v>2.8700091896755264E-2</v>
      </c>
      <c r="L351" s="258">
        <f t="shared" si="29"/>
        <v>146.64716825526068</v>
      </c>
      <c r="M351" s="258">
        <f t="shared" si="30"/>
        <v>440.87482621770812</v>
      </c>
      <c r="N351" s="258">
        <f t="shared" si="31"/>
        <v>425.39328761708646</v>
      </c>
    </row>
    <row r="352" spans="5:14" ht="15">
      <c r="E352" s="248">
        <v>46813</v>
      </c>
      <c r="F352" s="323">
        <f t="shared" si="27"/>
        <v>46843</v>
      </c>
      <c r="G352" s="159">
        <f t="shared" si="28"/>
        <v>2028</v>
      </c>
      <c r="H352" s="500"/>
      <c r="I352" s="500"/>
      <c r="J352" s="257">
        <f>IF($E352&lt;DATE(2018,7,1),"-",INDEX('Annual Inflation'!$AM$53:$BA$53, MATCH(YEAR(EOMONTH($E352,6)), 'Annual Inflation'!$AM$6:$BA$6, 0))/100)</f>
        <v>2.035043738253961E-2</v>
      </c>
      <c r="K352" s="257">
        <f>IF($E352&lt;DATE(2018,7,1),"-",INDEX('Annual Inflation'!$AM$50:$BA$50, MATCH(YEAR(EOMONTH($E352,6)), 'Annual Inflation'!$AM$6:$BA$6, 0))/100)</f>
        <v>2.8700091896755264E-2</v>
      </c>
      <c r="L352" s="258">
        <f t="shared" si="29"/>
        <v>146.89357283104292</v>
      </c>
      <c r="M352" s="258">
        <f t="shared" si="30"/>
        <v>441.9156341612985</v>
      </c>
      <c r="N352" s="258">
        <f t="shared" si="31"/>
        <v>426.10805663597023</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5" zeroHeight="1" outlineLevelCol="1"/>
  <cols>
    <col min="1" max="4" width="1.5" style="82" customWidth="1"/>
    <col min="5" max="5" width="65" style="82" customWidth="1"/>
    <col min="6" max="6" width="3" style="82" customWidth="1"/>
    <col min="7" max="7" width="12" style="82" customWidth="1"/>
    <col min="8" max="8" width="2.375" style="82" customWidth="1"/>
    <col min="9" max="9" width="11" style="82" customWidth="1"/>
    <col min="10" max="10" width="1.5" style="82" customWidth="1"/>
    <col min="11" max="35" width="9.625" style="82" hidden="1" customWidth="1" outlineLevel="1"/>
    <col min="36" max="36" width="9.625" style="82" customWidth="1" collapsed="1"/>
    <col min="37" max="48" width="9.625" style="82" customWidth="1"/>
    <col min="49" max="49" width="3" style="82" customWidth="1"/>
    <col min="50" max="54" width="0" style="82" hidden="1" customWidth="1"/>
    <col min="55" max="16384" width="9" style="82" hidden="1"/>
  </cols>
  <sheetData>
    <row r="1" spans="1:51" ht="19.5">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80" priority="25">
      <formula>$I$7=0</formula>
    </cfRule>
    <cfRule type="expression" dxfId="379" priority="26">
      <formula>$I$7&gt;0</formula>
    </cfRule>
  </conditionalFormatting>
  <conditionalFormatting sqref="I12:I14">
    <cfRule type="cellIs" dxfId="378" priority="21" operator="equal">
      <formula>TRUE</formula>
    </cfRule>
    <cfRule type="cellIs" dxfId="377" priority="22" operator="equal">
      <formula>FALSE</formula>
    </cfRule>
  </conditionalFormatting>
  <conditionalFormatting sqref="I18">
    <cfRule type="cellIs" dxfId="376" priority="13" operator="equal">
      <formula>TRUE</formula>
    </cfRule>
    <cfRule type="cellIs" dxfId="375" priority="14" operator="equal">
      <formula>FALSE</formula>
    </cfRule>
  </conditionalFormatting>
  <conditionalFormatting sqref="AM3">
    <cfRule type="expression" dxfId="374" priority="29">
      <formula>$I$7=0</formula>
    </cfRule>
    <cfRule type="expression" dxfId="373"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3457575</xdr:colOff>
                    <xdr:row>0</xdr:row>
                    <xdr:rowOff>47625</xdr:rowOff>
                  </from>
                  <to>
                    <xdr:col>4</xdr:col>
                    <xdr:colOff>4391025</xdr:colOff>
                    <xdr:row>0</xdr:row>
                    <xdr:rowOff>180975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topLeftCell="A154"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54" width="9" hidden="1" customWidth="1"/>
    <col min="55"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142875</xdr:colOff>
                    <xdr:row>0</xdr:row>
                    <xdr:rowOff>28575</xdr:rowOff>
                  </from>
                  <to>
                    <xdr:col>7</xdr:col>
                    <xdr:colOff>152400</xdr:colOff>
                    <xdr:row>1</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152"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75" zeroHeight="1"/>
  <cols>
    <col min="1" max="4" width="1.5" customWidth="1"/>
    <col min="5" max="5" width="26.5" customWidth="1"/>
    <col min="6" max="21" width="9.375" customWidth="1"/>
    <col min="22" max="23" width="9.625" customWidth="1"/>
    <col min="24" max="46" width="9.625" hidden="1" customWidth="1"/>
    <col min="47" max="47" width="3" hidden="1" customWidth="1"/>
    <col min="48" max="16384" width="9" hidden="1"/>
  </cols>
  <sheetData>
    <row r="1" spans="1:23" ht="19.5">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5">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5">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5.75"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5">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5">
      <c r="A11" s="82"/>
      <c r="B11" s="82"/>
      <c r="C11" s="82"/>
      <c r="D11" s="82"/>
      <c r="E11" s="82"/>
      <c r="F11" s="82"/>
      <c r="G11" s="82"/>
      <c r="H11" s="82"/>
      <c r="I11" s="82"/>
      <c r="J11" s="82"/>
      <c r="K11" s="82"/>
      <c r="L11" s="82"/>
      <c r="M11" s="82"/>
      <c r="N11" s="82"/>
      <c r="O11" s="82"/>
      <c r="P11" s="82"/>
      <c r="Q11" s="82"/>
      <c r="R11" s="82"/>
      <c r="S11" s="82"/>
      <c r="T11" s="82"/>
      <c r="U11" s="82"/>
      <c r="V11" s="82"/>
      <c r="W11" s="82"/>
    </row>
    <row r="12" spans="1:23" ht="15">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5">
      <c r="A13" s="82"/>
      <c r="B13" s="82"/>
      <c r="C13" s="82"/>
      <c r="D13" s="82"/>
      <c r="E13" s="82"/>
      <c r="F13" s="82"/>
      <c r="H13" s="82"/>
      <c r="I13" s="82"/>
      <c r="J13" s="82"/>
      <c r="K13" s="82"/>
      <c r="L13" s="82"/>
      <c r="M13" s="82"/>
      <c r="N13" s="82"/>
      <c r="O13" s="82"/>
      <c r="P13" s="82"/>
      <c r="Q13" s="82"/>
      <c r="R13" s="82"/>
      <c r="S13" s="82"/>
      <c r="T13" s="82"/>
      <c r="U13" s="82"/>
      <c r="V13" s="82"/>
      <c r="W13" s="82"/>
    </row>
    <row r="14" spans="1:23" ht="15">
      <c r="A14" s="82"/>
      <c r="B14" s="82"/>
      <c r="C14" s="82"/>
      <c r="D14" s="82"/>
      <c r="E14" s="182" t="s">
        <v>80</v>
      </c>
      <c r="H14" s="82"/>
      <c r="I14" s="82"/>
      <c r="J14" s="82"/>
      <c r="K14" s="82"/>
      <c r="L14" s="82"/>
      <c r="M14" s="82"/>
      <c r="N14" s="82"/>
      <c r="O14" s="82"/>
      <c r="P14" s="82"/>
      <c r="Q14" s="82"/>
      <c r="R14" s="82"/>
      <c r="S14" s="82"/>
      <c r="T14" s="82"/>
      <c r="U14" s="82"/>
      <c r="V14" s="82"/>
      <c r="W14" s="82"/>
    </row>
    <row r="15" spans="1:23" ht="15">
      <c r="A15" s="82"/>
      <c r="B15" s="82"/>
      <c r="C15" s="82"/>
      <c r="D15" s="82"/>
      <c r="E15" s="381" t="s">
        <v>24</v>
      </c>
      <c r="H15" s="82"/>
      <c r="I15" s="82"/>
      <c r="J15" s="82"/>
      <c r="K15" s="82"/>
      <c r="L15" s="82"/>
      <c r="M15" s="82"/>
      <c r="N15" s="82"/>
      <c r="O15" s="82"/>
      <c r="P15" s="82"/>
      <c r="Q15" s="82"/>
      <c r="R15" s="82"/>
      <c r="S15" s="82"/>
      <c r="T15" s="82"/>
      <c r="U15" s="82"/>
      <c r="V15" s="82"/>
      <c r="W15" s="82"/>
    </row>
    <row r="16" spans="1:23" ht="15">
      <c r="A16" s="82"/>
      <c r="B16" s="82"/>
      <c r="C16" s="82"/>
      <c r="D16" s="82"/>
      <c r="E16" s="199" t="s">
        <v>27</v>
      </c>
      <c r="H16" s="82"/>
      <c r="I16" s="82"/>
      <c r="J16" s="82"/>
      <c r="K16" s="82"/>
      <c r="L16" s="82"/>
      <c r="M16" s="82"/>
      <c r="N16" s="82"/>
      <c r="O16" s="82"/>
      <c r="P16" s="82"/>
      <c r="Q16" s="82"/>
      <c r="R16" s="82"/>
      <c r="S16" s="82"/>
      <c r="T16" s="82"/>
      <c r="U16" s="82"/>
      <c r="V16" s="82"/>
      <c r="W16" s="82"/>
    </row>
    <row r="17" spans="1:23" ht="15">
      <c r="A17" s="82"/>
      <c r="B17" s="82"/>
      <c r="C17" s="82"/>
      <c r="D17" s="82"/>
      <c r="E17" s="199" t="s">
        <v>30</v>
      </c>
      <c r="H17" s="82"/>
      <c r="I17" s="82"/>
      <c r="J17" s="82"/>
      <c r="K17" s="82"/>
      <c r="L17" s="82"/>
      <c r="M17" s="82"/>
      <c r="N17" s="82"/>
      <c r="O17" s="82"/>
      <c r="P17" s="82"/>
      <c r="Q17" s="82"/>
      <c r="R17" s="82"/>
      <c r="S17" s="82"/>
      <c r="T17" s="82"/>
      <c r="U17" s="82"/>
      <c r="V17" s="82"/>
      <c r="W17" s="82"/>
    </row>
    <row r="18" spans="1:23" ht="15">
      <c r="A18" s="82"/>
      <c r="B18" s="82"/>
      <c r="C18" s="82"/>
      <c r="D18" s="82"/>
      <c r="E18" s="199" t="s">
        <v>31</v>
      </c>
      <c r="H18" s="82"/>
      <c r="I18" s="82"/>
      <c r="J18" s="82"/>
      <c r="K18" s="82"/>
      <c r="L18" s="82"/>
      <c r="M18" s="82"/>
      <c r="N18" s="82"/>
      <c r="O18" s="82"/>
      <c r="P18" s="82"/>
      <c r="Q18" s="82"/>
      <c r="R18" s="82"/>
      <c r="S18" s="82"/>
      <c r="T18" s="82"/>
      <c r="U18" s="82"/>
      <c r="V18" s="82"/>
      <c r="W18" s="82"/>
    </row>
    <row r="19" spans="1:23" ht="15">
      <c r="A19" s="82"/>
      <c r="B19" s="82"/>
      <c r="C19" s="82"/>
      <c r="D19" s="82"/>
      <c r="E19" s="199" t="s">
        <v>33</v>
      </c>
      <c r="H19" s="82"/>
      <c r="I19" s="82"/>
      <c r="J19" s="82"/>
      <c r="K19" s="82"/>
      <c r="L19" s="82"/>
      <c r="M19" s="82"/>
      <c r="N19" s="82"/>
      <c r="O19" s="82"/>
      <c r="P19" s="82"/>
      <c r="Q19" s="82"/>
      <c r="R19" s="82"/>
      <c r="S19" s="82"/>
      <c r="T19" s="82"/>
      <c r="U19" s="82"/>
      <c r="V19" s="82"/>
      <c r="W19" s="82"/>
    </row>
    <row r="20" spans="1:23" ht="15">
      <c r="A20" s="82"/>
      <c r="B20" s="82"/>
      <c r="C20" s="82"/>
      <c r="D20" s="82"/>
      <c r="E20" s="199" t="s">
        <v>35</v>
      </c>
      <c r="H20" s="82"/>
      <c r="I20" s="82"/>
      <c r="J20" s="82"/>
      <c r="K20" s="82"/>
      <c r="L20" s="82"/>
      <c r="M20" s="82"/>
      <c r="N20" s="82"/>
      <c r="O20" s="82"/>
      <c r="P20" s="82"/>
      <c r="Q20" s="82"/>
      <c r="R20" s="82"/>
      <c r="S20" s="82"/>
      <c r="T20" s="82"/>
      <c r="U20" s="82"/>
      <c r="V20" s="82"/>
      <c r="W20" s="82"/>
    </row>
    <row r="21" spans="1:23" ht="15">
      <c r="A21" s="82"/>
      <c r="B21" s="82"/>
      <c r="C21" s="82"/>
      <c r="D21" s="82"/>
      <c r="E21" s="199" t="s">
        <v>38</v>
      </c>
      <c r="H21" s="82"/>
      <c r="I21" s="82"/>
      <c r="J21" s="82"/>
      <c r="K21" s="82"/>
      <c r="L21" s="82"/>
      <c r="M21" s="82"/>
      <c r="N21" s="82"/>
      <c r="O21" s="82"/>
      <c r="P21" s="82"/>
      <c r="Q21" s="82"/>
      <c r="R21" s="82"/>
      <c r="S21" s="82"/>
      <c r="T21" s="82"/>
      <c r="U21" s="82"/>
      <c r="V21" s="82"/>
      <c r="W21" s="82"/>
    </row>
    <row r="22" spans="1:23" ht="15">
      <c r="A22" s="82"/>
      <c r="B22" s="82"/>
      <c r="C22" s="82"/>
      <c r="D22" s="82"/>
      <c r="E22" s="199" t="s">
        <v>41</v>
      </c>
      <c r="H22" s="82"/>
      <c r="I22" s="82"/>
      <c r="J22" s="82"/>
      <c r="K22" s="82"/>
      <c r="L22" s="82"/>
      <c r="M22" s="82"/>
      <c r="N22" s="82"/>
      <c r="O22" s="82"/>
      <c r="P22" s="82"/>
      <c r="Q22" s="82"/>
      <c r="R22" s="82"/>
      <c r="S22" s="82"/>
      <c r="T22" s="82"/>
      <c r="U22" s="82"/>
      <c r="V22" s="82"/>
      <c r="W22" s="82"/>
    </row>
    <row r="23" spans="1:23" ht="15">
      <c r="A23" s="82"/>
      <c r="B23" s="82"/>
      <c r="C23" s="82"/>
      <c r="D23" s="82"/>
      <c r="E23" s="199" t="s">
        <v>42</v>
      </c>
      <c r="H23" s="82"/>
      <c r="I23" s="82"/>
      <c r="J23" s="82"/>
      <c r="K23" s="82"/>
      <c r="L23" s="82"/>
      <c r="M23" s="82"/>
      <c r="N23" s="82"/>
      <c r="O23" s="82"/>
      <c r="P23" s="82"/>
      <c r="Q23" s="82"/>
      <c r="R23" s="82"/>
      <c r="S23" s="82"/>
      <c r="T23" s="82"/>
      <c r="U23" s="82"/>
      <c r="V23" s="82"/>
      <c r="W23" s="82"/>
    </row>
    <row r="24" spans="1:23" ht="15">
      <c r="A24" s="82"/>
      <c r="B24" s="82"/>
      <c r="C24" s="82"/>
      <c r="D24" s="82"/>
      <c r="E24" s="199" t="s">
        <v>44</v>
      </c>
      <c r="H24" s="82"/>
      <c r="I24" s="82"/>
      <c r="J24" s="82"/>
      <c r="K24" s="82"/>
      <c r="L24" s="82"/>
      <c r="M24" s="82"/>
      <c r="N24" s="82"/>
      <c r="O24" s="82"/>
      <c r="P24" s="82"/>
      <c r="Q24" s="82"/>
      <c r="R24" s="82"/>
      <c r="S24" s="82"/>
      <c r="T24" s="82"/>
      <c r="U24" s="82"/>
      <c r="V24" s="82"/>
      <c r="W24" s="82"/>
    </row>
    <row r="25" spans="1:23" ht="15">
      <c r="A25" s="82"/>
      <c r="B25" s="82"/>
      <c r="C25" s="82"/>
      <c r="D25" s="82"/>
      <c r="E25" s="199" t="s">
        <v>47</v>
      </c>
      <c r="H25" s="82"/>
      <c r="I25" s="82"/>
      <c r="J25" s="82"/>
      <c r="K25" s="82"/>
      <c r="L25" s="82"/>
      <c r="M25" s="82"/>
      <c r="N25" s="82"/>
      <c r="O25" s="82"/>
      <c r="P25" s="82"/>
      <c r="Q25" s="82"/>
      <c r="R25" s="82"/>
      <c r="S25" s="82"/>
      <c r="T25" s="82"/>
      <c r="U25" s="82"/>
      <c r="V25" s="82"/>
      <c r="W25" s="82"/>
    </row>
    <row r="26" spans="1:23" ht="15">
      <c r="A26" s="82"/>
      <c r="B26" s="82"/>
      <c r="C26" s="82"/>
      <c r="D26" s="82"/>
      <c r="E26" s="199" t="s">
        <v>50</v>
      </c>
      <c r="H26" s="82"/>
      <c r="I26" s="82"/>
      <c r="J26" s="82"/>
      <c r="K26" s="82"/>
      <c r="L26" s="82"/>
      <c r="M26" s="82"/>
      <c r="N26" s="82"/>
      <c r="O26" s="82"/>
      <c r="P26" s="82"/>
      <c r="Q26" s="82"/>
      <c r="R26" s="82"/>
      <c r="S26" s="82"/>
      <c r="T26" s="82"/>
      <c r="U26" s="82"/>
      <c r="V26" s="82"/>
      <c r="W26" s="82"/>
    </row>
    <row r="27" spans="1:23" ht="15">
      <c r="A27" s="82"/>
      <c r="B27" s="82"/>
      <c r="C27" s="82"/>
      <c r="D27" s="82"/>
      <c r="E27" s="199" t="s">
        <v>53</v>
      </c>
      <c r="H27" s="82"/>
      <c r="I27" s="82"/>
      <c r="J27" s="82"/>
      <c r="K27" s="82"/>
      <c r="L27" s="82"/>
      <c r="M27" s="82"/>
      <c r="N27" s="82"/>
      <c r="O27" s="82"/>
      <c r="P27" s="82"/>
      <c r="Q27" s="82"/>
      <c r="R27" s="82"/>
      <c r="S27" s="82"/>
      <c r="T27" s="82"/>
      <c r="U27" s="82"/>
      <c r="V27" s="82"/>
      <c r="W27" s="82"/>
    </row>
    <row r="28" spans="1:23" ht="15">
      <c r="A28" s="82"/>
      <c r="B28" s="82"/>
      <c r="C28" s="82"/>
      <c r="D28" s="82"/>
      <c r="E28" s="198" t="s">
        <v>56</v>
      </c>
      <c r="H28" s="82"/>
      <c r="I28" s="82"/>
      <c r="J28" s="82"/>
      <c r="K28" s="82"/>
      <c r="L28" s="82"/>
      <c r="M28" s="82"/>
      <c r="N28" s="82"/>
      <c r="O28" s="82"/>
      <c r="P28" s="82"/>
      <c r="Q28" s="82"/>
      <c r="R28" s="82"/>
      <c r="S28" s="82"/>
      <c r="T28" s="82"/>
      <c r="U28" s="82"/>
      <c r="V28" s="82"/>
      <c r="W28" s="82"/>
    </row>
    <row r="29" spans="1:23" ht="15">
      <c r="A29" s="82"/>
      <c r="B29" s="82"/>
      <c r="C29" s="82"/>
      <c r="D29" s="82"/>
      <c r="E29" s="200">
        <v>5</v>
      </c>
      <c r="F29" s="76" t="s">
        <v>81</v>
      </c>
      <c r="G29" s="82"/>
      <c r="H29" s="82"/>
      <c r="I29" s="82"/>
      <c r="J29" s="82"/>
      <c r="K29" s="82"/>
      <c r="L29" s="82"/>
      <c r="M29" s="82"/>
      <c r="N29" s="82"/>
      <c r="O29" s="82"/>
      <c r="P29" s="82"/>
      <c r="Q29" s="82"/>
      <c r="R29" s="82"/>
      <c r="S29" s="82"/>
      <c r="T29" s="82"/>
      <c r="U29" s="82"/>
      <c r="V29" s="82"/>
      <c r="W29" s="82"/>
    </row>
    <row r="30" spans="1:23" ht="15">
      <c r="A30" s="82"/>
      <c r="B30" s="82"/>
      <c r="C30" s="82"/>
      <c r="D30" s="82"/>
      <c r="E30" s="200" t="str" cm="1">
        <f t="array" ref="E30">INDEX(E15:E28,m_identity)</f>
        <v>EMID</v>
      </c>
      <c r="F30" s="76" t="s">
        <v>82</v>
      </c>
      <c r="G30" s="82"/>
      <c r="H30" s="82"/>
      <c r="I30" s="82"/>
      <c r="J30" s="82"/>
      <c r="K30" s="82"/>
      <c r="L30" s="82"/>
      <c r="M30" s="82"/>
      <c r="N30" s="82"/>
      <c r="O30" s="82"/>
      <c r="P30" s="82"/>
      <c r="Q30" s="82"/>
      <c r="R30" s="82"/>
      <c r="S30" s="82"/>
      <c r="T30" s="82"/>
      <c r="U30" s="82"/>
      <c r="V30" s="82"/>
      <c r="W30" s="82"/>
    </row>
    <row r="31" spans="1:23" ht="15">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5">
      <c r="A32" s="82"/>
      <c r="B32" s="82"/>
      <c r="C32" s="82"/>
      <c r="D32" s="82"/>
      <c r="E32" s="82"/>
      <c r="F32" s="82"/>
      <c r="G32" s="82"/>
      <c r="H32" s="82"/>
      <c r="I32" s="82"/>
      <c r="J32" s="82"/>
      <c r="K32" s="82"/>
      <c r="L32" s="82"/>
      <c r="M32" s="82"/>
      <c r="N32" s="82"/>
      <c r="O32" s="82"/>
      <c r="P32" s="82"/>
      <c r="Q32" s="82"/>
      <c r="R32" s="82"/>
      <c r="S32" s="82"/>
      <c r="T32" s="82"/>
      <c r="U32" s="82"/>
      <c r="V32" s="82"/>
      <c r="W32" s="82"/>
    </row>
    <row r="33" spans="1:23" ht="15">
      <c r="A33" s="82"/>
      <c r="B33" s="82"/>
      <c r="C33" s="82"/>
      <c r="D33" s="82"/>
      <c r="E33" s="82"/>
      <c r="F33" s="82"/>
      <c r="G33" s="82"/>
      <c r="H33" s="82"/>
      <c r="I33" s="82"/>
      <c r="J33" s="82"/>
      <c r="K33" s="82"/>
      <c r="L33" s="82"/>
      <c r="M33" s="82"/>
      <c r="N33" s="82"/>
      <c r="O33" s="82"/>
      <c r="P33" s="82"/>
      <c r="Q33" s="82"/>
      <c r="R33" s="82"/>
      <c r="S33" s="82"/>
      <c r="T33" s="82"/>
      <c r="U33" s="82"/>
      <c r="V33" s="82"/>
      <c r="W33" s="82"/>
    </row>
    <row r="34" spans="1:23" ht="15">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5">
      <c r="A35" s="82"/>
      <c r="B35" s="82"/>
      <c r="C35" s="82"/>
      <c r="D35" s="82"/>
      <c r="E35" s="82"/>
      <c r="F35" s="82"/>
      <c r="G35" s="82"/>
      <c r="H35" s="82"/>
      <c r="I35" s="82"/>
      <c r="J35" s="82"/>
      <c r="K35" s="82"/>
      <c r="L35" s="82"/>
      <c r="M35" s="82"/>
      <c r="N35" s="82"/>
      <c r="O35" s="82"/>
      <c r="P35" s="82"/>
      <c r="Q35" s="82"/>
      <c r="R35" s="82"/>
      <c r="S35" s="82"/>
      <c r="T35" s="82"/>
      <c r="U35" s="82"/>
      <c r="V35" s="82"/>
      <c r="W35" s="82"/>
    </row>
    <row r="36" spans="1:23" ht="15">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467"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44"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topLeftCell="F151"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zoomScale="70" zoomScaleNormal="70"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33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1.321792585589326</v>
      </c>
      <c r="AT8" s="92">
        <f>SelectedInputs!AT8</f>
        <v>1.3743827621199309</v>
      </c>
      <c r="AU8" s="92">
        <f>SelectedInputs!AU8</f>
        <v>1.4066722012363251</v>
      </c>
      <c r="AV8" s="92">
        <f>SelectedInputs!AV8</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58.15</v>
      </c>
      <c r="AS15" s="528">
        <v>54.47</v>
      </c>
      <c r="AT15" s="528">
        <v>36.51</v>
      </c>
      <c r="AU15" s="528">
        <v>38.340000000000003</v>
      </c>
      <c r="AV15" s="528">
        <v>27.6</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43.13</v>
      </c>
      <c r="AS16" s="528">
        <v>43.21</v>
      </c>
      <c r="AT16" s="528">
        <v>43.79</v>
      </c>
      <c r="AU16" s="528">
        <v>41.28</v>
      </c>
      <c r="AV16" s="528">
        <v>41.39</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31.19</v>
      </c>
      <c r="AS17" s="528">
        <v>33.590000000000003</v>
      </c>
      <c r="AT17" s="528">
        <v>36.380000000000003</v>
      </c>
      <c r="AU17" s="528">
        <v>30.94</v>
      </c>
      <c r="AV17" s="528">
        <v>29.87</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31.85</v>
      </c>
      <c r="AS18" s="528">
        <v>31.6</v>
      </c>
      <c r="AT18" s="528">
        <v>30.9</v>
      </c>
      <c r="AU18" s="528">
        <v>30.51</v>
      </c>
      <c r="AV18" s="528">
        <v>29.79</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9.67</v>
      </c>
      <c r="AS19" s="528">
        <v>10.15</v>
      </c>
      <c r="AT19" s="528">
        <v>8.94</v>
      </c>
      <c r="AU19" s="528">
        <v>8.93</v>
      </c>
      <c r="AV19" s="528">
        <v>8.6999999999999993</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16.53</v>
      </c>
      <c r="AS20" s="528">
        <v>16.350000000000001</v>
      </c>
      <c r="AT20" s="528">
        <v>15.6</v>
      </c>
      <c r="AU20" s="528">
        <v>15.51</v>
      </c>
      <c r="AV20" s="528">
        <v>15.19</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107.79</v>
      </c>
      <c r="AS21" s="528">
        <v>106.3</v>
      </c>
      <c r="AT21" s="528">
        <v>101.9</v>
      </c>
      <c r="AU21" s="528">
        <v>102.69</v>
      </c>
      <c r="AV21" s="528">
        <v>101.84</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-16.353743806372041</v>
      </c>
      <c r="AS24" s="207" cm="1">
        <f t="array" ref="AS24">(SUM(AS15:AS21)+SUMPRODUCT((AS$26:AS$71)*($AL$76:$AL$121="RPEs Apply")*($AM$76:$AM$121=1))) * (AS$223-1)</f>
        <v>-13.629730195084807</v>
      </c>
      <c r="AT24" s="207" cm="1">
        <f t="array" ref="AT24">(SUM(AT15:AT21)+SUMPRODUCT((AT$26:AT$71)*($AL$76:$AL$121="RPEs Apply")*($AM$76:$AM$121=1))) * (AT$223-1)</f>
        <v>-9.691499185780323</v>
      </c>
      <c r="AU24" s="207" cm="1">
        <f t="array" ref="AU24">(SUM(AU15:AU21)+SUMPRODUCT((AU$26:AU$71)*($AL$76:$AL$121="RPEs Apply")*($AM$76:$AM$121=1))) * (AU$223-1)</f>
        <v>-6.3936569101658272</v>
      </c>
      <c r="AV24" s="207" cm="1">
        <f t="array" ref="AV24">(SUM(AV15:AV21)+SUMPRODUCT((AV$26:AV$71)*($AL$76:$AL$121="RPEs Apply")*($AM$76:$AM$121=1))) * (AV$223-1)</f>
        <v>-3.4324583201514915</v>
      </c>
      <c r="AW24" s="184"/>
      <c r="AX24" s="258"/>
    </row>
    <row r="25" spans="1:50" ht="15">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-0.51327238821612908</v>
      </c>
      <c r="AS25" s="207" cm="1">
        <f t="array" ref="AS25">SUMPRODUCT((AS$26:AS$71)*($AL$76:$AL$121="RPEs Apply")*($AM$76:$AM$121=2)) * (AS$223-1)</f>
        <v>-0.48067864782745201</v>
      </c>
      <c r="AT25" s="207" cm="1">
        <f t="array" ref="AT25">SUMPRODUCT((AT$26:AT$71)*($AL$76:$AL$121="RPEs Apply")*($AM$76:$AM$121=2)) * (AT$223-1)</f>
        <v>-0.47459129093457303</v>
      </c>
      <c r="AU25" s="207" cm="1">
        <f t="array" ref="AU25">SUMPRODUCT((AU$26:AU$71)*($AL$76:$AL$121="RPEs Apply")*($AM$76:$AM$121=2)) * (AU$223-1)</f>
        <v>-0.34645371949343501</v>
      </c>
      <c r="AV25" s="207" cm="1">
        <f t="array" ref="AV25">SUMPRODUCT((AV$26:AV$71)*($AL$76:$AL$121="RPEs Apply")*($AM$76:$AM$121=2)) * (AV$223-1)</f>
        <v>-0.22558880435029777</v>
      </c>
      <c r="AW25" s="184"/>
      <c r="AX25" s="258"/>
    </row>
    <row r="26" spans="1:50" ht="15">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3.8655538925684733E-2</v>
      </c>
      <c r="AS26" s="476">
        <v>1.4992886198223188</v>
      </c>
      <c r="AT26" s="476">
        <v>1.3656189238554943</v>
      </c>
      <c r="AU26" s="476">
        <v>1.1279670457958948</v>
      </c>
      <c r="AV26" s="476">
        <v>0.66257481221003711</v>
      </c>
      <c r="AW26" s="184"/>
      <c r="AX26" s="258"/>
    </row>
    <row r="27" spans="1:50" ht="15">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5">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5">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5">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5">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5">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5">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42.9</v>
      </c>
      <c r="AS33" s="476">
        <v>41.76</v>
      </c>
      <c r="AT33" s="476">
        <v>42.94</v>
      </c>
      <c r="AU33" s="476">
        <v>44.44</v>
      </c>
      <c r="AV33" s="476">
        <v>38.17</v>
      </c>
      <c r="AW33" s="184"/>
      <c r="AX33" s="258"/>
    </row>
    <row r="34" spans="1:50" ht="15">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8.5455724383941298</v>
      </c>
      <c r="AS34" s="476">
        <v>9.84027912844196</v>
      </c>
      <c r="AT34" s="476">
        <v>11.705443284265716</v>
      </c>
      <c r="AU34" s="476">
        <v>13.072761555908192</v>
      </c>
      <c r="AV34" s="476">
        <v>14.898174180936619</v>
      </c>
      <c r="AW34" s="184"/>
      <c r="AX34" s="258"/>
    </row>
    <row r="35" spans="1:50" ht="15">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1.3710002841727427</v>
      </c>
      <c r="AS35" s="476">
        <v>1.6297545641704736</v>
      </c>
      <c r="AT35" s="476">
        <v>3.366001141639718</v>
      </c>
      <c r="AU35" s="476">
        <v>4.0784126764400792</v>
      </c>
      <c r="AV35" s="476">
        <v>4.5491365389165441</v>
      </c>
      <c r="AW35" s="184"/>
      <c r="AX35" s="258"/>
    </row>
    <row r="36" spans="1:50" ht="15">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0</v>
      </c>
      <c r="AW36" s="184"/>
    </row>
    <row r="37" spans="1:50" ht="15">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5">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1.050786</v>
      </c>
      <c r="AS38" s="476">
        <v>0.66831600000000002</v>
      </c>
      <c r="AT38" s="476">
        <v>0.80117400000000005</v>
      </c>
      <c r="AU38" s="476">
        <v>0</v>
      </c>
      <c r="AV38" s="476">
        <v>0</v>
      </c>
      <c r="AW38" s="184"/>
    </row>
    <row r="39" spans="1:50" ht="15">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3.5763852270955049E-2</v>
      </c>
      <c r="AS39" s="476">
        <v>4.6149449365236787E-2</v>
      </c>
      <c r="AT39" s="476">
        <v>0.3791265634310545</v>
      </c>
      <c r="AU39" s="476">
        <v>1.2471902633674836</v>
      </c>
      <c r="AV39" s="476">
        <v>1.2471902633674836</v>
      </c>
      <c r="AW39" s="184"/>
    </row>
    <row r="40" spans="1:50" ht="15">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3.1034621653496659</v>
      </c>
      <c r="AS40" s="476">
        <v>2.0089245467286276</v>
      </c>
      <c r="AT40" s="476">
        <v>1.1151059525955953</v>
      </c>
      <c r="AU40" s="476">
        <v>1.039571798592406</v>
      </c>
      <c r="AV40" s="476">
        <v>0.97015893185033941</v>
      </c>
      <c r="AW40" s="184"/>
    </row>
    <row r="41" spans="1:50" ht="15">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1.4002319597997397</v>
      </c>
      <c r="AS41" s="476">
        <v>1.8389639218214433</v>
      </c>
      <c r="AT41" s="476">
        <v>2.2725562583236494</v>
      </c>
      <c r="AU41" s="476">
        <v>0.72826287597536055</v>
      </c>
      <c r="AV41" s="476">
        <v>1.0850554295494679</v>
      </c>
      <c r="AW41" s="184"/>
    </row>
    <row r="42" spans="1:50" ht="15">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2.8485093021936952E-2</v>
      </c>
      <c r="AS42" s="476">
        <v>2.439246106030641E-2</v>
      </c>
      <c r="AT42" s="476">
        <v>5.1359657250937468E-2</v>
      </c>
      <c r="AU42" s="476">
        <v>5.0846060678428097E-2</v>
      </c>
      <c r="AV42" s="476">
        <v>5.108698320457896E-2</v>
      </c>
      <c r="AW42" s="184"/>
    </row>
    <row r="43" spans="1:50" ht="15">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5">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5">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5">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v>0</v>
      </c>
      <c r="AS46" s="476">
        <v>0</v>
      </c>
      <c r="AT46" s="476">
        <v>0</v>
      </c>
      <c r="AU46" s="476">
        <v>0</v>
      </c>
      <c r="AV46" s="476">
        <v>0</v>
      </c>
      <c r="AW46" s="184"/>
    </row>
    <row r="47" spans="1:50" ht="15">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5">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5">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5">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0</v>
      </c>
      <c r="AS50" s="476">
        <v>0</v>
      </c>
      <c r="AT50" s="476">
        <v>0</v>
      </c>
      <c r="AU50" s="476">
        <v>6.1382006607393597E-2</v>
      </c>
      <c r="AV50" s="476">
        <v>3.8617993392606409E-2</v>
      </c>
      <c r="AW50" s="184"/>
    </row>
    <row r="51" spans="1:49" ht="15">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5">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4.8355080562754909</v>
      </c>
      <c r="AS52" s="476">
        <v>3.7561813897566596</v>
      </c>
      <c r="AT52" s="476">
        <v>3.4953015985853675</v>
      </c>
      <c r="AU52" s="476">
        <v>2.4980970214981175</v>
      </c>
      <c r="AV52" s="476">
        <v>2.3814203915527199</v>
      </c>
      <c r="AW52" s="184"/>
    </row>
    <row r="53" spans="1:49" ht="15">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5">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1.0709898540372222</v>
      </c>
      <c r="AS54" s="476">
        <v>1.2387636388021428</v>
      </c>
      <c r="AT54" s="476">
        <v>1.6277159979977869</v>
      </c>
      <c r="AU54" s="476">
        <v>1.8523268170936134</v>
      </c>
      <c r="AV54" s="476">
        <v>2.1003095577441417</v>
      </c>
      <c r="AW54" s="184"/>
    </row>
    <row r="55" spans="1:49" ht="15">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5">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0.28999999999999998</v>
      </c>
      <c r="AS56" s="476">
        <v>0.99</v>
      </c>
      <c r="AT56" s="476">
        <v>2.56</v>
      </c>
      <c r="AU56" s="476">
        <v>0.34</v>
      </c>
      <c r="AV56" s="476">
        <v>0</v>
      </c>
      <c r="AW56" s="184"/>
    </row>
    <row r="57" spans="1:49" ht="15">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5">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0.12430966</v>
      </c>
      <c r="AT58" s="476">
        <v>0.98808162392144649</v>
      </c>
      <c r="AU58" s="476">
        <v>0.98808162392144649</v>
      </c>
      <c r="AV58" s="476">
        <v>1.0550725552316882</v>
      </c>
      <c r="AW58" s="184"/>
    </row>
    <row r="59" spans="1:49" ht="15">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5">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5">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5">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5">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v>0</v>
      </c>
      <c r="AS63" s="476">
        <v>0</v>
      </c>
      <c r="AT63" s="476">
        <v>0</v>
      </c>
      <c r="AU63" s="476">
        <v>0</v>
      </c>
      <c r="AV63" s="476">
        <v>0</v>
      </c>
      <c r="AW63" s="184"/>
    </row>
    <row r="64" spans="1:49" ht="15">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5">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5">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5">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5">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5">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5">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5">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90">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5">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0.13193072357727217</v>
      </c>
      <c r="AP74" s="263" cm="1">
        <f t="array" ref="AP74">(SUMPRODUCT((AP$76:AP$121)*(($AR$26:$AR$71)+($AS$26:$AS$71)+($AT$26:$AT$71)+($AU$26:$AU$71)+($AV$26:$AV$71))*($AL$76:$AL$121="RPEs Apply")*($AM$76:$AM$121=1))+SUM($AR$16:$AV$16))/(SUMPRODUCT((($AR$26:$AR$71)+($AS$26:$AS$71)+($AT$26:$AT$71)+($AU$26:$AU$71)+($AV$26:$AV$71))*($AM$76:$AM$121=1)*($AL$76:$AL$121="RPEs Apply"))+SUM($AR$15:$AV$21))</f>
        <v>0.25948768019910678</v>
      </c>
      <c r="AQ74" s="494" cm="1">
        <f t="array" ref="AQ74">(SUMPRODUCT((AQ$76:AQ$121)*(($AR$26:$AR$71)+($AS$26:$AS$71)+($AT$26:$AT$71)+($AU$26:$AU$71)+($AV$26:$AV$71))*($AL$76:$AL$121="RPEs Apply")*($AM$76:$AM$121=1))+SUM($AR$17:$AV$17))/(SUMPRODUCT((($AR$26:$AR$71)+($AS$26:$AS$71)+($AT$26:$AT$71)+($AU$26:$AU$71)+($AV$26:$AV$71))*($AM$76:$AM$121=1)*($AL$76:$AL$121="RPEs Apply"))+SUM($AR$15:$AV$21))</f>
        <v>0.10697462484376781</v>
      </c>
      <c r="AR74" s="263" cm="1">
        <f t="array" ref="AR74">(SUMPRODUCT((AR$76:AR$121)*(($AR$26:$AR$71)+($AS$26:$AS$71)+($AT$26:$AT$71)+($AU$26:$AU$71)+($AV$26:$AV$71))*($AL$76:$AL$121="RPEs Apply")*($AM$76:$AM$121=1))+SUM($AR$18:$AV$18))/(SUMPRODUCT((($AR$26:$AR$71)+($AS$26:$AS$71)+($AT$26:$AT$71)+($AU$26:$AU$71)+($AV$26:$AV$71))*($AM$76:$AM$121=1)*($AL$76:$AL$121="RPEs Apply"))+SUM($AR$15:$AV$21))</f>
        <v>9.4867189292905302E-2</v>
      </c>
      <c r="AS74" s="263" cm="1">
        <f t="array" ref="AS74">(SUMPRODUCT((AS$76:AS$121)*(($AR$26:$AR$71)+($AS$26:$AS$71)+($AT$26:$AT$71)+($AU$26:$AU$71)+($AV$26:$AV$71))*($AL$76:$AL$121="RPEs Apply")*($AM$76:$AM$121=1))+SUM($AR$19:$AV$19))/(SUMPRODUCT((($AR$26:$AR$71)+($AS$26:$AS$71)+($AT$26:$AT$71)+($AU$26:$AU$71)+($AV$26:$AV$71))*($AM$76:$AM$121=1)*($AL$76:$AL$121="RPEs Apply"))+SUM($AR$15:$AV$21))</f>
        <v>2.8457089630118827E-2</v>
      </c>
      <c r="AT74" s="263" cm="1">
        <f t="array" ref="AT74">(SUMPRODUCT((AT$76:AT$121)*(($AR$26:$AR$71)+($AS$26:$AS$71)+($AT$26:$AT$71)+($AU$26:$AU$71)+($AV$26:$AV$71))*($AL$76:$AL$121="RPEs Apply")*($AM$76:$AM$121=1))+SUM($AR$20:$AV$20))/(SUMPRODUCT((($AR$26:$AR$71)+($AS$26:$AS$71)+($AT$26:$AT$71)+($AU$26:$AU$71)+($AV$26:$AV$71))*($AM$76:$AM$121=1)*($AL$76:$AL$121="RPEs Apply"))+SUM($AR$15:$AV$21))</f>
        <v>4.8571510172727074E-2</v>
      </c>
      <c r="AU74" s="263" cm="1">
        <f t="array" ref="AU74">(SUMPRODUCT((AU$76:AU$121)*(($AR$26:$AR$71)+($AS$26:$AS$71)+($AT$26:$AT$71)+($AU$26:$AU$71)+($AV$26:$AV$71))*($AL$76:$AL$121="RPEs Apply")*($AM$76:$AM$121=1))+SUM($AR$21:$AV$21))/(SUMPRODUCT((($AR$26:$AR$71)+($AS$26:$AS$71)+($AT$26:$AT$71)+($AU$26:$AU$71)+($AV$26:$AV$71))*($AM$76:$AM$121=1)*($AL$76:$AL$121="RPEs Apply"))+SUM($AR$15:$AV$21))</f>
        <v>0.32971118228410196</v>
      </c>
      <c r="AV74" s="263">
        <f>SUM(AO74:AU74)</f>
        <v>1</v>
      </c>
      <c r="AW74" s="184"/>
    </row>
    <row r="75" spans="1:49" ht="15">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0.96665278753894346</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3.3347212461056576E-2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5">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5">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5">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5">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5">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5">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5">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5">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5">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5">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5">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5">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5">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5">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5">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5">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5">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5">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5">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5">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5">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5">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5">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5">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5">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5">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5">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5">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5">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5">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5">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5">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5">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5">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5">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5">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5">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5">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5">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5">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5">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5">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5">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5">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5">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5">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31.236637819878418</v>
      </c>
      <c r="AS126" s="476">
        <v>29.635922015249285</v>
      </c>
      <c r="AT126" s="476">
        <v>36.587630807426294</v>
      </c>
      <c r="AU126" s="476">
        <v>56.69662204742685</v>
      </c>
      <c r="AV126" s="476">
        <v>51.664853729825033</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72.335022153224955</v>
      </c>
      <c r="AS127" s="476">
        <v>85.543382757655152</v>
      </c>
      <c r="AT127" s="476">
        <v>87.616010802072608</v>
      </c>
      <c r="AU127" s="476">
        <v>71.60824308700802</v>
      </c>
      <c r="AV127" s="476">
        <v>54.950773498392557</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19.88546090503149</v>
      </c>
      <c r="AS128" s="476">
        <v>24.404737844552834</v>
      </c>
      <c r="AT128" s="476">
        <v>38.270994741636599</v>
      </c>
      <c r="AU128" s="476">
        <v>40.761394349118603</v>
      </c>
      <c r="AV128" s="476">
        <v>34.422945364641564</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36.06113658135861</v>
      </c>
      <c r="AS129" s="476">
        <v>34.078615314716693</v>
      </c>
      <c r="AT129" s="476">
        <v>30.69124844900864</v>
      </c>
      <c r="AU129" s="476">
        <v>31.090644296999137</v>
      </c>
      <c r="AV129" s="476">
        <v>31.088531643694072</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10.049595231118609</v>
      </c>
      <c r="AS130" s="476">
        <v>8.2284214767958339</v>
      </c>
      <c r="AT130" s="476">
        <v>8.8650134193047538</v>
      </c>
      <c r="AU130" s="476">
        <v>8.08202755824375</v>
      </c>
      <c r="AV130" s="476">
        <v>7.6415943309170267</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15.219918426431777</v>
      </c>
      <c r="AS131" s="476">
        <v>16.362155466046204</v>
      </c>
      <c r="AT131" s="476">
        <v>15.925880824661924</v>
      </c>
      <c r="AU131" s="476">
        <v>14.680257351433436</v>
      </c>
      <c r="AV131" s="476">
        <v>14.358105203328142</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103.85668480214409</v>
      </c>
      <c r="AS132" s="476">
        <v>110.96361749446942</v>
      </c>
      <c r="AT132" s="476">
        <v>103.91376710279079</v>
      </c>
      <c r="AU132" s="476">
        <v>98.295684351086408</v>
      </c>
      <c r="AV132" s="476">
        <v>100.18498305463616</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6.63755233785092</v>
      </c>
      <c r="AS135" s="476">
        <v>7.7770900760626978</v>
      </c>
      <c r="AT135" s="476">
        <v>12.745360405610239</v>
      </c>
      <c r="AU135" s="476">
        <v>15.111970675332337</v>
      </c>
      <c r="AV135" s="476">
        <v>17.119268176362233</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1.9036369813958665</v>
      </c>
      <c r="AS136" s="476">
        <v>1.1014507573536851</v>
      </c>
      <c r="AT136" s="476">
        <v>4.2569191861587621</v>
      </c>
      <c r="AU136" s="476">
        <v>2.6268348904316512</v>
      </c>
      <c r="AV136" s="476">
        <v>1.7049314874453665</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1.0037625801144436</v>
      </c>
      <c r="AS137" s="476">
        <v>1.1908635693937715</v>
      </c>
      <c r="AT137" s="476">
        <v>2.5444395151318777</v>
      </c>
      <c r="AU137" s="476">
        <v>1.5972744321571826</v>
      </c>
      <c r="AV137" s="476">
        <v>0.98481182187139571</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1.107547719808528</v>
      </c>
      <c r="AS141" s="476">
        <v>1.2722234740096301</v>
      </c>
      <c r="AT141" s="476">
        <v>1.8604541326000643</v>
      </c>
      <c r="AU141" s="476">
        <v>2.0525269440807827</v>
      </c>
      <c r="AV141" s="476">
        <v>2.2899387640702318</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2.5243188916226287</v>
      </c>
      <c r="AS145" s="476">
        <v>2.8756402792994264</v>
      </c>
      <c r="AT145" s="476">
        <v>3.0162633687903266</v>
      </c>
      <c r="AU145" s="476">
        <v>3.0162633687903266</v>
      </c>
      <c r="AV145" s="476">
        <v>3.0162633687903266</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27.565887138496063</v>
      </c>
      <c r="AS146" s="476">
        <v>29.322225304146077</v>
      </c>
      <c r="AT146" s="476">
        <v>28.695281319716194</v>
      </c>
      <c r="AU146" s="476">
        <v>36.447574605468816</v>
      </c>
      <c r="AV146" s="476">
        <v>39.690471341156972</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7.8618005385147471</v>
      </c>
      <c r="AS147" s="476">
        <v>8.2898785478619992</v>
      </c>
      <c r="AT147" s="476">
        <v>9.1747639729494193</v>
      </c>
      <c r="AU147" s="476">
        <v>8.2299857136340453</v>
      </c>
      <c r="AV147" s="476">
        <v>8.2548397700670861</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2.4648946742029851</v>
      </c>
      <c r="AS148" s="476">
        <v>2.7100318454297487</v>
      </c>
      <c r="AT148" s="476">
        <v>2.5012698427626745</v>
      </c>
      <c r="AU148" s="476">
        <v>2.8937046828837878</v>
      </c>
      <c r="AV148" s="476">
        <v>16.03884963262599</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0.25284575033483064</v>
      </c>
      <c r="AS149" s="476">
        <v>0.16840766276560176</v>
      </c>
      <c r="AT149" s="476">
        <v>0.51344708915764758</v>
      </c>
      <c r="AU149" s="476">
        <v>0.24202503478249351</v>
      </c>
      <c r="AV149" s="476">
        <v>0.23724260643111042</v>
      </c>
      <c r="AW149" s="184"/>
    </row>
    <row r="150" spans="1:49" ht="15">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2.2176711888539813E-2</v>
      </c>
      <c r="AS150" s="476">
        <v>1.573620568519549E-2</v>
      </c>
      <c r="AT150" s="476">
        <v>1.895645878686765E-2</v>
      </c>
      <c r="AU150" s="476">
        <v>1.895645878686765E-2</v>
      </c>
      <c r="AV150" s="476">
        <v>1.895645878686765E-2</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18.824358303726775</v>
      </c>
      <c r="AS151" s="476">
        <v>0.59290694209075512</v>
      </c>
      <c r="AT151" s="476">
        <v>-0.69125343232633574</v>
      </c>
      <c r="AU151" s="476">
        <v>-3.0197190742375857</v>
      </c>
      <c r="AV151" s="476">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5.5207518680273404E-2</v>
      </c>
      <c r="AS152" s="476">
        <v>0.16795373375545189</v>
      </c>
      <c r="AT152" s="476">
        <v>1.1577347538574579E-2</v>
      </c>
      <c r="AU152" s="476">
        <v>1.7675809935205184E-3</v>
      </c>
      <c r="AV152" s="476">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-5.5</v>
      </c>
      <c r="AT153" s="476">
        <v>-5.5</v>
      </c>
      <c r="AU153" s="476">
        <v>-5.5</v>
      </c>
      <c r="AV153" s="476">
        <v>-5.3</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0.81879539999999995</v>
      </c>
      <c r="AS162" s="476">
        <v>0.7755274998377939</v>
      </c>
      <c r="AT162" s="476">
        <v>0.72052909999999981</v>
      </c>
      <c r="AU162" s="476">
        <v>0.72846174999999991</v>
      </c>
      <c r="AV162" s="476">
        <v>0.73635473674999985</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0.50591940669715296</v>
      </c>
      <c r="AS163" s="476">
        <v>-0.14296658834641679</v>
      </c>
      <c r="AT163" s="476">
        <v>0.38808000000000153</v>
      </c>
      <c r="AU163" s="476">
        <v>0.8324771999999877</v>
      </c>
      <c r="AV163" s="476">
        <v>1.2790963859999729</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-2.5231264736921446</v>
      </c>
      <c r="AS164" s="476">
        <v>-0.28996612068374095</v>
      </c>
      <c r="AT164" s="476">
        <v>-0.4</v>
      </c>
      <c r="AU164" s="476">
        <v>-0.4</v>
      </c>
      <c r="AV164" s="476">
        <v>-0.4</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1.8131675652328265</v>
      </c>
      <c r="AT166" s="476">
        <v>0</v>
      </c>
      <c r="AU166" s="476">
        <v>0</v>
      </c>
      <c r="AV166" s="476">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1.8440000000000001</v>
      </c>
      <c r="AS167" s="476">
        <v>4.6100000000000003</v>
      </c>
      <c r="AT167" s="476">
        <v>2.3469199999999995</v>
      </c>
      <c r="AU167" s="476">
        <v>2.6789263999999999</v>
      </c>
      <c r="AV167" s="476">
        <v>3.0175729280000017</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1.38</v>
      </c>
      <c r="AS173" s="476"/>
      <c r="AT173" s="476"/>
      <c r="AU173" s="476"/>
      <c r="AV173" s="476"/>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4.4275336763387588E-2</v>
      </c>
      <c r="AS177" s="476">
        <v>0.19952037044633403</v>
      </c>
      <c r="AT177" s="476">
        <v>0</v>
      </c>
      <c r="AU177" s="476">
        <v>0</v>
      </c>
      <c r="AV177" s="476">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0.55808007815565208</v>
      </c>
      <c r="AS178" s="476">
        <v>0</v>
      </c>
      <c r="AT178" s="476">
        <v>0</v>
      </c>
      <c r="AU178" s="476">
        <v>0</v>
      </c>
      <c r="AV178" s="476">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50.182619349190531</v>
      </c>
      <c r="AS191" s="476">
        <v>53.350125253244165</v>
      </c>
      <c r="AT191" s="476">
        <v>58.01835533208456</v>
      </c>
      <c r="AU191" s="476">
        <v>56.703244958692807</v>
      </c>
      <c r="AV191" s="476">
        <v>43.427473170563552</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-52.706301285593291</v>
      </c>
      <c r="AS192" s="476">
        <v>-52.562482765799125</v>
      </c>
      <c r="AT192" s="476">
        <v>-58.01835533208456</v>
      </c>
      <c r="AU192" s="476">
        <v>-56.703244958692807</v>
      </c>
      <c r="AV192" s="476">
        <v>-43.427473170563552</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8.7288787385511775</v>
      </c>
      <c r="AS193" s="476">
        <v>13.093052713927825</v>
      </c>
      <c r="AT193" s="476">
        <v>7.0575734007240625</v>
      </c>
      <c r="AU193" s="476">
        <v>7.2335736240871826</v>
      </c>
      <c r="AV193" s="476">
        <v>7.4505808328097984</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-8.7638617206852114</v>
      </c>
      <c r="AS194" s="476">
        <v>-12.137105747058181</v>
      </c>
      <c r="AT194" s="476">
        <v>-7.0575734007240616</v>
      </c>
      <c r="AU194" s="476">
        <v>-7.2335736240871817</v>
      </c>
      <c r="AV194" s="476">
        <v>-7.4505808328097993</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2.2821710621636075</v>
      </c>
      <c r="AS195" s="476">
        <v>1.9533321855099155</v>
      </c>
      <c r="AT195" s="476">
        <v>1.9719425245001454</v>
      </c>
      <c r="AU195" s="476">
        <v>2.0211183962998853</v>
      </c>
      <c r="AV195" s="476">
        <v>2.0817519481888822</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-2.7993413538459992</v>
      </c>
      <c r="AS196" s="476">
        <v>-2.9272602259326845</v>
      </c>
      <c r="AT196" s="476">
        <v>-1.9719425245001454</v>
      </c>
      <c r="AU196" s="476">
        <v>-2.0211183962998849</v>
      </c>
      <c r="AV196" s="476">
        <v>-2.0817519481888822</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7.80870136920416E-5</v>
      </c>
      <c r="AS199" s="476">
        <v>0</v>
      </c>
      <c r="AT199" s="476">
        <v>0</v>
      </c>
      <c r="AU199" s="476">
        <v>0</v>
      </c>
      <c r="AV199" s="476">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0</v>
      </c>
      <c r="AS201" s="476">
        <v>0</v>
      </c>
      <c r="AT201" s="476">
        <v>0</v>
      </c>
      <c r="AU201" s="476">
        <v>0</v>
      </c>
      <c r="AV201" s="476">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-3.2796545750657467E-3</v>
      </c>
      <c r="AS205" s="476">
        <v>0</v>
      </c>
      <c r="AT205" s="476">
        <v>0</v>
      </c>
      <c r="AU205" s="476">
        <v>0</v>
      </c>
      <c r="AV205" s="476">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409">
        <v>3.04E-2</v>
      </c>
      <c r="AS211" s="409">
        <v>3.1099999999999999E-2</v>
      </c>
      <c r="AT211" s="409">
        <v>3.1300000000000001E-2</v>
      </c>
      <c r="AU211" s="409">
        <v>3.1399999999999997E-2</v>
      </c>
      <c r="AV211" s="409">
        <v>3.1399999999999997E-2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409">
        <v>1.46E-2</v>
      </c>
      <c r="AS213" s="409">
        <v>2.7199999999999998E-2</v>
      </c>
      <c r="AT213" s="409">
        <v>2.1399999999999999E-2</v>
      </c>
      <c r="AU213" s="409">
        <v>3.0499999999999999E-2</v>
      </c>
      <c r="AV213" s="409">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409">
        <v>0.95320000000000005</v>
      </c>
      <c r="AS223" s="409">
        <v>0.96040000000000003</v>
      </c>
      <c r="AT223" s="409">
        <v>0.97009999999999996</v>
      </c>
      <c r="AU223" s="409">
        <v>0.9798</v>
      </c>
      <c r="AV223" s="409">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v>29.993840965466223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5">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5">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v>48.901715904916827</v>
      </c>
      <c r="L250" s="413">
        <v>162.07955082122055</v>
      </c>
      <c r="M250" s="413">
        <v>158.74534291861255</v>
      </c>
      <c r="N250" s="413">
        <v>174.86068111455111</v>
      </c>
      <c r="O250" s="413">
        <v>104.65708138741668</v>
      </c>
      <c r="P250" s="413">
        <v>107.62082174529043</v>
      </c>
      <c r="Q250" s="413">
        <v>116.32680904654455</v>
      </c>
      <c r="R250" s="413">
        <v>139.11056304769897</v>
      </c>
      <c r="S250" s="413">
        <v>135.05514025886723</v>
      </c>
      <c r="T250" s="413">
        <v>134.39535116721777</v>
      </c>
      <c r="U250" s="413">
        <v>164.49751921393135</v>
      </c>
      <c r="V250" s="413">
        <v>101.17133956386293</v>
      </c>
      <c r="W250" s="413">
        <v>120.63821117601886</v>
      </c>
      <c r="X250" s="413">
        <v>133.80371740421066</v>
      </c>
      <c r="Y250" s="413">
        <v>127.56180274321524</v>
      </c>
      <c r="Z250" s="413">
        <v>163.60508585078944</v>
      </c>
      <c r="AA250" s="413">
        <v>171.96228106127285</v>
      </c>
      <c r="AB250" s="413">
        <v>216.89661349580709</v>
      </c>
      <c r="AC250" s="413">
        <v>241.45999844804848</v>
      </c>
      <c r="AD250" s="413">
        <v>197.02058631036226</v>
      </c>
      <c r="AE250" s="413">
        <v>203.50475801997527</v>
      </c>
      <c r="AF250" s="413">
        <v>219.29651147851237</v>
      </c>
      <c r="AG250" s="413">
        <v>277.11848278310407</v>
      </c>
      <c r="AH250" s="413">
        <v>300.36393808112814</v>
      </c>
      <c r="AI250" s="413">
        <v>235.57913404646982</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-0.53673992636130419</v>
      </c>
      <c r="AI252" s="413">
        <v>101.56243194745407</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528.44346172999997</v>
      </c>
      <c r="AS264" s="476">
        <v>717.66896479000002</v>
      </c>
      <c r="AT264" s="476">
        <v>581.32019402925937</v>
      </c>
      <c r="AU264" s="476">
        <v>582.14944419357857</v>
      </c>
      <c r="AV264" s="476"/>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520.81434287343518</v>
      </c>
      <c r="AS265" s="476">
        <v>710.56167651617056</v>
      </c>
      <c r="AT265" s="476">
        <v>568.95486167833837</v>
      </c>
      <c r="AU265" s="476">
        <v>579.48770086432239</v>
      </c>
      <c r="AV265" s="476"/>
      <c r="AW265" s="184"/>
    </row>
    <row r="266" spans="1:49" ht="15">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429.14144932565534</v>
      </c>
      <c r="AU266" s="476">
        <v>412.00601929769078</v>
      </c>
      <c r="AV266" s="476"/>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v>4.2665699999999999E-3</v>
      </c>
      <c r="AS267" s="476">
        <v>0</v>
      </c>
      <c r="AT267" s="476">
        <v>0</v>
      </c>
      <c r="AU267" s="476">
        <v>0</v>
      </c>
      <c r="AV267" s="476">
        <v>0</v>
      </c>
      <c r="AW267" s="184"/>
    </row>
    <row r="268" spans="1:49" ht="15">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v>-0.210622696666667</v>
      </c>
      <c r="AS268" s="476">
        <v>-0.221875978333333</v>
      </c>
      <c r="AT268" s="476">
        <v>0</v>
      </c>
      <c r="AU268" s="476">
        <v>0</v>
      </c>
      <c r="AV268" s="476">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476">
        <v>1</v>
      </c>
      <c r="AS269" s="476">
        <v>1</v>
      </c>
      <c r="AT269" s="476">
        <v>1</v>
      </c>
      <c r="AU269" s="476">
        <v>1</v>
      </c>
      <c r="AV269" s="476">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v>1</v>
      </c>
      <c r="AS270" s="476">
        <v>1</v>
      </c>
      <c r="AT270" s="476">
        <v>1</v>
      </c>
      <c r="AU270" s="476">
        <v>1</v>
      </c>
      <c r="AV270" s="476">
        <v>1</v>
      </c>
      <c r="AW270" s="184"/>
    </row>
    <row r="271" spans="1:49" ht="15">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-17.068713974431002</v>
      </c>
      <c r="AS277" s="476">
        <v>-19.249640497993898</v>
      </c>
      <c r="AT277" s="476">
        <v>-26.358249044332915</v>
      </c>
      <c r="AU277" s="476">
        <v>-29.557892508283516</v>
      </c>
      <c r="AV277" s="476">
        <v>-26.377392767584055</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1898.03575330734</v>
      </c>
      <c r="AS278" s="476">
        <v>2011.0387178961798</v>
      </c>
      <c r="AT278" s="476">
        <v>2291.5926097498013</v>
      </c>
      <c r="AU278" s="476">
        <v>2419.6348857920166</v>
      </c>
      <c r="AV278" s="476">
        <v>2631.6</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95.89345582</v>
      </c>
      <c r="AS279" s="476">
        <v>94.921712618706479</v>
      </c>
      <c r="AT279" s="476">
        <v>120.41669466812348</v>
      </c>
      <c r="AU279" s="476">
        <v>124.28745411618772</v>
      </c>
      <c r="AV279" s="476">
        <v>139.0153650224228</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-23.756908659839809</v>
      </c>
      <c r="AT282" s="476">
        <v>-29.218301254973113</v>
      </c>
      <c r="AU282" s="476">
        <v>-47.075346053260148</v>
      </c>
      <c r="AV282" s="476">
        <v>-52.385784930577969</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-41.818837552249924</v>
      </c>
      <c r="AT283" s="476">
        <v>-47.113795001551836</v>
      </c>
      <c r="AU283" s="476">
        <v>-61.603623325325657</v>
      </c>
      <c r="AV283" s="476">
        <v>-72.349012225023657</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0.14000000000000001</v>
      </c>
      <c r="AV286" s="420">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2.1594507853983487</v>
      </c>
      <c r="AS291" s="528">
        <v>2.108783385973247</v>
      </c>
      <c r="AT291" s="528">
        <v>1.9571099436141921</v>
      </c>
      <c r="AU291" s="528">
        <v>1.6739883971269975</v>
      </c>
      <c r="AV291" s="528">
        <v>1.4057277322201749</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4.2047154411977095E-2</v>
      </c>
      <c r="AS295" s="508">
        <v>2.2425103522724154E-2</v>
      </c>
      <c r="AT295" s="508">
        <v>1.7384109584575886E-2</v>
      </c>
      <c r="AU295" s="508">
        <v>1.7384109584575886E-2</v>
      </c>
      <c r="AV295" s="508">
        <v>1.7384109584575886E-2</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1.9408577120148588E-3</v>
      </c>
      <c r="AS296" s="508">
        <v>9.9812714432781068E-4</v>
      </c>
      <c r="AT296" s="508">
        <v>5.5660080708516716E-3</v>
      </c>
      <c r="AU296" s="508">
        <v>5.5660080708516716E-3</v>
      </c>
      <c r="AV296" s="508">
        <v>5.5660080708516716E-3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0.86188057090291159</v>
      </c>
      <c r="AS297" s="508">
        <v>0.90138784129211191</v>
      </c>
      <c r="AT297" s="508">
        <v>0.91082935844954416</v>
      </c>
      <c r="AU297" s="508">
        <v>0.91082935844954416</v>
      </c>
      <c r="AV297" s="508">
        <v>0.91082935844954416</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2.746307009450932E-2</v>
      </c>
      <c r="AS301" s="508">
        <v>2.6376157304411396E-2</v>
      </c>
      <c r="AT301" s="508">
        <v>3.0497500698497167E-2</v>
      </c>
      <c r="AU301" s="508">
        <v>3.0497500698497167E-2</v>
      </c>
      <c r="AV301" s="508">
        <v>3.0497500698497167E-2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0.95795284558802285</v>
      </c>
      <c r="AS302" s="508">
        <v>0.97757489647727591</v>
      </c>
      <c r="AT302" s="508">
        <v>0.981489767083633</v>
      </c>
      <c r="AU302" s="508">
        <v>0.981489767083633</v>
      </c>
      <c r="AV302" s="508">
        <v>0.981489767083633</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0.26803452593409416</v>
      </c>
      <c r="AS303" s="508">
        <v>0.29036422228579778</v>
      </c>
      <c r="AT303" s="508">
        <v>0.34918525307829523</v>
      </c>
      <c r="AU303" s="508">
        <v>0.34918525307829523</v>
      </c>
      <c r="AV303" s="508">
        <v>0.34918525307829523</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8.8386410102834309E-2</v>
      </c>
      <c r="AS304" s="508">
        <v>6.6635532756656429E-2</v>
      </c>
      <c r="AT304" s="508">
        <v>5.9998774399250394E-2</v>
      </c>
      <c r="AU304" s="508">
        <v>5.9998774399250394E-2</v>
      </c>
      <c r="AV304" s="508">
        <v>5.9998774399250394E-2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0.15423881256656921</v>
      </c>
      <c r="AS308" s="508">
        <v>0.15655091762294118</v>
      </c>
      <c r="AT308" s="508">
        <v>0.1788765314918597</v>
      </c>
      <c r="AU308" s="508">
        <v>0.1788765314918597</v>
      </c>
      <c r="AV308" s="508">
        <v>0.1788765314918597</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0</v>
      </c>
      <c r="AS309" s="508">
        <v>0</v>
      </c>
      <c r="AT309" s="508">
        <v>2.351261729028163E-4</v>
      </c>
      <c r="AU309" s="508">
        <v>2.351261729028163E-4</v>
      </c>
      <c r="AV309" s="508">
        <v>2.351261729028163E-4</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0.68311188935813949</v>
      </c>
      <c r="AS310" s="508">
        <v>0.680401034485423</v>
      </c>
      <c r="AT310" s="508">
        <v>0.62744773107513019</v>
      </c>
      <c r="AU310" s="508">
        <v>0.62744773107513019</v>
      </c>
      <c r="AV310" s="508">
        <v>0.62744773107513019</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3.6583412757573222E-2</v>
      </c>
      <c r="AS311" s="508">
        <v>1.1258657915556886E-2</v>
      </c>
      <c r="AT311" s="508">
        <v>1.2401765561391878E-2</v>
      </c>
      <c r="AU311" s="508">
        <v>1.2401765561391878E-2</v>
      </c>
      <c r="AV311" s="508">
        <v>1.2401765561391878E-2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0.79999999999999993</v>
      </c>
      <c r="AS312" s="508">
        <v>0.8</v>
      </c>
      <c r="AT312" s="508">
        <v>0.8</v>
      </c>
      <c r="AU312" s="508">
        <v>0.8</v>
      </c>
      <c r="AV312" s="508">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0.36103670354643264</v>
      </c>
      <c r="AS315" s="508">
        <v>0.36742589262461656</v>
      </c>
      <c r="AT315" s="508">
        <v>0.34734219326414245</v>
      </c>
      <c r="AU315" s="508">
        <v>0.34734219326414245</v>
      </c>
      <c r="AV315" s="508">
        <v>0.34734219326414245</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0</v>
      </c>
      <c r="AT316" s="508">
        <v>5.8624852811540703E-4</v>
      </c>
      <c r="AU316" s="508">
        <v>5.8624852811540703E-4</v>
      </c>
      <c r="AV316" s="508">
        <v>5.8624852811540703E-4</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0</v>
      </c>
      <c r="AT317" s="508">
        <v>6.2784609062053413E-3</v>
      </c>
      <c r="AU317" s="508">
        <v>6.2784609062053413E-3</v>
      </c>
      <c r="AV317" s="508">
        <v>6.2784609062053413E-3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0</v>
      </c>
      <c r="AT318" s="508">
        <v>8.5493579818529631E-4</v>
      </c>
      <c r="AU318" s="508">
        <v>8.5493579818529631E-4</v>
      </c>
      <c r="AV318" s="508">
        <v>8.5493579818529631E-4</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0.19999999999999996</v>
      </c>
      <c r="AT326" s="508">
        <v>0.19999999999999996</v>
      </c>
      <c r="AU326" s="508">
        <v>0.19999999999999996</v>
      </c>
      <c r="AV326" s="508">
        <v>0.19999999999999996</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0.45714353815706082</v>
      </c>
      <c r="AS329" s="508">
        <v>0.44958558069396326</v>
      </c>
      <c r="AT329" s="508">
        <v>0.44320683332845295</v>
      </c>
      <c r="AU329" s="508">
        <v>0.44320683332845295</v>
      </c>
      <c r="AV329" s="508">
        <v>0.44320683332845295</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0</v>
      </c>
      <c r="AT330" s="508">
        <v>3.047486307729562E-4</v>
      </c>
      <c r="AU330" s="508">
        <v>3.047486307729562E-4</v>
      </c>
      <c r="AV330" s="508">
        <v>3.047486307729562E-4</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4.6912726995751483E-2</v>
      </c>
      <c r="AS331" s="508">
        <v>2.8236616084451487E-2</v>
      </c>
      <c r="AT331" s="508">
        <v>1.1522546869517722E-2</v>
      </c>
      <c r="AU331" s="508">
        <v>1.1522546869517722E-2</v>
      </c>
      <c r="AV331" s="508">
        <v>1.1522546869517722E-2</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1.31496062366809E-2</v>
      </c>
      <c r="AS332" s="508">
        <v>2.0717968035674751E-2</v>
      </c>
      <c r="AT332" s="508">
        <v>1.5915165791628296E-2</v>
      </c>
      <c r="AU332" s="508">
        <v>1.5915165791628296E-2</v>
      </c>
      <c r="AV332" s="508">
        <v>1.5915165791628296E-2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1.1787563542802092E-4</v>
      </c>
      <c r="AS336" s="508">
        <v>6.145175406768845E-5</v>
      </c>
      <c r="AT336" s="508">
        <v>7.6941217047797115E-5</v>
      </c>
      <c r="AU336" s="508">
        <v>7.6941217047797115E-5</v>
      </c>
      <c r="AV336" s="508">
        <v>7.6941217047797115E-5</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4.5292297097548468</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229.44599591494091</v>
      </c>
      <c r="AK342" s="476">
        <v>226.82147116553256</v>
      </c>
      <c r="AL342" s="476">
        <v>200.46268326893096</v>
      </c>
      <c r="AM342" s="476">
        <v>197.33439705342334</v>
      </c>
      <c r="AN342" s="476">
        <v>199.32937492653633</v>
      </c>
      <c r="AO342" s="476">
        <v>205.26316406111178</v>
      </c>
      <c r="AP342" s="476">
        <v>212.54994868634299</v>
      </c>
      <c r="AQ342" s="477">
        <v>211.79906427449993</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96.822677142231498</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901.64469052178902</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1346.9416163441822</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1641.6422127756323</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5">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399.10770482154794</v>
      </c>
      <c r="AQ351" s="477">
        <v>377.20968760553592</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5">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437.17081265000007</v>
      </c>
      <c r="AK354" s="476">
        <v>481.8225587199999</v>
      </c>
      <c r="AL354" s="476">
        <v>466.14544891000003</v>
      </c>
      <c r="AM354" s="476">
        <v>483.27203402999999</v>
      </c>
      <c r="AN354" s="476">
        <v>502.02997776999996</v>
      </c>
      <c r="AO354" s="476">
        <v>480.6161768169132</v>
      </c>
      <c r="AP354" s="476">
        <v>528.85150836999992</v>
      </c>
      <c r="AQ354" s="477">
        <v>623.07913960999997</v>
      </c>
      <c r="AR354" s="184"/>
      <c r="AS354" s="184"/>
      <c r="AT354" s="184"/>
      <c r="AU354" s="184"/>
      <c r="AV354" s="184"/>
      <c r="AW354" s="184"/>
    </row>
    <row r="355" spans="1:49" ht="15">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436.50423033893748</v>
      </c>
      <c r="AK355" s="476">
        <v>475.11450238225547</v>
      </c>
      <c r="AL355" s="476">
        <v>467.30257016776852</v>
      </c>
      <c r="AM355" s="476">
        <v>483.95431810041595</v>
      </c>
      <c r="AN355" s="476">
        <v>511.20975386073508</v>
      </c>
      <c r="AO355" s="476">
        <v>506.63050026905017</v>
      </c>
      <c r="AP355" s="476">
        <v>512.07286394383993</v>
      </c>
      <c r="AQ355" s="477">
        <v>621.07936740432899</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0</v>
      </c>
      <c r="AQ357" s="477">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2.6688400000000001E-2</v>
      </c>
      <c r="AS359" s="419"/>
      <c r="AT359" s="419"/>
      <c r="AU359" s="419"/>
      <c r="AV359" s="419"/>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5">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5">
      <c r="A363" s="82"/>
      <c r="B363" s="82"/>
      <c r="C363" s="82"/>
      <c r="D363" s="82"/>
      <c r="E363" s="363" t="s">
        <v>433</v>
      </c>
      <c r="F363" s="82"/>
      <c r="G363" s="82" t="s">
        <v>394</v>
      </c>
      <c r="H363" s="82" t="s">
        <v>434</v>
      </c>
      <c r="I363" s="476">
        <v>54.8</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3.6802468274757247</v>
      </c>
      <c r="AQ367" s="477">
        <v>4</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0.53999999999999992</v>
      </c>
      <c r="AQ369" s="477">
        <v>0.99600000000000011</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16.066143697331345</v>
      </c>
      <c r="AQ371" s="477">
        <v>17.035259513751821</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0.4</v>
      </c>
      <c r="AQ377" s="477">
        <v>0.4</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0.4</v>
      </c>
      <c r="AQ378" s="477">
        <v>0.4</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0.27177214945678763</v>
      </c>
      <c r="AQ379" s="477">
        <v>0.30996115038757399</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0.24821063345031713</v>
      </c>
      <c r="AQ380" s="477">
        <v>0.32083241804199136</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2.6482000000000001</v>
      </c>
      <c r="AQ384" s="477">
        <v>2.7511000000000001</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1.3</v>
      </c>
      <c r="AQ385" s="477">
        <v>1.3</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31.508600000000001</v>
      </c>
      <c r="AQ387" s="477">
        <v>29.905899999999999</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52.9</v>
      </c>
      <c r="AQ388" s="477">
        <v>52.9</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9.0512999999999995</v>
      </c>
      <c r="AQ390" s="477">
        <v>8.6135999999999999</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12.6</v>
      </c>
      <c r="AQ391" s="477">
        <v>13.8</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2.8382000000000001</v>
      </c>
      <c r="AQ393" s="477">
        <v>3.1320999999999999</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0.39589999999999997</v>
      </c>
      <c r="AQ396" s="477">
        <v>0.35970000000000002</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4.4699999999999997E-2</v>
      </c>
      <c r="AQ399" s="477">
        <v>4.41E-2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0.99719999999999998</v>
      </c>
      <c r="AQ411" s="477">
        <v>1.9113338783333333</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1.80173231</v>
      </c>
      <c r="AP413" s="476">
        <v>3.5762999999999998</v>
      </c>
      <c r="AQ413" s="477">
        <v>-0.20945539999999999</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5">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68" priority="50" operator="equal">
      <formula>FALSE()</formula>
    </cfRule>
  </conditionalFormatting>
  <conditionalFormatting sqref="I363">
    <cfRule type="cellIs" dxfId="267" priority="29" operator="equal">
      <formula>FALSE()</formula>
    </cfRule>
  </conditionalFormatting>
  <conditionalFormatting sqref="K211:AQ217 AW211:AW217">
    <cfRule type="cellIs" dxfId="266" priority="49" operator="equal">
      <formula>FALSE()</formula>
    </cfRule>
  </conditionalFormatting>
  <conditionalFormatting sqref="K8:AW25 K64:AW125 K26:AQ63 AW26:AW63 K142:AW144 K126:AQ141 AW126:AW141 K159:AW161 K145:AQ158 AW145:AW158 K174:AW176 K162:AQ173 AW162:AW173 K181:AW190 K177:AQ180 AW177:AW180 K207:AW210 K191:AQ206 AW191:AW206">
    <cfRule type="cellIs" dxfId="265" priority="43" operator="equal">
      <formula>FALSE()</formula>
    </cfRule>
  </conditionalFormatting>
  <conditionalFormatting sqref="K218:AW263 K265:AW266 K264:AQ264 AV264:AW264 K267:AQ267 K269:AW419 AW267:AW268 K268:AV268">
    <cfRule type="cellIs" dxfId="264" priority="11" operator="equal">
      <formula>FALSE()</formula>
    </cfRule>
  </conditionalFormatting>
  <conditionalFormatting sqref="K423:AW423">
    <cfRule type="cellIs" dxfId="263" priority="52" operator="equal">
      <formula>FALSE()</formula>
    </cfRule>
  </conditionalFormatting>
  <conditionalFormatting sqref="AQ351:AQ352">
    <cfRule type="cellIs" dxfId="262" priority="32" operator="equal">
      <formula>FALSE()</formula>
    </cfRule>
  </conditionalFormatting>
  <conditionalFormatting sqref="AQ354:AQ357">
    <cfRule type="cellIs" dxfId="261" priority="31" operator="equal">
      <formula>FALSE()</formula>
    </cfRule>
  </conditionalFormatting>
  <conditionalFormatting sqref="AQ362">
    <cfRule type="cellIs" dxfId="260" priority="30" operator="equal">
      <formula>FALSE()</formula>
    </cfRule>
  </conditionalFormatting>
  <conditionalFormatting sqref="AQ367:AQ369">
    <cfRule type="cellIs" dxfId="259" priority="28" operator="equal">
      <formula>FALSE()</formula>
    </cfRule>
  </conditionalFormatting>
  <conditionalFormatting sqref="AQ371:AQ373">
    <cfRule type="cellIs" dxfId="258" priority="27" operator="equal">
      <formula>FALSE()</formula>
    </cfRule>
  </conditionalFormatting>
  <conditionalFormatting sqref="AQ377:AQ380">
    <cfRule type="cellIs" dxfId="257" priority="25" operator="equal">
      <formula>FALSE()</formula>
    </cfRule>
  </conditionalFormatting>
  <conditionalFormatting sqref="AQ384:AQ385">
    <cfRule type="cellIs" dxfId="256" priority="24" operator="equal">
      <formula>FALSE()</formula>
    </cfRule>
  </conditionalFormatting>
  <conditionalFormatting sqref="AQ387:AQ388">
    <cfRule type="cellIs" dxfId="255" priority="23" operator="equal">
      <formula>FALSE()</formula>
    </cfRule>
  </conditionalFormatting>
  <conditionalFormatting sqref="AQ390:AQ391">
    <cfRule type="cellIs" dxfId="254" priority="22" operator="equal">
      <formula>FALSE()</formula>
    </cfRule>
  </conditionalFormatting>
  <conditionalFormatting sqref="AQ393:AQ394">
    <cfRule type="cellIs" dxfId="253" priority="21" operator="equal">
      <formula>FALSE()</formula>
    </cfRule>
  </conditionalFormatting>
  <conditionalFormatting sqref="AQ396:AQ397">
    <cfRule type="cellIs" dxfId="252" priority="20" operator="equal">
      <formula>FALSE()</formula>
    </cfRule>
  </conditionalFormatting>
  <conditionalFormatting sqref="AQ399:AQ400">
    <cfRule type="cellIs" dxfId="251" priority="19" operator="equal">
      <formula>FALSE()</formula>
    </cfRule>
  </conditionalFormatting>
  <conditionalFormatting sqref="AQ402:AQ403">
    <cfRule type="cellIs" dxfId="250" priority="18" operator="equal">
      <formula>FALSE()</formula>
    </cfRule>
  </conditionalFormatting>
  <conditionalFormatting sqref="AQ405:AQ406">
    <cfRule type="cellIs" dxfId="249" priority="17" operator="equal">
      <formula>FALSE()</formula>
    </cfRule>
  </conditionalFormatting>
  <conditionalFormatting sqref="AQ408:AQ409">
    <cfRule type="cellIs" dxfId="248" priority="16" operator="equal">
      <formula>FALSE()</formula>
    </cfRule>
  </conditionalFormatting>
  <conditionalFormatting sqref="AQ411">
    <cfRule type="cellIs" dxfId="247" priority="15" operator="equal">
      <formula>FALSE()</formula>
    </cfRule>
  </conditionalFormatting>
  <conditionalFormatting sqref="AQ413:AQ414">
    <cfRule type="cellIs" dxfId="246" priority="14" operator="equal">
      <formula>FALSE()</formula>
    </cfRule>
  </conditionalFormatting>
  <conditionalFormatting sqref="AQ416:AQ418">
    <cfRule type="cellIs" dxfId="245" priority="13" operator="equal">
      <formula>FALSE()</formula>
    </cfRule>
  </conditionalFormatting>
  <conditionalFormatting sqref="AR211:AV211">
    <cfRule type="cellIs" dxfId="244" priority="12" operator="equal">
      <formula>FALSE()</formula>
    </cfRule>
  </conditionalFormatting>
  <conditionalFormatting sqref="AR213:AV217">
    <cfRule type="cellIs" dxfId="243" priority="10" operator="equal">
      <formula>FALSE()</formula>
    </cfRule>
  </conditionalFormatting>
  <conditionalFormatting sqref="AR26:AV63">
    <cfRule type="cellIs" dxfId="242" priority="9" operator="equal">
      <formula>FALSE()</formula>
    </cfRule>
  </conditionalFormatting>
  <conditionalFormatting sqref="AR126:AV141">
    <cfRule type="cellIs" dxfId="241" priority="8" operator="equal">
      <formula>FALSE()</formula>
    </cfRule>
  </conditionalFormatting>
  <conditionalFormatting sqref="AR157:AV158">
    <cfRule type="cellIs" dxfId="240" priority="7" operator="equal">
      <formula>FALSE()</formula>
    </cfRule>
  </conditionalFormatting>
  <conditionalFormatting sqref="AR145:AV156">
    <cfRule type="cellIs" dxfId="239" priority="6" operator="equal">
      <formula>FALSE()</formula>
    </cfRule>
  </conditionalFormatting>
  <conditionalFormatting sqref="AR162:AV173">
    <cfRule type="cellIs" dxfId="238" priority="5" operator="equal">
      <formula>FALSE()</formula>
    </cfRule>
  </conditionalFormatting>
  <conditionalFormatting sqref="AR177:AV180">
    <cfRule type="cellIs" dxfId="237" priority="4" operator="equal">
      <formula>FALSE()</formula>
    </cfRule>
  </conditionalFormatting>
  <conditionalFormatting sqref="AR191:AV206">
    <cfRule type="cellIs" dxfId="236" priority="3" operator="equal">
      <formula>FALSE()</formula>
    </cfRule>
  </conditionalFormatting>
  <conditionalFormatting sqref="AR264:AV264">
    <cfRule type="cellIs" dxfId="235" priority="2" operator="equal">
      <formula>FALSE()</formula>
    </cfRule>
  </conditionalFormatting>
  <conditionalFormatting sqref="AR267:AV267">
    <cfRule type="cellIs" dxfId="234"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157"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1" width="2.62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529">
        <f>m_identity</f>
        <v>5</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1.321792585589326</v>
      </c>
      <c r="AT8" s="92">
        <f>'Annual Inflation'!AT32</f>
        <v>1.3743827621199309</v>
      </c>
      <c r="AU8" s="92">
        <f>'Annual Inflation'!AU32</f>
        <v>1.4066722012363251</v>
      </c>
      <c r="AV8" s="92">
        <f>'Annual Inflation'!AV32</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58.15</v>
      </c>
      <c r="AS15" s="528">
        <f>CHOOSE($B$3,ENWL!AS15,NPgN!AS15,NPgY!AS15,WMID!AS15,EMID!AS15,SWALES!AS15,SWEST!AS15,LPN!AS15,SPN!AS15,EPN!AS15,SPD!AS15,SPMW!AS15,SSEH!AS15,SSES!AS15)</f>
        <v>54.47</v>
      </c>
      <c r="AT15" s="528">
        <f>CHOOSE($B$3,ENWL!AT15,NPgN!AT15,NPgY!AT15,WMID!AT15,EMID!AT15,SWALES!AT15,SWEST!AT15,LPN!AT15,SPN!AT15,EPN!AT15,SPD!AT15,SPMW!AT15,SSEH!AT15,SSES!AT15)</f>
        <v>36.51</v>
      </c>
      <c r="AU15" s="528">
        <f>CHOOSE($B$3,ENWL!AU15,NPgN!AU15,NPgY!AU15,WMID!AU15,EMID!AU15,SWALES!AU15,SWEST!AU15,LPN!AU15,SPN!AU15,EPN!AU15,SPD!AU15,SPMW!AU15,SSEH!AU15,SSES!AU15)</f>
        <v>38.340000000000003</v>
      </c>
      <c r="AV15" s="528">
        <f>CHOOSE($B$3,ENWL!AV15,NPgN!AV15,NPgY!AV15,WMID!AV15,EMID!AV15,SWALES!AV15,SWEST!AV15,LPN!AV15,SPN!AV15,EPN!AV15,SPD!AV15,SPMW!AV15,SSEH!AV15,SSES!AV15)</f>
        <v>27.6</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43.13</v>
      </c>
      <c r="AS16" s="528">
        <f>CHOOSE($B$3,ENWL!AS16,NPgN!AS16,NPgY!AS16,WMID!AS16,EMID!AS16,SWALES!AS16,SWEST!AS16,LPN!AS16,SPN!AS16,EPN!AS16,SPD!AS16,SPMW!AS16,SSEH!AS16,SSES!AS16)</f>
        <v>43.21</v>
      </c>
      <c r="AT16" s="528">
        <f>CHOOSE($B$3,ENWL!AT16,NPgN!AT16,NPgY!AT16,WMID!AT16,EMID!AT16,SWALES!AT16,SWEST!AT16,LPN!AT16,SPN!AT16,EPN!AT16,SPD!AT16,SPMW!AT16,SSEH!AT16,SSES!AT16)</f>
        <v>43.79</v>
      </c>
      <c r="AU16" s="528">
        <f>CHOOSE($B$3,ENWL!AU16,NPgN!AU16,NPgY!AU16,WMID!AU16,EMID!AU16,SWALES!AU16,SWEST!AU16,LPN!AU16,SPN!AU16,EPN!AU16,SPD!AU16,SPMW!AU16,SSEH!AU16,SSES!AU16)</f>
        <v>41.28</v>
      </c>
      <c r="AV16" s="528">
        <f>CHOOSE($B$3,ENWL!AV16,NPgN!AV16,NPgY!AV16,WMID!AV16,EMID!AV16,SWALES!AV16,SWEST!AV16,LPN!AV16,SPN!AV16,EPN!AV16,SPD!AV16,SPMW!AV16,SSEH!AV16,SSES!AV16)</f>
        <v>41.39</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31.19</v>
      </c>
      <c r="AS17" s="528">
        <f>CHOOSE($B$3,ENWL!AS17,NPgN!AS17,NPgY!AS17,WMID!AS17,EMID!AS17,SWALES!AS17,SWEST!AS17,LPN!AS17,SPN!AS17,EPN!AS17,SPD!AS17,SPMW!AS17,SSEH!AS17,SSES!AS17)</f>
        <v>33.590000000000003</v>
      </c>
      <c r="AT17" s="528">
        <f>CHOOSE($B$3,ENWL!AT17,NPgN!AT17,NPgY!AT17,WMID!AT17,EMID!AT17,SWALES!AT17,SWEST!AT17,LPN!AT17,SPN!AT17,EPN!AT17,SPD!AT17,SPMW!AT17,SSEH!AT17,SSES!AT17)</f>
        <v>36.380000000000003</v>
      </c>
      <c r="AU17" s="528">
        <f>CHOOSE($B$3,ENWL!AU17,NPgN!AU17,NPgY!AU17,WMID!AU17,EMID!AU17,SWALES!AU17,SWEST!AU17,LPN!AU17,SPN!AU17,EPN!AU17,SPD!AU17,SPMW!AU17,SSEH!AU17,SSES!AU17)</f>
        <v>30.94</v>
      </c>
      <c r="AV17" s="528">
        <f>CHOOSE($B$3,ENWL!AV17,NPgN!AV17,NPgY!AV17,WMID!AV17,EMID!AV17,SWALES!AV17,SWEST!AV17,LPN!AV17,SPN!AV17,EPN!AV17,SPD!AV17,SPMW!AV17,SSEH!AV17,SSES!AV17)</f>
        <v>29.87</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31.85</v>
      </c>
      <c r="AS18" s="528">
        <f>CHOOSE($B$3,ENWL!AS18,NPgN!AS18,NPgY!AS18,WMID!AS18,EMID!AS18,SWALES!AS18,SWEST!AS18,LPN!AS18,SPN!AS18,EPN!AS18,SPD!AS18,SPMW!AS18,SSEH!AS18,SSES!AS18)</f>
        <v>31.6</v>
      </c>
      <c r="AT18" s="528">
        <f>CHOOSE($B$3,ENWL!AT18,NPgN!AT18,NPgY!AT18,WMID!AT18,EMID!AT18,SWALES!AT18,SWEST!AT18,LPN!AT18,SPN!AT18,EPN!AT18,SPD!AT18,SPMW!AT18,SSEH!AT18,SSES!AT18)</f>
        <v>30.9</v>
      </c>
      <c r="AU18" s="528">
        <f>CHOOSE($B$3,ENWL!AU18,NPgN!AU18,NPgY!AU18,WMID!AU18,EMID!AU18,SWALES!AU18,SWEST!AU18,LPN!AU18,SPN!AU18,EPN!AU18,SPD!AU18,SPMW!AU18,SSEH!AU18,SSES!AU18)</f>
        <v>30.51</v>
      </c>
      <c r="AV18" s="528">
        <f>CHOOSE($B$3,ENWL!AV18,NPgN!AV18,NPgY!AV18,WMID!AV18,EMID!AV18,SWALES!AV18,SWEST!AV18,LPN!AV18,SPN!AV18,EPN!AV18,SPD!AV18,SPMW!AV18,SSEH!AV18,SSES!AV18)</f>
        <v>29.79</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9.67</v>
      </c>
      <c r="AS19" s="528">
        <f>CHOOSE($B$3,ENWL!AS19,NPgN!AS19,NPgY!AS19,WMID!AS19,EMID!AS19,SWALES!AS19,SWEST!AS19,LPN!AS19,SPN!AS19,EPN!AS19,SPD!AS19,SPMW!AS19,SSEH!AS19,SSES!AS19)</f>
        <v>10.15</v>
      </c>
      <c r="AT19" s="528">
        <f>CHOOSE($B$3,ENWL!AT19,NPgN!AT19,NPgY!AT19,WMID!AT19,EMID!AT19,SWALES!AT19,SWEST!AT19,LPN!AT19,SPN!AT19,EPN!AT19,SPD!AT19,SPMW!AT19,SSEH!AT19,SSES!AT19)</f>
        <v>8.94</v>
      </c>
      <c r="AU19" s="528">
        <f>CHOOSE($B$3,ENWL!AU19,NPgN!AU19,NPgY!AU19,WMID!AU19,EMID!AU19,SWALES!AU19,SWEST!AU19,LPN!AU19,SPN!AU19,EPN!AU19,SPD!AU19,SPMW!AU19,SSEH!AU19,SSES!AU19)</f>
        <v>8.93</v>
      </c>
      <c r="AV19" s="528">
        <f>CHOOSE($B$3,ENWL!AV19,NPgN!AV19,NPgY!AV19,WMID!AV19,EMID!AV19,SWALES!AV19,SWEST!AV19,LPN!AV19,SPN!AV19,EPN!AV19,SPD!AV19,SPMW!AV19,SSEH!AV19,SSES!AV19)</f>
        <v>8.6999999999999993</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16.53</v>
      </c>
      <c r="AS20" s="528">
        <f>CHOOSE($B$3,ENWL!AS20,NPgN!AS20,NPgY!AS20,WMID!AS20,EMID!AS20,SWALES!AS20,SWEST!AS20,LPN!AS20,SPN!AS20,EPN!AS20,SPD!AS20,SPMW!AS20,SSEH!AS20,SSES!AS20)</f>
        <v>16.350000000000001</v>
      </c>
      <c r="AT20" s="528">
        <f>CHOOSE($B$3,ENWL!AT20,NPgN!AT20,NPgY!AT20,WMID!AT20,EMID!AT20,SWALES!AT20,SWEST!AT20,LPN!AT20,SPN!AT20,EPN!AT20,SPD!AT20,SPMW!AT20,SSEH!AT20,SSES!AT20)</f>
        <v>15.6</v>
      </c>
      <c r="AU20" s="528">
        <f>CHOOSE($B$3,ENWL!AU20,NPgN!AU20,NPgY!AU20,WMID!AU20,EMID!AU20,SWALES!AU20,SWEST!AU20,LPN!AU20,SPN!AU20,EPN!AU20,SPD!AU20,SPMW!AU20,SSEH!AU20,SSES!AU20)</f>
        <v>15.51</v>
      </c>
      <c r="AV20" s="528">
        <f>CHOOSE($B$3,ENWL!AV20,NPgN!AV20,NPgY!AV20,WMID!AV20,EMID!AV20,SWALES!AV20,SWEST!AV20,LPN!AV20,SPN!AV20,EPN!AV20,SPD!AV20,SPMW!AV20,SSEH!AV20,SSES!AV20)</f>
        <v>15.19</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107.79</v>
      </c>
      <c r="AS21" s="528">
        <f>CHOOSE($B$3,ENWL!AS21,NPgN!AS21,NPgY!AS21,WMID!AS21,EMID!AS21,SWALES!AS21,SWEST!AS21,LPN!AS21,SPN!AS21,EPN!AS21,SPD!AS21,SPMW!AS21,SSEH!AS21,SSES!AS21)</f>
        <v>106.3</v>
      </c>
      <c r="AT21" s="528">
        <f>CHOOSE($B$3,ENWL!AT21,NPgN!AT21,NPgY!AT21,WMID!AT21,EMID!AT21,SWALES!AT21,SWEST!AT21,LPN!AT21,SPN!AT21,EPN!AT21,SPD!AT21,SPMW!AT21,SSEH!AT21,SSES!AT21)</f>
        <v>101.9</v>
      </c>
      <c r="AU21" s="528">
        <f>CHOOSE($B$3,ENWL!AU21,NPgN!AU21,NPgY!AU21,WMID!AU21,EMID!AU21,SWALES!AU21,SWEST!AU21,LPN!AU21,SPN!AU21,EPN!AU21,SPD!AU21,SPMW!AU21,SSEH!AU21,SSES!AU21)</f>
        <v>102.69</v>
      </c>
      <c r="AV21" s="528">
        <f>CHOOSE($B$3,ENWL!AV21,NPgN!AV21,NPgY!AV21,WMID!AV21,EMID!AV21,SWALES!AV21,SWEST!AV21,LPN!AV21,SPN!AV21,EPN!AV21,SPD!AV21,SPMW!AV21,SSEH!AV21,SSES!AV21)</f>
        <v>101.84</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-16.353743806372041</v>
      </c>
      <c r="AS24" s="207">
        <f>CHOOSE($B$3,ENWL!AS24,NPgN!AS24,NPgY!AS24,WMID!AS24,EMID!AS24,SWALES!AS24,SWEST!AS24,LPN!AS24,SPN!AS24,EPN!AS24,SPD!AS24,SPMW!AS24,SSEH!AS24,SSES!AS24)</f>
        <v>-13.629730195084807</v>
      </c>
      <c r="AT24" s="207">
        <f>CHOOSE($B$3,ENWL!AT24,NPgN!AT24,NPgY!AT24,WMID!AT24,EMID!AT24,SWALES!AT24,SWEST!AT24,LPN!AT24,SPN!AT24,EPN!AT24,SPD!AT24,SPMW!AT24,SSEH!AT24,SSES!AT24)</f>
        <v>-9.691499185780323</v>
      </c>
      <c r="AU24" s="207">
        <f>CHOOSE($B$3,ENWL!AU24,NPgN!AU24,NPgY!AU24,WMID!AU24,EMID!AU24,SWALES!AU24,SWEST!AU24,LPN!AU24,SPN!AU24,EPN!AU24,SPD!AU24,SPMW!AU24,SSEH!AU24,SSES!AU24)</f>
        <v>-6.3936569101658272</v>
      </c>
      <c r="AV24" s="207">
        <f>CHOOSE($B$3,ENWL!AV24,NPgN!AV24,NPgY!AV24,WMID!AV24,EMID!AV24,SWALES!AV24,SWEST!AV24,LPN!AV24,SPN!AV24,EPN!AV24,SPD!AV24,SPMW!AV24,SSEH!AV24,SSES!AV24)</f>
        <v>-3.4324583201514915</v>
      </c>
      <c r="AW24" s="184"/>
      <c r="AX24" s="258"/>
    </row>
    <row r="25" spans="1:50" ht="15">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-0.51327238821612908</v>
      </c>
      <c r="AS25" s="207">
        <f>CHOOSE($B$3,ENWL!AS25,NPgN!AS25,NPgY!AS25,WMID!AS25,EMID!AS25,SWALES!AS25,SWEST!AS25,LPN!AS25,SPN!AS25,EPN!AS25,SPD!AS25,SPMW!AS25,SSEH!AS25,SSES!AS25)</f>
        <v>-0.48067864782745201</v>
      </c>
      <c r="AT25" s="207">
        <f>CHOOSE($B$3,ENWL!AT25,NPgN!AT25,NPgY!AT25,WMID!AT25,EMID!AT25,SWALES!AT25,SWEST!AT25,LPN!AT25,SPN!AT25,EPN!AT25,SPD!AT25,SPMW!AT25,SSEH!AT25,SSES!AT25)</f>
        <v>-0.47459129093457303</v>
      </c>
      <c r="AU25" s="207">
        <f>CHOOSE($B$3,ENWL!AU25,NPgN!AU25,NPgY!AU25,WMID!AU25,EMID!AU25,SWALES!AU25,SWEST!AU25,LPN!AU25,SPN!AU25,EPN!AU25,SPD!AU25,SPMW!AU25,SSEH!AU25,SSES!AU25)</f>
        <v>-0.34645371949343501</v>
      </c>
      <c r="AV25" s="207">
        <f>CHOOSE($B$3,ENWL!AV25,NPgN!AV25,NPgY!AV25,WMID!AV25,EMID!AV25,SWALES!AV25,SWEST!AV25,LPN!AV25,SPN!AV25,EPN!AV25,SPD!AV25,SPMW!AV25,SSEH!AV25,SSES!AV25)</f>
        <v>-0.22558880435029777</v>
      </c>
      <c r="AW25" s="184"/>
      <c r="AX25" s="258"/>
    </row>
    <row r="26" spans="1:50" ht="15">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3.8655538925684733E-2</v>
      </c>
      <c r="AS26" s="476">
        <f>CHOOSE($B$3,ENWL!AS26,NPgN!AS26,NPgY!AS26,WMID!AS26,EMID!AS26,SWALES!AS26,SWEST!AS26,LPN!AS26,SPN!AS26,EPN!AS26,SPD!AS26,SPMW!AS26,SSEH!AS26,SSES!AS26)</f>
        <v>1.4992886198223188</v>
      </c>
      <c r="AT26" s="476">
        <f>CHOOSE($B$3,ENWL!AT26,NPgN!AT26,NPgY!AT26,WMID!AT26,EMID!AT26,SWALES!AT26,SWEST!AT26,LPN!AT26,SPN!AT26,EPN!AT26,SPD!AT26,SPMW!AT26,SSEH!AT26,SSES!AT26)</f>
        <v>1.3656189238554943</v>
      </c>
      <c r="AU26" s="476">
        <f>CHOOSE($B$3,ENWL!AU26,NPgN!AU26,NPgY!AU26,WMID!AU26,EMID!AU26,SWALES!AU26,SWEST!AU26,LPN!AU26,SPN!AU26,EPN!AU26,SPD!AU26,SPMW!AU26,SSEH!AU26,SSES!AU26)</f>
        <v>1.1279670457958948</v>
      </c>
      <c r="AV26" s="476">
        <f>CHOOSE($B$3,ENWL!AV26,NPgN!AV26,NPgY!AV26,WMID!AV26,EMID!AV26,SWALES!AV26,SWEST!AV26,LPN!AV26,SPN!AV26,EPN!AV26,SPD!AV26,SPMW!AV26,SSEH!AV26,SSES!AV26)</f>
        <v>0.66257481221003711</v>
      </c>
      <c r="AW26" s="184"/>
      <c r="AX26" s="258"/>
    </row>
    <row r="27" spans="1:50" ht="15">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5">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5">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5">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5">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5">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5">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42.9</v>
      </c>
      <c r="AS33" s="476">
        <f>CHOOSE($B$3,ENWL!AS33,NPgN!AS33,NPgY!AS33,WMID!AS33,EMID!AS33,SWALES!AS33,SWEST!AS33,LPN!AS33,SPN!AS33,EPN!AS33,SPD!AS33,SPMW!AS33,SSEH!AS33,SSES!AS33)</f>
        <v>41.76</v>
      </c>
      <c r="AT33" s="476">
        <f>CHOOSE($B$3,ENWL!AT33,NPgN!AT33,NPgY!AT33,WMID!AT33,EMID!AT33,SWALES!AT33,SWEST!AT33,LPN!AT33,SPN!AT33,EPN!AT33,SPD!AT33,SPMW!AT33,SSEH!AT33,SSES!AT33)</f>
        <v>42.94</v>
      </c>
      <c r="AU33" s="476">
        <f>CHOOSE($B$3,ENWL!AU33,NPgN!AU33,NPgY!AU33,WMID!AU33,EMID!AU33,SWALES!AU33,SWEST!AU33,LPN!AU33,SPN!AU33,EPN!AU33,SPD!AU33,SPMW!AU33,SSEH!AU33,SSES!AU33)</f>
        <v>44.44</v>
      </c>
      <c r="AV33" s="476">
        <f>CHOOSE($B$3,ENWL!AV33,NPgN!AV33,NPgY!AV33,WMID!AV33,EMID!AV33,SWALES!AV33,SWEST!AV33,LPN!AV33,SPN!AV33,EPN!AV33,SPD!AV33,SPMW!AV33,SSEH!AV33,SSES!AV33)</f>
        <v>38.17</v>
      </c>
      <c r="AW33" s="184"/>
      <c r="AX33" s="258"/>
    </row>
    <row r="34" spans="1:50" ht="15">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8.5455724383941298</v>
      </c>
      <c r="AS34" s="476">
        <f>CHOOSE($B$3,ENWL!AS34,NPgN!AS34,NPgY!AS34,WMID!AS34,EMID!AS34,SWALES!AS34,SWEST!AS34,LPN!AS34,SPN!AS34,EPN!AS34,SPD!AS34,SPMW!AS34,SSEH!AS34,SSES!AS34)</f>
        <v>9.84027912844196</v>
      </c>
      <c r="AT34" s="476">
        <f>CHOOSE($B$3,ENWL!AT34,NPgN!AT34,NPgY!AT34,WMID!AT34,EMID!AT34,SWALES!AT34,SWEST!AT34,LPN!AT34,SPN!AT34,EPN!AT34,SPD!AT34,SPMW!AT34,SSEH!AT34,SSES!AT34)</f>
        <v>11.705443284265716</v>
      </c>
      <c r="AU34" s="476">
        <f>CHOOSE($B$3,ENWL!AU34,NPgN!AU34,NPgY!AU34,WMID!AU34,EMID!AU34,SWALES!AU34,SWEST!AU34,LPN!AU34,SPN!AU34,EPN!AU34,SPD!AU34,SPMW!AU34,SSEH!AU34,SSES!AU34)</f>
        <v>13.072761555908192</v>
      </c>
      <c r="AV34" s="476">
        <f>CHOOSE($B$3,ENWL!AV34,NPgN!AV34,NPgY!AV34,WMID!AV34,EMID!AV34,SWALES!AV34,SWEST!AV34,LPN!AV34,SPN!AV34,EPN!AV34,SPD!AV34,SPMW!AV34,SSEH!AV34,SSES!AV34)</f>
        <v>14.898174180936619</v>
      </c>
      <c r="AW34" s="184"/>
      <c r="AX34" s="258"/>
    </row>
    <row r="35" spans="1:50" ht="15">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1.3710002841727427</v>
      </c>
      <c r="AS35" s="476">
        <f>CHOOSE($B$3,ENWL!AS35,NPgN!AS35,NPgY!AS35,WMID!AS35,EMID!AS35,SWALES!AS35,SWEST!AS35,LPN!AS35,SPN!AS35,EPN!AS35,SPD!AS35,SPMW!AS35,SSEH!AS35,SSES!AS35)</f>
        <v>1.6297545641704736</v>
      </c>
      <c r="AT35" s="476">
        <f>CHOOSE($B$3,ENWL!AT35,NPgN!AT35,NPgY!AT35,WMID!AT35,EMID!AT35,SWALES!AT35,SWEST!AT35,LPN!AT35,SPN!AT35,EPN!AT35,SPD!AT35,SPMW!AT35,SSEH!AT35,SSES!AT35)</f>
        <v>3.366001141639718</v>
      </c>
      <c r="AU35" s="476">
        <f>CHOOSE($B$3,ENWL!AU35,NPgN!AU35,NPgY!AU35,WMID!AU35,EMID!AU35,SWALES!AU35,SWEST!AU35,LPN!AU35,SPN!AU35,EPN!AU35,SPD!AU35,SPMW!AU35,SSEH!AU35,SSES!AU35)</f>
        <v>4.0784126764400792</v>
      </c>
      <c r="AV35" s="476">
        <f>CHOOSE($B$3,ENWL!AV35,NPgN!AV35,NPgY!AV35,WMID!AV35,EMID!AV35,SWALES!AV35,SWEST!AV35,LPN!AV35,SPN!AV35,EPN!AV35,SPD!AV35,SPMW!AV35,SSEH!AV35,SSES!AV35)</f>
        <v>4.5491365389165441</v>
      </c>
      <c r="AW35" s="184"/>
      <c r="AX35" s="258"/>
    </row>
    <row r="36" spans="1:50" ht="15">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0</v>
      </c>
      <c r="AW36" s="184"/>
    </row>
    <row r="37" spans="1:50" ht="15">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5">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1.050786</v>
      </c>
      <c r="AS38" s="476">
        <f>CHOOSE($B$3,ENWL!AS38,NPgN!AS38,NPgY!AS38,WMID!AS38,EMID!AS38,SWALES!AS38,SWEST!AS38,LPN!AS38,SPN!AS38,EPN!AS38,SPD!AS38,SPMW!AS38,SSEH!AS38,SSES!AS38)</f>
        <v>0.66831600000000002</v>
      </c>
      <c r="AT38" s="476">
        <f>CHOOSE($B$3,ENWL!AT38,NPgN!AT38,NPgY!AT38,WMID!AT38,EMID!AT38,SWALES!AT38,SWEST!AT38,LPN!AT38,SPN!AT38,EPN!AT38,SPD!AT38,SPMW!AT38,SSEH!AT38,SSES!AT38)</f>
        <v>0.80117400000000005</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5">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3.5763852270955049E-2</v>
      </c>
      <c r="AS39" s="476">
        <f>CHOOSE($B$3,ENWL!AS39,NPgN!AS39,NPgY!AS39,WMID!AS39,EMID!AS39,SWALES!AS39,SWEST!AS39,LPN!AS39,SPN!AS39,EPN!AS39,SPD!AS39,SPMW!AS39,SSEH!AS39,SSES!AS39)</f>
        <v>4.6149449365236787E-2</v>
      </c>
      <c r="AT39" s="476">
        <f>CHOOSE($B$3,ENWL!AT39,NPgN!AT39,NPgY!AT39,WMID!AT39,EMID!AT39,SWALES!AT39,SWEST!AT39,LPN!AT39,SPN!AT39,EPN!AT39,SPD!AT39,SPMW!AT39,SSEH!AT39,SSES!AT39)</f>
        <v>0.3791265634310545</v>
      </c>
      <c r="AU39" s="476">
        <f>CHOOSE($B$3,ENWL!AU39,NPgN!AU39,NPgY!AU39,WMID!AU39,EMID!AU39,SWALES!AU39,SWEST!AU39,LPN!AU39,SPN!AU39,EPN!AU39,SPD!AU39,SPMW!AU39,SSEH!AU39,SSES!AU39)</f>
        <v>1.2471902633674836</v>
      </c>
      <c r="AV39" s="476">
        <f>CHOOSE($B$3,ENWL!AV39,NPgN!AV39,NPgY!AV39,WMID!AV39,EMID!AV39,SWALES!AV39,SWEST!AV39,LPN!AV39,SPN!AV39,EPN!AV39,SPD!AV39,SPMW!AV39,SSEH!AV39,SSES!AV39)</f>
        <v>1.2471902633674836</v>
      </c>
      <c r="AW39" s="184"/>
    </row>
    <row r="40" spans="1:50" ht="15">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3.1034621653496659</v>
      </c>
      <c r="AS40" s="476">
        <f>CHOOSE($B$3,ENWL!AS40,NPgN!AS40,NPgY!AS40,WMID!AS40,EMID!AS40,SWALES!AS40,SWEST!AS40,LPN!AS40,SPN!AS40,EPN!AS40,SPD!AS40,SPMW!AS40,SSEH!AS40,SSES!AS40)</f>
        <v>2.0089245467286276</v>
      </c>
      <c r="AT40" s="476">
        <f>CHOOSE($B$3,ENWL!AT40,NPgN!AT40,NPgY!AT40,WMID!AT40,EMID!AT40,SWALES!AT40,SWEST!AT40,LPN!AT40,SPN!AT40,EPN!AT40,SPD!AT40,SPMW!AT40,SSEH!AT40,SSES!AT40)</f>
        <v>1.1151059525955953</v>
      </c>
      <c r="AU40" s="476">
        <f>CHOOSE($B$3,ENWL!AU40,NPgN!AU40,NPgY!AU40,WMID!AU40,EMID!AU40,SWALES!AU40,SWEST!AU40,LPN!AU40,SPN!AU40,EPN!AU40,SPD!AU40,SPMW!AU40,SSEH!AU40,SSES!AU40)</f>
        <v>1.039571798592406</v>
      </c>
      <c r="AV40" s="476">
        <f>CHOOSE($B$3,ENWL!AV40,NPgN!AV40,NPgY!AV40,WMID!AV40,EMID!AV40,SWALES!AV40,SWEST!AV40,LPN!AV40,SPN!AV40,EPN!AV40,SPD!AV40,SPMW!AV40,SSEH!AV40,SSES!AV40)</f>
        <v>0.97015893185033941</v>
      </c>
      <c r="AW40" s="184"/>
    </row>
    <row r="41" spans="1:50" ht="15">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1.4002319597997397</v>
      </c>
      <c r="AS41" s="476">
        <f>CHOOSE($B$3,ENWL!AS41,NPgN!AS41,NPgY!AS41,WMID!AS41,EMID!AS41,SWALES!AS41,SWEST!AS41,LPN!AS41,SPN!AS41,EPN!AS41,SPD!AS41,SPMW!AS41,SSEH!AS41,SSES!AS41)</f>
        <v>1.8389639218214433</v>
      </c>
      <c r="AT41" s="476">
        <f>CHOOSE($B$3,ENWL!AT41,NPgN!AT41,NPgY!AT41,WMID!AT41,EMID!AT41,SWALES!AT41,SWEST!AT41,LPN!AT41,SPN!AT41,EPN!AT41,SPD!AT41,SPMW!AT41,SSEH!AT41,SSES!AT41)</f>
        <v>2.2725562583236494</v>
      </c>
      <c r="AU41" s="476">
        <f>CHOOSE($B$3,ENWL!AU41,NPgN!AU41,NPgY!AU41,WMID!AU41,EMID!AU41,SWALES!AU41,SWEST!AU41,LPN!AU41,SPN!AU41,EPN!AU41,SPD!AU41,SPMW!AU41,SSEH!AU41,SSES!AU41)</f>
        <v>0.72826287597536055</v>
      </c>
      <c r="AV41" s="476">
        <f>CHOOSE($B$3,ENWL!AV41,NPgN!AV41,NPgY!AV41,WMID!AV41,EMID!AV41,SWALES!AV41,SWEST!AV41,LPN!AV41,SPN!AV41,EPN!AV41,SPD!AV41,SPMW!AV41,SSEH!AV41,SSES!AV41)</f>
        <v>1.0850554295494679</v>
      </c>
      <c r="AW41" s="184"/>
    </row>
    <row r="42" spans="1:50" ht="15">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2.8485093021936952E-2</v>
      </c>
      <c r="AS42" s="476">
        <f>CHOOSE($B$3,ENWL!AS42,NPgN!AS42,NPgY!AS42,WMID!AS42,EMID!AS42,SWALES!AS42,SWEST!AS42,LPN!AS42,SPN!AS42,EPN!AS42,SPD!AS42,SPMW!AS42,SSEH!AS42,SSES!AS42)</f>
        <v>2.439246106030641E-2</v>
      </c>
      <c r="AT42" s="476">
        <f>CHOOSE($B$3,ENWL!AT42,NPgN!AT42,NPgY!AT42,WMID!AT42,EMID!AT42,SWALES!AT42,SWEST!AT42,LPN!AT42,SPN!AT42,EPN!AT42,SPD!AT42,SPMW!AT42,SSEH!AT42,SSES!AT42)</f>
        <v>5.1359657250937468E-2</v>
      </c>
      <c r="AU42" s="476">
        <f>CHOOSE($B$3,ENWL!AU42,NPgN!AU42,NPgY!AU42,WMID!AU42,EMID!AU42,SWALES!AU42,SWEST!AU42,LPN!AU42,SPN!AU42,EPN!AU42,SPD!AU42,SPMW!AU42,SSEH!AU42,SSES!AU42)</f>
        <v>5.0846060678428097E-2</v>
      </c>
      <c r="AV42" s="476">
        <f>CHOOSE($B$3,ENWL!AV42,NPgN!AV42,NPgY!AV42,WMID!AV42,EMID!AV42,SWALES!AV42,SWEST!AV42,LPN!AV42,SPN!AV42,EPN!AV42,SPD!AV42,SPMW!AV42,SSEH!AV42,SSES!AV42)</f>
        <v>5.108698320457896E-2</v>
      </c>
      <c r="AW42" s="184"/>
    </row>
    <row r="43" spans="1:50" ht="15">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5">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5">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5">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5">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5">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5">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5">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0</v>
      </c>
      <c r="AS50" s="476">
        <f>CHOOSE($B$3,ENWL!AS50,NPgN!AS50,NPgY!AS50,WMID!AS50,EMID!AS50,SWALES!AS50,SWEST!AS50,LPN!AS50,SPN!AS50,EPN!AS50,SPD!AS50,SPMW!AS50,SSEH!AS50,SSES!AS50)</f>
        <v>0</v>
      </c>
      <c r="AT50" s="476">
        <f>CHOOSE($B$3,ENWL!AT50,NPgN!AT50,NPgY!AT50,WMID!AT50,EMID!AT50,SWALES!AT50,SWEST!AT50,LPN!AT50,SPN!AT50,EPN!AT50,SPD!AT50,SPMW!AT50,SSEH!AT50,SSES!AT50)</f>
        <v>0</v>
      </c>
      <c r="AU50" s="476">
        <f>CHOOSE($B$3,ENWL!AU50,NPgN!AU50,NPgY!AU50,WMID!AU50,EMID!AU50,SWALES!AU50,SWEST!AU50,LPN!AU50,SPN!AU50,EPN!AU50,SPD!AU50,SPMW!AU50,SSEH!AU50,SSES!AU50)</f>
        <v>6.1382006607393597E-2</v>
      </c>
      <c r="AV50" s="476">
        <f>CHOOSE($B$3,ENWL!AV50,NPgN!AV50,NPgY!AV50,WMID!AV50,EMID!AV50,SWALES!AV50,SWEST!AV50,LPN!AV50,SPN!AV50,EPN!AV50,SPD!AV50,SPMW!AV50,SSEH!AV50,SSES!AV50)</f>
        <v>3.8617993392606409E-2</v>
      </c>
      <c r="AW50" s="184"/>
    </row>
    <row r="51" spans="1:49" ht="15">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5">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4.8355080562754909</v>
      </c>
      <c r="AS52" s="476">
        <f>CHOOSE($B$3,ENWL!AS52,NPgN!AS52,NPgY!AS52,WMID!AS52,EMID!AS52,SWALES!AS52,SWEST!AS52,LPN!AS52,SPN!AS52,EPN!AS52,SPD!AS52,SPMW!AS52,SSEH!AS52,SSES!AS52)</f>
        <v>3.7561813897566596</v>
      </c>
      <c r="AT52" s="476">
        <f>CHOOSE($B$3,ENWL!AT52,NPgN!AT52,NPgY!AT52,WMID!AT52,EMID!AT52,SWALES!AT52,SWEST!AT52,LPN!AT52,SPN!AT52,EPN!AT52,SPD!AT52,SPMW!AT52,SSEH!AT52,SSES!AT52)</f>
        <v>3.4953015985853675</v>
      </c>
      <c r="AU52" s="476">
        <f>CHOOSE($B$3,ENWL!AU52,NPgN!AU52,NPgY!AU52,WMID!AU52,EMID!AU52,SWALES!AU52,SWEST!AU52,LPN!AU52,SPN!AU52,EPN!AU52,SPD!AU52,SPMW!AU52,SSEH!AU52,SSES!AU52)</f>
        <v>2.4980970214981175</v>
      </c>
      <c r="AV52" s="476">
        <f>CHOOSE($B$3,ENWL!AV52,NPgN!AV52,NPgY!AV52,WMID!AV52,EMID!AV52,SWALES!AV52,SWEST!AV52,LPN!AV52,SPN!AV52,EPN!AV52,SPD!AV52,SPMW!AV52,SSEH!AV52,SSES!AV52)</f>
        <v>2.3814203915527199</v>
      </c>
      <c r="AW52" s="184"/>
    </row>
    <row r="53" spans="1:49" ht="15">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5">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1.0709898540372222</v>
      </c>
      <c r="AS54" s="476">
        <f>CHOOSE($B$3,ENWL!AS54,NPgN!AS54,NPgY!AS54,WMID!AS54,EMID!AS54,SWALES!AS54,SWEST!AS54,LPN!AS54,SPN!AS54,EPN!AS54,SPD!AS54,SPMW!AS54,SSEH!AS54,SSES!AS54)</f>
        <v>1.2387636388021428</v>
      </c>
      <c r="AT54" s="476">
        <f>CHOOSE($B$3,ENWL!AT54,NPgN!AT54,NPgY!AT54,WMID!AT54,EMID!AT54,SWALES!AT54,SWEST!AT54,LPN!AT54,SPN!AT54,EPN!AT54,SPD!AT54,SPMW!AT54,SSEH!AT54,SSES!AT54)</f>
        <v>1.6277159979977869</v>
      </c>
      <c r="AU54" s="476">
        <f>CHOOSE($B$3,ENWL!AU54,NPgN!AU54,NPgY!AU54,WMID!AU54,EMID!AU54,SWALES!AU54,SWEST!AU54,LPN!AU54,SPN!AU54,EPN!AU54,SPD!AU54,SPMW!AU54,SSEH!AU54,SSES!AU54)</f>
        <v>1.8523268170936134</v>
      </c>
      <c r="AV54" s="476">
        <f>CHOOSE($B$3,ENWL!AV54,NPgN!AV54,NPgY!AV54,WMID!AV54,EMID!AV54,SWALES!AV54,SWEST!AV54,LPN!AV54,SPN!AV54,EPN!AV54,SPD!AV54,SPMW!AV54,SSEH!AV54,SSES!AV54)</f>
        <v>2.1003095577441417</v>
      </c>
      <c r="AW54" s="184"/>
    </row>
    <row r="55" spans="1:49" ht="15">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5">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0.28999999999999998</v>
      </c>
      <c r="AS56" s="476">
        <f>CHOOSE($B$3,ENWL!AS56,NPgN!AS56,NPgY!AS56,WMID!AS56,EMID!AS56,SWALES!AS56,SWEST!AS56,LPN!AS56,SPN!AS56,EPN!AS56,SPD!AS56,SPMW!AS56,SSEH!AS56,SSES!AS56)</f>
        <v>0.99</v>
      </c>
      <c r="AT56" s="476">
        <f>CHOOSE($B$3,ENWL!AT56,NPgN!AT56,NPgY!AT56,WMID!AT56,EMID!AT56,SWALES!AT56,SWEST!AT56,LPN!AT56,SPN!AT56,EPN!AT56,SPD!AT56,SPMW!AT56,SSEH!AT56,SSES!AT56)</f>
        <v>2.56</v>
      </c>
      <c r="AU56" s="476">
        <f>CHOOSE($B$3,ENWL!AU56,NPgN!AU56,NPgY!AU56,WMID!AU56,EMID!AU56,SWALES!AU56,SWEST!AU56,LPN!AU56,SPN!AU56,EPN!AU56,SPD!AU56,SPMW!AU56,SSEH!AU56,SSES!AU56)</f>
        <v>0.34</v>
      </c>
      <c r="AV56" s="476">
        <f>CHOOSE($B$3,ENWL!AV56,NPgN!AV56,NPgY!AV56,WMID!AV56,EMID!AV56,SWALES!AV56,SWEST!AV56,LPN!AV56,SPN!AV56,EPN!AV56,SPD!AV56,SPMW!AV56,SSEH!AV56,SSES!AV56)</f>
        <v>0</v>
      </c>
      <c r="AW56" s="184"/>
    </row>
    <row r="57" spans="1:49" ht="15">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5">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0.12430966</v>
      </c>
      <c r="AT58" s="476">
        <f>CHOOSE($B$3,ENWL!AT58,NPgN!AT58,NPgY!AT58,WMID!AT58,EMID!AT58,SWALES!AT58,SWEST!AT58,LPN!AT58,SPN!AT58,EPN!AT58,SPD!AT58,SPMW!AT58,SSEH!AT58,SSES!AT58)</f>
        <v>0.98808162392144649</v>
      </c>
      <c r="AU58" s="476">
        <f>CHOOSE($B$3,ENWL!AU58,NPgN!AU58,NPgY!AU58,WMID!AU58,EMID!AU58,SWALES!AU58,SWEST!AU58,LPN!AU58,SPN!AU58,EPN!AU58,SPD!AU58,SPMW!AU58,SSEH!AU58,SSES!AU58)</f>
        <v>0.98808162392144649</v>
      </c>
      <c r="AV58" s="476">
        <f>CHOOSE($B$3,ENWL!AV58,NPgN!AV58,NPgY!AV58,WMID!AV58,EMID!AV58,SWALES!AV58,SWEST!AV58,LPN!AV58,SPN!AV58,EPN!AV58,SPD!AV58,SPMW!AV58,SSEH!AV58,SSES!AV58)</f>
        <v>1.0550725552316882</v>
      </c>
      <c r="AW58" s="184"/>
    </row>
    <row r="59" spans="1:49" ht="15">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5">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5">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5">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5">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5">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5">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5">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5">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5">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5">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5">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5">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75">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5">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0.13193072357727217</v>
      </c>
      <c r="AP74" s="263">
        <f>CHOOSE($B$3,ENWL!AP74,NPgN!AP74,NPgY!AP74,WMID!AP74,EMID!AP74,SWALES!AP74,SWEST!AP74,LPN!AP74,SPN!AP74,EPN!AP74,SPD!AP74,SPMW!AP74,SSEH!AP74,SSES!AP74)</f>
        <v>0.25948768019910678</v>
      </c>
      <c r="AQ74" s="494">
        <f>CHOOSE($B$3,ENWL!AQ74,NPgN!AQ74,NPgY!AQ74,WMID!AQ74,EMID!AQ74,SWALES!AQ74,SWEST!AQ74,LPN!AQ74,SPN!AQ74,EPN!AQ74,SPD!AQ74,SPMW!AQ74,SSEH!AQ74,SSES!AQ74)</f>
        <v>0.10697462484376781</v>
      </c>
      <c r="AR74" s="263">
        <f>CHOOSE($B$3,ENWL!AR74,NPgN!AR74,NPgY!AR74,WMID!AR74,EMID!AR74,SWALES!AR74,SWEST!AR74,LPN!AR74,SPN!AR74,EPN!AR74,SPD!AR74,SPMW!AR74,SSEH!AR74,SSES!AR74)</f>
        <v>9.4867189292905302E-2</v>
      </c>
      <c r="AS74" s="263">
        <f>CHOOSE($B$3,ENWL!AS74,NPgN!AS74,NPgY!AS74,WMID!AS74,EMID!AS74,SWALES!AS74,SWEST!AS74,LPN!AS74,SPN!AS74,EPN!AS74,SPD!AS74,SPMW!AS74,SSEH!AS74,SSES!AS74)</f>
        <v>2.8457089630118827E-2</v>
      </c>
      <c r="AT74" s="263">
        <f>CHOOSE($B$3,ENWL!AT74,NPgN!AT74,NPgY!AT74,WMID!AT74,EMID!AT74,SWALES!AT74,SWEST!AT74,LPN!AT74,SPN!AT74,EPN!AT74,SPD!AT74,SPMW!AT74,SSEH!AT74,SSES!AT74)</f>
        <v>4.8571510172727074E-2</v>
      </c>
      <c r="AU74" s="263">
        <f>CHOOSE($B$3,ENWL!AU74,NPgN!AU74,NPgY!AU74,WMID!AU74,EMID!AU74,SWALES!AU74,SWEST!AU74,LPN!AU74,SPN!AU74,EPN!AU74,SPD!AU74,SPMW!AU74,SSEH!AU74,SSES!AU74)</f>
        <v>0.32971118228410196</v>
      </c>
      <c r="AV74" s="263"/>
      <c r="AW74" s="184"/>
    </row>
    <row r="75" spans="1:49" ht="15">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0.96665278753894346</v>
      </c>
      <c r="AP75" s="263">
        <f>CHOOSE($B$3,ENWL!AP75,NPgN!AP75,NPgY!AP75,WMID!AP75,EMID!AP75,SWALES!AP75,SWEST!AP75,LPN!AP75,SPN!AP75,EPN!AP75,SPD!AP75,SPMW!AP75,SSEH!AP75,SSES!AP75)</f>
        <v>3.3347212461056576E-2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5">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5">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5">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5">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5">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5">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5">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5">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5">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5">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5">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5">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5">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5">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5">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5">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5">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5">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5">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5">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5">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5">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5">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5">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5">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5">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5">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5">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5">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5">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5">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5">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5">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5">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5">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5">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5">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5">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5">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5">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5">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5">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5">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5">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5">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5">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31.236637819878418</v>
      </c>
      <c r="AS126" s="476">
        <f>CHOOSE($B$3,ENWL!AS126,NPgN!AS126,NPgY!AS126,WMID!AS126,EMID!AS126,SWALES!AS126,SWEST!AS126,LPN!AS126,SPN!AS126,EPN!AS126,SPD!AS126,SPMW!AS126,SSEH!AS126,SSES!AS126)</f>
        <v>29.635922015249285</v>
      </c>
      <c r="AT126" s="476">
        <f>CHOOSE($B$3,ENWL!AT126,NPgN!AT126,NPgY!AT126,WMID!AT126,EMID!AT126,SWALES!AT126,SWEST!AT126,LPN!AT126,SPN!AT126,EPN!AT126,SPD!AT126,SPMW!AT126,SSEH!AT126,SSES!AT126)</f>
        <v>36.587630807426294</v>
      </c>
      <c r="AU126" s="476">
        <f>CHOOSE($B$3,ENWL!AU126,NPgN!AU126,NPgY!AU126,WMID!AU126,EMID!AU126,SWALES!AU126,SWEST!AU126,LPN!AU126,SPN!AU126,EPN!AU126,SPD!AU126,SPMW!AU126,SSEH!AU126,SSES!AU126)</f>
        <v>56.69662204742685</v>
      </c>
      <c r="AV126" s="476">
        <f>CHOOSE($B$3,ENWL!AV126,NPgN!AV126,NPgY!AV126,WMID!AV126,EMID!AV126,SWALES!AV126,SWEST!AV126,LPN!AV126,SPN!AV126,EPN!AV126,SPD!AV126,SPMW!AV126,SSEH!AV126,SSES!AV126)</f>
        <v>51.664853729825033</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72.335022153224955</v>
      </c>
      <c r="AS127" s="476">
        <f>CHOOSE($B$3,ENWL!AS127,NPgN!AS127,NPgY!AS127,WMID!AS127,EMID!AS127,SWALES!AS127,SWEST!AS127,LPN!AS127,SPN!AS127,EPN!AS127,SPD!AS127,SPMW!AS127,SSEH!AS127,SSES!AS127)</f>
        <v>85.543382757655152</v>
      </c>
      <c r="AT127" s="476">
        <f>CHOOSE($B$3,ENWL!AT127,NPgN!AT127,NPgY!AT127,WMID!AT127,EMID!AT127,SWALES!AT127,SWEST!AT127,LPN!AT127,SPN!AT127,EPN!AT127,SPD!AT127,SPMW!AT127,SSEH!AT127,SSES!AT127)</f>
        <v>87.616010802072608</v>
      </c>
      <c r="AU127" s="476">
        <f>CHOOSE($B$3,ENWL!AU127,NPgN!AU127,NPgY!AU127,WMID!AU127,EMID!AU127,SWALES!AU127,SWEST!AU127,LPN!AU127,SPN!AU127,EPN!AU127,SPD!AU127,SPMW!AU127,SSEH!AU127,SSES!AU127)</f>
        <v>71.60824308700802</v>
      </c>
      <c r="AV127" s="476">
        <f>CHOOSE($B$3,ENWL!AV127,NPgN!AV127,NPgY!AV127,WMID!AV127,EMID!AV127,SWALES!AV127,SWEST!AV127,LPN!AV127,SPN!AV127,EPN!AV127,SPD!AV127,SPMW!AV127,SSEH!AV127,SSES!AV127)</f>
        <v>54.950773498392557</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19.88546090503149</v>
      </c>
      <c r="AS128" s="476">
        <f>CHOOSE($B$3,ENWL!AS128,NPgN!AS128,NPgY!AS128,WMID!AS128,EMID!AS128,SWALES!AS128,SWEST!AS128,LPN!AS128,SPN!AS128,EPN!AS128,SPD!AS128,SPMW!AS128,SSEH!AS128,SSES!AS128)</f>
        <v>24.404737844552834</v>
      </c>
      <c r="AT128" s="476">
        <f>CHOOSE($B$3,ENWL!AT128,NPgN!AT128,NPgY!AT128,WMID!AT128,EMID!AT128,SWALES!AT128,SWEST!AT128,LPN!AT128,SPN!AT128,EPN!AT128,SPD!AT128,SPMW!AT128,SSEH!AT128,SSES!AT128)</f>
        <v>38.270994741636599</v>
      </c>
      <c r="AU128" s="476">
        <f>CHOOSE($B$3,ENWL!AU128,NPgN!AU128,NPgY!AU128,WMID!AU128,EMID!AU128,SWALES!AU128,SWEST!AU128,LPN!AU128,SPN!AU128,EPN!AU128,SPD!AU128,SPMW!AU128,SSEH!AU128,SSES!AU128)</f>
        <v>40.761394349118603</v>
      </c>
      <c r="AV128" s="476">
        <f>CHOOSE($B$3,ENWL!AV128,NPgN!AV128,NPgY!AV128,WMID!AV128,EMID!AV128,SWALES!AV128,SWEST!AV128,LPN!AV128,SPN!AV128,EPN!AV128,SPD!AV128,SPMW!AV128,SSEH!AV128,SSES!AV128)</f>
        <v>34.422945364641564</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36.06113658135861</v>
      </c>
      <c r="AS129" s="476">
        <f>CHOOSE($B$3,ENWL!AS129,NPgN!AS129,NPgY!AS129,WMID!AS129,EMID!AS129,SWALES!AS129,SWEST!AS129,LPN!AS129,SPN!AS129,EPN!AS129,SPD!AS129,SPMW!AS129,SSEH!AS129,SSES!AS129)</f>
        <v>34.078615314716693</v>
      </c>
      <c r="AT129" s="476">
        <f>CHOOSE($B$3,ENWL!AT129,NPgN!AT129,NPgY!AT129,WMID!AT129,EMID!AT129,SWALES!AT129,SWEST!AT129,LPN!AT129,SPN!AT129,EPN!AT129,SPD!AT129,SPMW!AT129,SSEH!AT129,SSES!AT129)</f>
        <v>30.69124844900864</v>
      </c>
      <c r="AU129" s="476">
        <f>CHOOSE($B$3,ENWL!AU129,NPgN!AU129,NPgY!AU129,WMID!AU129,EMID!AU129,SWALES!AU129,SWEST!AU129,LPN!AU129,SPN!AU129,EPN!AU129,SPD!AU129,SPMW!AU129,SSEH!AU129,SSES!AU129)</f>
        <v>31.090644296999137</v>
      </c>
      <c r="AV129" s="476">
        <f>CHOOSE($B$3,ENWL!AV129,NPgN!AV129,NPgY!AV129,WMID!AV129,EMID!AV129,SWALES!AV129,SWEST!AV129,LPN!AV129,SPN!AV129,EPN!AV129,SPD!AV129,SPMW!AV129,SSEH!AV129,SSES!AV129)</f>
        <v>31.088531643694072</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10.049595231118609</v>
      </c>
      <c r="AS130" s="476">
        <f>CHOOSE($B$3,ENWL!AS130,NPgN!AS130,NPgY!AS130,WMID!AS130,EMID!AS130,SWALES!AS130,SWEST!AS130,LPN!AS130,SPN!AS130,EPN!AS130,SPD!AS130,SPMW!AS130,SSEH!AS130,SSES!AS130)</f>
        <v>8.2284214767958339</v>
      </c>
      <c r="AT130" s="476">
        <f>CHOOSE($B$3,ENWL!AT130,NPgN!AT130,NPgY!AT130,WMID!AT130,EMID!AT130,SWALES!AT130,SWEST!AT130,LPN!AT130,SPN!AT130,EPN!AT130,SPD!AT130,SPMW!AT130,SSEH!AT130,SSES!AT130)</f>
        <v>8.8650134193047538</v>
      </c>
      <c r="AU130" s="476">
        <f>CHOOSE($B$3,ENWL!AU130,NPgN!AU130,NPgY!AU130,WMID!AU130,EMID!AU130,SWALES!AU130,SWEST!AU130,LPN!AU130,SPN!AU130,EPN!AU130,SPD!AU130,SPMW!AU130,SSEH!AU130,SSES!AU130)</f>
        <v>8.08202755824375</v>
      </c>
      <c r="AV130" s="476">
        <f>CHOOSE($B$3,ENWL!AV130,NPgN!AV130,NPgY!AV130,WMID!AV130,EMID!AV130,SWALES!AV130,SWEST!AV130,LPN!AV130,SPN!AV130,EPN!AV130,SPD!AV130,SPMW!AV130,SSEH!AV130,SSES!AV130)</f>
        <v>7.6415943309170267</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15.219918426431777</v>
      </c>
      <c r="AS131" s="476">
        <f>CHOOSE($B$3,ENWL!AS131,NPgN!AS131,NPgY!AS131,WMID!AS131,EMID!AS131,SWALES!AS131,SWEST!AS131,LPN!AS131,SPN!AS131,EPN!AS131,SPD!AS131,SPMW!AS131,SSEH!AS131,SSES!AS131)</f>
        <v>16.362155466046204</v>
      </c>
      <c r="AT131" s="476">
        <f>CHOOSE($B$3,ENWL!AT131,NPgN!AT131,NPgY!AT131,WMID!AT131,EMID!AT131,SWALES!AT131,SWEST!AT131,LPN!AT131,SPN!AT131,EPN!AT131,SPD!AT131,SPMW!AT131,SSEH!AT131,SSES!AT131)</f>
        <v>15.925880824661924</v>
      </c>
      <c r="AU131" s="476">
        <f>CHOOSE($B$3,ENWL!AU131,NPgN!AU131,NPgY!AU131,WMID!AU131,EMID!AU131,SWALES!AU131,SWEST!AU131,LPN!AU131,SPN!AU131,EPN!AU131,SPD!AU131,SPMW!AU131,SSEH!AU131,SSES!AU131)</f>
        <v>14.680257351433436</v>
      </c>
      <c r="AV131" s="476">
        <f>CHOOSE($B$3,ENWL!AV131,NPgN!AV131,NPgY!AV131,WMID!AV131,EMID!AV131,SWALES!AV131,SWEST!AV131,LPN!AV131,SPN!AV131,EPN!AV131,SPD!AV131,SPMW!AV131,SSEH!AV131,SSES!AV131)</f>
        <v>14.358105203328142</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103.85668480214409</v>
      </c>
      <c r="AS132" s="476">
        <f>CHOOSE($B$3,ENWL!AS132,NPgN!AS132,NPgY!AS132,WMID!AS132,EMID!AS132,SWALES!AS132,SWEST!AS132,LPN!AS132,SPN!AS132,EPN!AS132,SPD!AS132,SPMW!AS132,SSEH!AS132,SSES!AS132)</f>
        <v>110.96361749446942</v>
      </c>
      <c r="AT132" s="476">
        <f>CHOOSE($B$3,ENWL!AT132,NPgN!AT132,NPgY!AT132,WMID!AT132,EMID!AT132,SWALES!AT132,SWEST!AT132,LPN!AT132,SPN!AT132,EPN!AT132,SPD!AT132,SPMW!AT132,SSEH!AT132,SSES!AT132)</f>
        <v>103.91376710279079</v>
      </c>
      <c r="AU132" s="476">
        <f>CHOOSE($B$3,ENWL!AU132,NPgN!AU132,NPgY!AU132,WMID!AU132,EMID!AU132,SWALES!AU132,SWEST!AU132,LPN!AU132,SPN!AU132,EPN!AU132,SPD!AU132,SPMW!AU132,SSEH!AU132,SSES!AU132)</f>
        <v>98.295684351086408</v>
      </c>
      <c r="AV132" s="476">
        <f>CHOOSE($B$3,ENWL!AV132,NPgN!AV132,NPgY!AV132,WMID!AV132,EMID!AV132,SWALES!AV132,SWEST!AV132,LPN!AV132,SPN!AV132,EPN!AV132,SPD!AV132,SPMW!AV132,SSEH!AV132,SSES!AV132)</f>
        <v>100.18498305463616</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6.63755233785092</v>
      </c>
      <c r="AS135" s="476">
        <f>CHOOSE($B$3,ENWL!AS135,NPgN!AS135,NPgY!AS135,WMID!AS135,EMID!AS135,SWALES!AS135,SWEST!AS135,LPN!AS135,SPN!AS135,EPN!AS135,SPD!AS135,SPMW!AS135,SSEH!AS135,SSES!AS135)</f>
        <v>7.7770900760626978</v>
      </c>
      <c r="AT135" s="476">
        <f>CHOOSE($B$3,ENWL!AT135,NPgN!AT135,NPgY!AT135,WMID!AT135,EMID!AT135,SWALES!AT135,SWEST!AT135,LPN!AT135,SPN!AT135,EPN!AT135,SPD!AT135,SPMW!AT135,SSEH!AT135,SSES!AT135)</f>
        <v>12.745360405610239</v>
      </c>
      <c r="AU135" s="476">
        <f>CHOOSE($B$3,ENWL!AU135,NPgN!AU135,NPgY!AU135,WMID!AU135,EMID!AU135,SWALES!AU135,SWEST!AU135,LPN!AU135,SPN!AU135,EPN!AU135,SPD!AU135,SPMW!AU135,SSEH!AU135,SSES!AU135)</f>
        <v>15.111970675332337</v>
      </c>
      <c r="AV135" s="476">
        <f>CHOOSE($B$3,ENWL!AV135,NPgN!AV135,NPgY!AV135,WMID!AV135,EMID!AV135,SWALES!AV135,SWEST!AV135,LPN!AV135,SPN!AV135,EPN!AV135,SPD!AV135,SPMW!AV135,SSEH!AV135,SSES!AV135)</f>
        <v>17.119268176362233</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1.9036369813958665</v>
      </c>
      <c r="AS136" s="476">
        <f>CHOOSE($B$3,ENWL!AS136,NPgN!AS136,NPgY!AS136,WMID!AS136,EMID!AS136,SWALES!AS136,SWEST!AS136,LPN!AS136,SPN!AS136,EPN!AS136,SPD!AS136,SPMW!AS136,SSEH!AS136,SSES!AS136)</f>
        <v>1.1014507573536851</v>
      </c>
      <c r="AT136" s="476">
        <f>CHOOSE($B$3,ENWL!AT136,NPgN!AT136,NPgY!AT136,WMID!AT136,EMID!AT136,SWALES!AT136,SWEST!AT136,LPN!AT136,SPN!AT136,EPN!AT136,SPD!AT136,SPMW!AT136,SSEH!AT136,SSES!AT136)</f>
        <v>4.2569191861587621</v>
      </c>
      <c r="AU136" s="476">
        <f>CHOOSE($B$3,ENWL!AU136,NPgN!AU136,NPgY!AU136,WMID!AU136,EMID!AU136,SWALES!AU136,SWEST!AU136,LPN!AU136,SPN!AU136,EPN!AU136,SPD!AU136,SPMW!AU136,SSEH!AU136,SSES!AU136)</f>
        <v>2.6268348904316512</v>
      </c>
      <c r="AV136" s="476">
        <f>CHOOSE($B$3,ENWL!AV136,NPgN!AV136,NPgY!AV136,WMID!AV136,EMID!AV136,SWALES!AV136,SWEST!AV136,LPN!AV136,SPN!AV136,EPN!AV136,SPD!AV136,SPMW!AV136,SSEH!AV136,SSES!AV136)</f>
        <v>1.7049314874453665</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1.0037625801144436</v>
      </c>
      <c r="AS137" s="476">
        <f>CHOOSE($B$3,ENWL!AS137,NPgN!AS137,NPgY!AS137,WMID!AS137,EMID!AS137,SWALES!AS137,SWEST!AS137,LPN!AS137,SPN!AS137,EPN!AS137,SPD!AS137,SPMW!AS137,SSEH!AS137,SSES!AS137)</f>
        <v>1.1908635693937715</v>
      </c>
      <c r="AT137" s="476">
        <f>CHOOSE($B$3,ENWL!AT137,NPgN!AT137,NPgY!AT137,WMID!AT137,EMID!AT137,SWALES!AT137,SWEST!AT137,LPN!AT137,SPN!AT137,EPN!AT137,SPD!AT137,SPMW!AT137,SSEH!AT137,SSES!AT137)</f>
        <v>2.5444395151318777</v>
      </c>
      <c r="AU137" s="476">
        <f>CHOOSE($B$3,ENWL!AU137,NPgN!AU137,NPgY!AU137,WMID!AU137,EMID!AU137,SWALES!AU137,SWEST!AU137,LPN!AU137,SPN!AU137,EPN!AU137,SPD!AU137,SPMW!AU137,SSEH!AU137,SSES!AU137)</f>
        <v>1.5972744321571826</v>
      </c>
      <c r="AV137" s="476">
        <f>CHOOSE($B$3,ENWL!AV137,NPgN!AV137,NPgY!AV137,WMID!AV137,EMID!AV137,SWALES!AV137,SWEST!AV137,LPN!AV137,SPN!AV137,EPN!AV137,SPD!AV137,SPMW!AV137,SSEH!AV137,SSES!AV137)</f>
        <v>0.98481182187139571</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1.107547719808528</v>
      </c>
      <c r="AS141" s="476">
        <f>CHOOSE($B$3,ENWL!AS141,NPgN!AS141,NPgY!AS141,WMID!AS141,EMID!AS141,SWALES!AS141,SWEST!AS141,LPN!AS141,SPN!AS141,EPN!AS141,SPD!AS141,SPMW!AS141,SSEH!AS141,SSES!AS141)</f>
        <v>1.2722234740096301</v>
      </c>
      <c r="AT141" s="476">
        <f>CHOOSE($B$3,ENWL!AT141,NPgN!AT141,NPgY!AT141,WMID!AT141,EMID!AT141,SWALES!AT141,SWEST!AT141,LPN!AT141,SPN!AT141,EPN!AT141,SPD!AT141,SPMW!AT141,SSEH!AT141,SSES!AT141)</f>
        <v>1.8604541326000643</v>
      </c>
      <c r="AU141" s="476">
        <f>CHOOSE($B$3,ENWL!AU141,NPgN!AU141,NPgY!AU141,WMID!AU141,EMID!AU141,SWALES!AU141,SWEST!AU141,LPN!AU141,SPN!AU141,EPN!AU141,SPD!AU141,SPMW!AU141,SSEH!AU141,SSES!AU141)</f>
        <v>2.0525269440807827</v>
      </c>
      <c r="AV141" s="476">
        <f>CHOOSE($B$3,ENWL!AV141,NPgN!AV141,NPgY!AV141,WMID!AV141,EMID!AV141,SWALES!AV141,SWEST!AV141,LPN!AV141,SPN!AV141,EPN!AV141,SPD!AV141,SPMW!AV141,SSEH!AV141,SSES!AV141)</f>
        <v>2.2899387640702318</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2.5243188916226287</v>
      </c>
      <c r="AS145" s="476">
        <f>CHOOSE($B$3,ENWL!AS145,NPgN!AS145,NPgY!AS145,WMID!AS145,EMID!AS145,SWALES!AS145,SWEST!AS145,LPN!AS145,SPN!AS145,EPN!AS145,SPD!AS145,SPMW!AS145,SSEH!AS145,SSES!AS145)</f>
        <v>2.8756402792994264</v>
      </c>
      <c r="AT145" s="476">
        <f>CHOOSE($B$3,ENWL!AT145,NPgN!AT145,NPgY!AT145,WMID!AT145,EMID!AT145,SWALES!AT145,SWEST!AT145,LPN!AT145,SPN!AT145,EPN!AT145,SPD!AT145,SPMW!AT145,SSEH!AT145,SSES!AT145)</f>
        <v>3.0162633687903266</v>
      </c>
      <c r="AU145" s="476">
        <f>CHOOSE($B$3,ENWL!AU145,NPgN!AU145,NPgY!AU145,WMID!AU145,EMID!AU145,SWALES!AU145,SWEST!AU145,LPN!AU145,SPN!AU145,EPN!AU145,SPD!AU145,SPMW!AU145,SSEH!AU145,SSES!AU145)</f>
        <v>3.0162633687903266</v>
      </c>
      <c r="AV145" s="476">
        <f>CHOOSE($B$3,ENWL!AV145,NPgN!AV145,NPgY!AV145,WMID!AV145,EMID!AV145,SWALES!AV145,SWEST!AV145,LPN!AV145,SPN!AV145,EPN!AV145,SPD!AV145,SPMW!AV145,SSEH!AV145,SSES!AV145)</f>
        <v>3.0162633687903266</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27.565887138496063</v>
      </c>
      <c r="AS146" s="476">
        <f>CHOOSE($B$3,ENWL!AS146,NPgN!AS146,NPgY!AS146,WMID!AS146,EMID!AS146,SWALES!AS146,SWEST!AS146,LPN!AS146,SPN!AS146,EPN!AS146,SPD!AS146,SPMW!AS146,SSEH!AS146,SSES!AS146)</f>
        <v>29.322225304146077</v>
      </c>
      <c r="AT146" s="476">
        <f>CHOOSE($B$3,ENWL!AT146,NPgN!AT146,NPgY!AT146,WMID!AT146,EMID!AT146,SWALES!AT146,SWEST!AT146,LPN!AT146,SPN!AT146,EPN!AT146,SPD!AT146,SPMW!AT146,SSEH!AT146,SSES!AT146)</f>
        <v>28.695281319716194</v>
      </c>
      <c r="AU146" s="476">
        <f>CHOOSE($B$3,ENWL!AU146,NPgN!AU146,NPgY!AU146,WMID!AU146,EMID!AU146,SWALES!AU146,SWEST!AU146,LPN!AU146,SPN!AU146,EPN!AU146,SPD!AU146,SPMW!AU146,SSEH!AU146,SSES!AU146)</f>
        <v>36.447574605468816</v>
      </c>
      <c r="AV146" s="476">
        <f>CHOOSE($B$3,ENWL!AV146,NPgN!AV146,NPgY!AV146,WMID!AV146,EMID!AV146,SWALES!AV146,SWEST!AV146,LPN!AV146,SPN!AV146,EPN!AV146,SPD!AV146,SPMW!AV146,SSEH!AV146,SSES!AV146)</f>
        <v>39.690471341156972</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7.8618005385147471</v>
      </c>
      <c r="AS147" s="476">
        <f>CHOOSE($B$3,ENWL!AS147,NPgN!AS147,NPgY!AS147,WMID!AS147,EMID!AS147,SWALES!AS147,SWEST!AS147,LPN!AS147,SPN!AS147,EPN!AS147,SPD!AS147,SPMW!AS147,SSEH!AS147,SSES!AS147)</f>
        <v>8.2898785478619992</v>
      </c>
      <c r="AT147" s="476">
        <f>CHOOSE($B$3,ENWL!AT147,NPgN!AT147,NPgY!AT147,WMID!AT147,EMID!AT147,SWALES!AT147,SWEST!AT147,LPN!AT147,SPN!AT147,EPN!AT147,SPD!AT147,SPMW!AT147,SSEH!AT147,SSES!AT147)</f>
        <v>9.1747639729494193</v>
      </c>
      <c r="AU147" s="476">
        <f>CHOOSE($B$3,ENWL!AU147,NPgN!AU147,NPgY!AU147,WMID!AU147,EMID!AU147,SWALES!AU147,SWEST!AU147,LPN!AU147,SPN!AU147,EPN!AU147,SPD!AU147,SPMW!AU147,SSEH!AU147,SSES!AU147)</f>
        <v>8.2299857136340453</v>
      </c>
      <c r="AV147" s="476">
        <f>CHOOSE($B$3,ENWL!AV147,NPgN!AV147,NPgY!AV147,WMID!AV147,EMID!AV147,SWALES!AV147,SWEST!AV147,LPN!AV147,SPN!AV147,EPN!AV147,SPD!AV147,SPMW!AV147,SSEH!AV147,SSES!AV147)</f>
        <v>8.2548397700670861</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2.4648946742029851</v>
      </c>
      <c r="AS148" s="476">
        <f>CHOOSE($B$3,ENWL!AS148,NPgN!AS148,NPgY!AS148,WMID!AS148,EMID!AS148,SWALES!AS148,SWEST!AS148,LPN!AS148,SPN!AS148,EPN!AS148,SPD!AS148,SPMW!AS148,SSEH!AS148,SSES!AS148)</f>
        <v>2.7100318454297487</v>
      </c>
      <c r="AT148" s="476">
        <f>CHOOSE($B$3,ENWL!AT148,NPgN!AT148,NPgY!AT148,WMID!AT148,EMID!AT148,SWALES!AT148,SWEST!AT148,LPN!AT148,SPN!AT148,EPN!AT148,SPD!AT148,SPMW!AT148,SSEH!AT148,SSES!AT148)</f>
        <v>2.5012698427626745</v>
      </c>
      <c r="AU148" s="476">
        <f>CHOOSE($B$3,ENWL!AU148,NPgN!AU148,NPgY!AU148,WMID!AU148,EMID!AU148,SWALES!AU148,SWEST!AU148,LPN!AU148,SPN!AU148,EPN!AU148,SPD!AU148,SPMW!AU148,SSEH!AU148,SSES!AU148)</f>
        <v>2.8937046828837878</v>
      </c>
      <c r="AV148" s="476">
        <f>CHOOSE($B$3,ENWL!AV148,NPgN!AV148,NPgY!AV148,WMID!AV148,EMID!AV148,SWALES!AV148,SWEST!AV148,LPN!AV148,SPN!AV148,EPN!AV148,SPD!AV148,SPMW!AV148,SSEH!AV148,SSES!AV148)</f>
        <v>16.03884963262599</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0.25284575033483064</v>
      </c>
      <c r="AS149" s="476">
        <f>CHOOSE($B$3,ENWL!AS149,NPgN!AS149,NPgY!AS149,WMID!AS149,EMID!AS149,SWALES!AS149,SWEST!AS149,LPN!AS149,SPN!AS149,EPN!AS149,SPD!AS149,SPMW!AS149,SSEH!AS149,SSES!AS149)</f>
        <v>0.16840766276560176</v>
      </c>
      <c r="AT149" s="476">
        <f>CHOOSE($B$3,ENWL!AT149,NPgN!AT149,NPgY!AT149,WMID!AT149,EMID!AT149,SWALES!AT149,SWEST!AT149,LPN!AT149,SPN!AT149,EPN!AT149,SPD!AT149,SPMW!AT149,SSEH!AT149,SSES!AT149)</f>
        <v>0.51344708915764758</v>
      </c>
      <c r="AU149" s="476">
        <f>CHOOSE($B$3,ENWL!AU149,NPgN!AU149,NPgY!AU149,WMID!AU149,EMID!AU149,SWALES!AU149,SWEST!AU149,LPN!AU149,SPN!AU149,EPN!AU149,SPD!AU149,SPMW!AU149,SSEH!AU149,SSES!AU149)</f>
        <v>0.24202503478249351</v>
      </c>
      <c r="AV149" s="476">
        <f>CHOOSE($B$3,ENWL!AV149,NPgN!AV149,NPgY!AV149,WMID!AV149,EMID!AV149,SWALES!AV149,SWEST!AV149,LPN!AV149,SPN!AV149,EPN!AV149,SPD!AV149,SPMW!AV149,SSEH!AV149,SSES!AV149)</f>
        <v>0.23724260643111042</v>
      </c>
      <c r="AW149" s="184"/>
    </row>
    <row r="150" spans="1:49" ht="15">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2.2176711888539813E-2</v>
      </c>
      <c r="AS150" s="476">
        <f>CHOOSE($B$3,ENWL!AS150,NPgN!AS150,NPgY!AS150,WMID!AS150,EMID!AS150,SWALES!AS150,SWEST!AS150,LPN!AS150,SPN!AS150,EPN!AS150,SPD!AS150,SPMW!AS150,SSEH!AS150,SSES!AS150)</f>
        <v>1.573620568519549E-2</v>
      </c>
      <c r="AT150" s="476">
        <f>CHOOSE($B$3,ENWL!AT150,NPgN!AT150,NPgY!AT150,WMID!AT150,EMID!AT150,SWALES!AT150,SWEST!AT150,LPN!AT150,SPN!AT150,EPN!AT150,SPD!AT150,SPMW!AT150,SSEH!AT150,SSES!AT150)</f>
        <v>1.895645878686765E-2</v>
      </c>
      <c r="AU150" s="476">
        <f>CHOOSE($B$3,ENWL!AU150,NPgN!AU150,NPgY!AU150,WMID!AU150,EMID!AU150,SWALES!AU150,SWEST!AU150,LPN!AU150,SPN!AU150,EPN!AU150,SPD!AU150,SPMW!AU150,SSEH!AU150,SSES!AU150)</f>
        <v>1.895645878686765E-2</v>
      </c>
      <c r="AV150" s="476">
        <f>CHOOSE($B$3,ENWL!AV150,NPgN!AV150,NPgY!AV150,WMID!AV150,EMID!AV150,SWALES!AV150,SWEST!AV150,LPN!AV150,SPN!AV150,EPN!AV150,SPD!AV150,SPMW!AV150,SSEH!AV150,SSES!AV150)</f>
        <v>1.895645878686765E-2</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18.824358303726775</v>
      </c>
      <c r="AS151" s="476">
        <f>CHOOSE($B$3,ENWL!AS151,NPgN!AS151,NPgY!AS151,WMID!AS151,EMID!AS151,SWALES!AS151,SWEST!AS151,LPN!AS151,SPN!AS151,EPN!AS151,SPD!AS151,SPMW!AS151,SSEH!AS151,SSES!AS151)</f>
        <v>0.59290694209075512</v>
      </c>
      <c r="AT151" s="476">
        <f>CHOOSE($B$3,ENWL!AT151,NPgN!AT151,NPgY!AT151,WMID!AT151,EMID!AT151,SWALES!AT151,SWEST!AT151,LPN!AT151,SPN!AT151,EPN!AT151,SPD!AT151,SPMW!AT151,SSEH!AT151,SSES!AT151)</f>
        <v>-0.69125343232633574</v>
      </c>
      <c r="AU151" s="476">
        <f>CHOOSE($B$3,ENWL!AU151,NPgN!AU151,NPgY!AU151,WMID!AU151,EMID!AU151,SWALES!AU151,SWEST!AU151,LPN!AU151,SPN!AU151,EPN!AU151,SPD!AU151,SPMW!AU151,SSEH!AU151,SSES!AU151)</f>
        <v>-3.0197190742375857</v>
      </c>
      <c r="AV151" s="476">
        <f>CHOOSE($B$3,ENWL!AV151,NPgN!AV151,NPgY!AV151,WMID!AV151,EMID!AV151,SWALES!AV151,SWEST!AV151,LPN!AV151,SPN!AV151,EPN!AV151,SPD!AV151,SPMW!AV151,SSEH!AV151,SSES!AV151)</f>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5.5207518680273404E-2</v>
      </c>
      <c r="AS152" s="476">
        <f>CHOOSE($B$3,ENWL!AS152,NPgN!AS152,NPgY!AS152,WMID!AS152,EMID!AS152,SWALES!AS152,SWEST!AS152,LPN!AS152,SPN!AS152,EPN!AS152,SPD!AS152,SPMW!AS152,SSEH!AS152,SSES!AS152)</f>
        <v>0.16795373375545189</v>
      </c>
      <c r="AT152" s="476">
        <f>CHOOSE($B$3,ENWL!AT152,NPgN!AT152,NPgY!AT152,WMID!AT152,EMID!AT152,SWALES!AT152,SWEST!AT152,LPN!AT152,SPN!AT152,EPN!AT152,SPD!AT152,SPMW!AT152,SSEH!AT152,SSES!AT152)</f>
        <v>1.1577347538574579E-2</v>
      </c>
      <c r="AU152" s="476">
        <f>CHOOSE($B$3,ENWL!AU152,NPgN!AU152,NPgY!AU152,WMID!AU152,EMID!AU152,SWALES!AU152,SWEST!AU152,LPN!AU152,SPN!AU152,EPN!AU152,SPD!AU152,SPMW!AU152,SSEH!AU152,SSES!AU152)</f>
        <v>1.7675809935205184E-3</v>
      </c>
      <c r="AV152" s="476">
        <f>CHOOSE($B$3,ENWL!AV152,NPgN!AV152,NPgY!AV152,WMID!AV152,EMID!AV152,SWALES!AV152,SWEST!AV152,LPN!AV152,SPN!AV152,EPN!AV152,SPD!AV152,SPMW!AV152,SSEH!AV152,SSES!AV152)</f>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-5.5</v>
      </c>
      <c r="AT153" s="476">
        <f>CHOOSE($B$3,ENWL!AT153,NPgN!AT153,NPgY!AT153,WMID!AT153,EMID!AT153,SWALES!AT153,SWEST!AT153,LPN!AT153,SPN!AT153,EPN!AT153,SPD!AT153,SPMW!AT153,SSEH!AT153,SSES!AT153)</f>
        <v>-5.5</v>
      </c>
      <c r="AU153" s="476">
        <f>CHOOSE($B$3,ENWL!AU153,NPgN!AU153,NPgY!AU153,WMID!AU153,EMID!AU153,SWALES!AU153,SWEST!AU153,LPN!AU153,SPN!AU153,EPN!AU153,SPD!AU153,SPMW!AU153,SSEH!AU153,SSES!AU153)</f>
        <v>-5.5</v>
      </c>
      <c r="AV153" s="476">
        <f>CHOOSE($B$3,ENWL!AV153,NPgN!AV153,NPgY!AV153,WMID!AV153,EMID!AV153,SWALES!AV153,SWEST!AV153,LPN!AV153,SPN!AV153,EPN!AV153,SPD!AV153,SPMW!AV153,SSEH!AV153,SSES!AV153)</f>
        <v>-5.3</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0.81879539999999995</v>
      </c>
      <c r="AS162" s="476">
        <f>CHOOSE($B$3,ENWL!AS162,NPgN!AS162,NPgY!AS162,WMID!AS162,EMID!AS162,SWALES!AS162,SWEST!AS162,LPN!AS162,SPN!AS162,EPN!AS162,SPD!AS162,SPMW!AS162,SSEH!AS162,SSES!AS162)</f>
        <v>0.7755274998377939</v>
      </c>
      <c r="AT162" s="476">
        <f>CHOOSE($B$3,ENWL!AT162,NPgN!AT162,NPgY!AT162,WMID!AT162,EMID!AT162,SWALES!AT162,SWEST!AT162,LPN!AT162,SPN!AT162,EPN!AT162,SPD!AT162,SPMW!AT162,SSEH!AT162,SSES!AT162)</f>
        <v>0.72052909999999981</v>
      </c>
      <c r="AU162" s="476">
        <f>CHOOSE($B$3,ENWL!AU162,NPgN!AU162,NPgY!AU162,WMID!AU162,EMID!AU162,SWALES!AU162,SWEST!AU162,LPN!AU162,SPN!AU162,EPN!AU162,SPD!AU162,SPMW!AU162,SSEH!AU162,SSES!AU162)</f>
        <v>0.72846174999999991</v>
      </c>
      <c r="AV162" s="476">
        <f>CHOOSE($B$3,ENWL!AV162,NPgN!AV162,NPgY!AV162,WMID!AV162,EMID!AV162,SWALES!AV162,SWEST!AV162,LPN!AV162,SPN!AV162,EPN!AV162,SPD!AV162,SPMW!AV162,SSEH!AV162,SSES!AV162)</f>
        <v>0.73635473674999985</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0.50591940669715296</v>
      </c>
      <c r="AS163" s="476">
        <f>CHOOSE($B$3,ENWL!AS163,NPgN!AS163,NPgY!AS163,WMID!AS163,EMID!AS163,SWALES!AS163,SWEST!AS163,LPN!AS163,SPN!AS163,EPN!AS163,SPD!AS163,SPMW!AS163,SSEH!AS163,SSES!AS163)</f>
        <v>-0.14296658834641679</v>
      </c>
      <c r="AT163" s="476">
        <f>CHOOSE($B$3,ENWL!AT163,NPgN!AT163,NPgY!AT163,WMID!AT163,EMID!AT163,SWALES!AT163,SWEST!AT163,LPN!AT163,SPN!AT163,EPN!AT163,SPD!AT163,SPMW!AT163,SSEH!AT163,SSES!AT163)</f>
        <v>0.38808000000000153</v>
      </c>
      <c r="AU163" s="476">
        <f>CHOOSE($B$3,ENWL!AU163,NPgN!AU163,NPgY!AU163,WMID!AU163,EMID!AU163,SWALES!AU163,SWEST!AU163,LPN!AU163,SPN!AU163,EPN!AU163,SPD!AU163,SPMW!AU163,SSEH!AU163,SSES!AU163)</f>
        <v>0.8324771999999877</v>
      </c>
      <c r="AV163" s="476">
        <f>CHOOSE($B$3,ENWL!AV163,NPgN!AV163,NPgY!AV163,WMID!AV163,EMID!AV163,SWALES!AV163,SWEST!AV163,LPN!AV163,SPN!AV163,EPN!AV163,SPD!AV163,SPMW!AV163,SSEH!AV163,SSES!AV163)</f>
        <v>1.2790963859999729</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-2.5231264736921446</v>
      </c>
      <c r="AS164" s="476">
        <f>CHOOSE($B$3,ENWL!AS164,NPgN!AS164,NPgY!AS164,WMID!AS164,EMID!AS164,SWALES!AS164,SWEST!AS164,LPN!AS164,SPN!AS164,EPN!AS164,SPD!AS164,SPMW!AS164,SSEH!AS164,SSES!AS164)</f>
        <v>-0.28996612068374095</v>
      </c>
      <c r="AT164" s="476">
        <f>CHOOSE($B$3,ENWL!AT164,NPgN!AT164,NPgY!AT164,WMID!AT164,EMID!AT164,SWALES!AT164,SWEST!AT164,LPN!AT164,SPN!AT164,EPN!AT164,SPD!AT164,SPMW!AT164,SSEH!AT164,SSES!AT164)</f>
        <v>-0.4</v>
      </c>
      <c r="AU164" s="476">
        <f>CHOOSE($B$3,ENWL!AU164,NPgN!AU164,NPgY!AU164,WMID!AU164,EMID!AU164,SWALES!AU164,SWEST!AU164,LPN!AU164,SPN!AU164,EPN!AU164,SPD!AU164,SPMW!AU164,SSEH!AU164,SSES!AU164)</f>
        <v>-0.4</v>
      </c>
      <c r="AV164" s="476">
        <f>CHOOSE($B$3,ENWL!AV164,NPgN!AV164,NPgY!AV164,WMID!AV164,EMID!AV164,SWALES!AV164,SWEST!AV164,LPN!AV164,SPN!AV164,EPN!AV164,SPD!AV164,SPMW!AV164,SSEH!AV164,SSES!AV164)</f>
        <v>-0.4</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1.8131675652328265</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1.8440000000000001</v>
      </c>
      <c r="AS167" s="476">
        <f>CHOOSE($B$3,ENWL!AS167,NPgN!AS167,NPgY!AS167,WMID!AS167,EMID!AS167,SWALES!AS167,SWEST!AS167,LPN!AS167,SPN!AS167,EPN!AS167,SPD!AS167,SPMW!AS167,SSEH!AS167,SSES!AS167)</f>
        <v>4.6100000000000003</v>
      </c>
      <c r="AT167" s="476">
        <f>CHOOSE($B$3,ENWL!AT167,NPgN!AT167,NPgY!AT167,WMID!AT167,EMID!AT167,SWALES!AT167,SWEST!AT167,LPN!AT167,SPN!AT167,EPN!AT167,SPD!AT167,SPMW!AT167,SSEH!AT167,SSES!AT167)</f>
        <v>2.3469199999999995</v>
      </c>
      <c r="AU167" s="476">
        <f>CHOOSE($B$3,ENWL!AU167,NPgN!AU167,NPgY!AU167,WMID!AU167,EMID!AU167,SWALES!AU167,SWEST!AU167,LPN!AU167,SPN!AU167,EPN!AU167,SPD!AU167,SPMW!AU167,SSEH!AU167,SSES!AU167)</f>
        <v>2.6789263999999999</v>
      </c>
      <c r="AV167" s="476">
        <f>CHOOSE($B$3,ENWL!AV167,NPgN!AV167,NPgY!AV167,WMID!AV167,EMID!AV167,SWALES!AV167,SWEST!AV167,LPN!AV167,SPN!AV167,EPN!AV167,SPD!AV167,SPMW!AV167,SSEH!AV167,SSES!AV167)</f>
        <v>3.0175729280000017</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1.38</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4.4275336763387588E-2</v>
      </c>
      <c r="AS177" s="476">
        <f>CHOOSE($B$3,ENWL!AS177,NPgN!AS177,NPgY!AS177,WMID!AS177,EMID!AS177,SWALES!AS177,SWEST!AS177,LPN!AS177,SPN!AS177,EPN!AS177,SPD!AS177,SPMW!AS177,SSEH!AS177,SSES!AS177)</f>
        <v>0.19952037044633403</v>
      </c>
      <c r="AT177" s="476">
        <f>CHOOSE($B$3,ENWL!AT177,NPgN!AT177,NPgY!AT177,WMID!AT177,EMID!AT177,SWALES!AT177,SWEST!AT177,LPN!AT177,SPN!AT177,EPN!AT177,SPD!AT177,SPMW!AT177,SSEH!AT177,SSES!AT177)</f>
        <v>0</v>
      </c>
      <c r="AU177" s="476">
        <f>CHOOSE($B$3,ENWL!AU177,NPgN!AU177,NPgY!AU177,WMID!AU177,EMID!AU177,SWALES!AU177,SWEST!AU177,LPN!AU177,SPN!AU177,EPN!AU177,SPD!AU177,SPMW!AU177,SSEH!AU177,SSES!AU177)</f>
        <v>0</v>
      </c>
      <c r="AV177" s="476">
        <f>CHOOSE($B$3,ENWL!AV177,NPgN!AV177,NPgY!AV177,WMID!AV177,EMID!AV177,SWALES!AV177,SWEST!AV177,LPN!AV177,SPN!AV177,EPN!AV177,SPD!AV177,SPMW!AV177,SSEH!AV177,SSES!AV177)</f>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0.55808007815565208</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50.182619349190531</v>
      </c>
      <c r="AS191" s="476">
        <f>CHOOSE($B$3,ENWL!AS191,NPgN!AS191,NPgY!AS191,WMID!AS191,EMID!AS191,SWALES!AS191,SWEST!AS191,LPN!AS191,SPN!AS191,EPN!AS191,SPD!AS191,SPMW!AS191,SSEH!AS191,SSES!AS191)</f>
        <v>53.350125253244165</v>
      </c>
      <c r="AT191" s="476">
        <f>CHOOSE($B$3,ENWL!AT191,NPgN!AT191,NPgY!AT191,WMID!AT191,EMID!AT191,SWALES!AT191,SWEST!AT191,LPN!AT191,SPN!AT191,EPN!AT191,SPD!AT191,SPMW!AT191,SSEH!AT191,SSES!AT191)</f>
        <v>58.01835533208456</v>
      </c>
      <c r="AU191" s="476">
        <f>CHOOSE($B$3,ENWL!AU191,NPgN!AU191,NPgY!AU191,WMID!AU191,EMID!AU191,SWALES!AU191,SWEST!AU191,LPN!AU191,SPN!AU191,EPN!AU191,SPD!AU191,SPMW!AU191,SSEH!AU191,SSES!AU191)</f>
        <v>56.703244958692807</v>
      </c>
      <c r="AV191" s="476">
        <f>CHOOSE($B$3,ENWL!AV191,NPgN!AV191,NPgY!AV191,WMID!AV191,EMID!AV191,SWALES!AV191,SWEST!AV191,LPN!AV191,SPN!AV191,EPN!AV191,SPD!AV191,SPMW!AV191,SSEH!AV191,SSES!AV191)</f>
        <v>43.427473170563552</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-52.706301285593291</v>
      </c>
      <c r="AS192" s="476">
        <f>CHOOSE($B$3,ENWL!AS192,NPgN!AS192,NPgY!AS192,WMID!AS192,EMID!AS192,SWALES!AS192,SWEST!AS192,LPN!AS192,SPN!AS192,EPN!AS192,SPD!AS192,SPMW!AS192,SSEH!AS192,SSES!AS192)</f>
        <v>-52.562482765799125</v>
      </c>
      <c r="AT192" s="476">
        <f>CHOOSE($B$3,ENWL!AT192,NPgN!AT192,NPgY!AT192,WMID!AT192,EMID!AT192,SWALES!AT192,SWEST!AT192,LPN!AT192,SPN!AT192,EPN!AT192,SPD!AT192,SPMW!AT192,SSEH!AT192,SSES!AT192)</f>
        <v>-58.01835533208456</v>
      </c>
      <c r="AU192" s="476">
        <f>CHOOSE($B$3,ENWL!AU192,NPgN!AU192,NPgY!AU192,WMID!AU192,EMID!AU192,SWALES!AU192,SWEST!AU192,LPN!AU192,SPN!AU192,EPN!AU192,SPD!AU192,SPMW!AU192,SSEH!AU192,SSES!AU192)</f>
        <v>-56.703244958692807</v>
      </c>
      <c r="AV192" s="476">
        <f>CHOOSE($B$3,ENWL!AV192,NPgN!AV192,NPgY!AV192,WMID!AV192,EMID!AV192,SWALES!AV192,SWEST!AV192,LPN!AV192,SPN!AV192,EPN!AV192,SPD!AV192,SPMW!AV192,SSEH!AV192,SSES!AV192)</f>
        <v>-43.427473170563552</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8.7288787385511775</v>
      </c>
      <c r="AS193" s="476">
        <f>CHOOSE($B$3,ENWL!AS193,NPgN!AS193,NPgY!AS193,WMID!AS193,EMID!AS193,SWALES!AS193,SWEST!AS193,LPN!AS193,SPN!AS193,EPN!AS193,SPD!AS193,SPMW!AS193,SSEH!AS193,SSES!AS193)</f>
        <v>13.093052713927825</v>
      </c>
      <c r="AT193" s="476">
        <f>CHOOSE($B$3,ENWL!AT193,NPgN!AT193,NPgY!AT193,WMID!AT193,EMID!AT193,SWALES!AT193,SWEST!AT193,LPN!AT193,SPN!AT193,EPN!AT193,SPD!AT193,SPMW!AT193,SSEH!AT193,SSES!AT193)</f>
        <v>7.0575734007240625</v>
      </c>
      <c r="AU193" s="476">
        <f>CHOOSE($B$3,ENWL!AU193,NPgN!AU193,NPgY!AU193,WMID!AU193,EMID!AU193,SWALES!AU193,SWEST!AU193,LPN!AU193,SPN!AU193,EPN!AU193,SPD!AU193,SPMW!AU193,SSEH!AU193,SSES!AU193)</f>
        <v>7.2335736240871826</v>
      </c>
      <c r="AV193" s="476">
        <f>CHOOSE($B$3,ENWL!AV193,NPgN!AV193,NPgY!AV193,WMID!AV193,EMID!AV193,SWALES!AV193,SWEST!AV193,LPN!AV193,SPN!AV193,EPN!AV193,SPD!AV193,SPMW!AV193,SSEH!AV193,SSES!AV193)</f>
        <v>7.4505808328097984</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-8.7638617206852114</v>
      </c>
      <c r="AS194" s="476">
        <f>CHOOSE($B$3,ENWL!AS194,NPgN!AS194,NPgY!AS194,WMID!AS194,EMID!AS194,SWALES!AS194,SWEST!AS194,LPN!AS194,SPN!AS194,EPN!AS194,SPD!AS194,SPMW!AS194,SSEH!AS194,SSES!AS194)</f>
        <v>-12.137105747058181</v>
      </c>
      <c r="AT194" s="476">
        <f>CHOOSE($B$3,ENWL!AT194,NPgN!AT194,NPgY!AT194,WMID!AT194,EMID!AT194,SWALES!AT194,SWEST!AT194,LPN!AT194,SPN!AT194,EPN!AT194,SPD!AT194,SPMW!AT194,SSEH!AT194,SSES!AT194)</f>
        <v>-7.0575734007240616</v>
      </c>
      <c r="AU194" s="476">
        <f>CHOOSE($B$3,ENWL!AU194,NPgN!AU194,NPgY!AU194,WMID!AU194,EMID!AU194,SWALES!AU194,SWEST!AU194,LPN!AU194,SPN!AU194,EPN!AU194,SPD!AU194,SPMW!AU194,SSEH!AU194,SSES!AU194)</f>
        <v>-7.2335736240871817</v>
      </c>
      <c r="AV194" s="476">
        <f>CHOOSE($B$3,ENWL!AV194,NPgN!AV194,NPgY!AV194,WMID!AV194,EMID!AV194,SWALES!AV194,SWEST!AV194,LPN!AV194,SPN!AV194,EPN!AV194,SPD!AV194,SPMW!AV194,SSEH!AV194,SSES!AV194)</f>
        <v>-7.4505808328097993</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2.2821710621636075</v>
      </c>
      <c r="AS195" s="476">
        <f>CHOOSE($B$3,ENWL!AS195,NPgN!AS195,NPgY!AS195,WMID!AS195,EMID!AS195,SWALES!AS195,SWEST!AS195,LPN!AS195,SPN!AS195,EPN!AS195,SPD!AS195,SPMW!AS195,SSEH!AS195,SSES!AS195)</f>
        <v>1.9533321855099155</v>
      </c>
      <c r="AT195" s="476">
        <f>CHOOSE($B$3,ENWL!AT195,NPgN!AT195,NPgY!AT195,WMID!AT195,EMID!AT195,SWALES!AT195,SWEST!AT195,LPN!AT195,SPN!AT195,EPN!AT195,SPD!AT195,SPMW!AT195,SSEH!AT195,SSES!AT195)</f>
        <v>1.9719425245001454</v>
      </c>
      <c r="AU195" s="476">
        <f>CHOOSE($B$3,ENWL!AU195,NPgN!AU195,NPgY!AU195,WMID!AU195,EMID!AU195,SWALES!AU195,SWEST!AU195,LPN!AU195,SPN!AU195,EPN!AU195,SPD!AU195,SPMW!AU195,SSEH!AU195,SSES!AU195)</f>
        <v>2.0211183962998853</v>
      </c>
      <c r="AV195" s="476">
        <f>CHOOSE($B$3,ENWL!AV195,NPgN!AV195,NPgY!AV195,WMID!AV195,EMID!AV195,SWALES!AV195,SWEST!AV195,LPN!AV195,SPN!AV195,EPN!AV195,SPD!AV195,SPMW!AV195,SSEH!AV195,SSES!AV195)</f>
        <v>2.0817519481888822</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-2.7993413538459992</v>
      </c>
      <c r="AS196" s="476">
        <f>CHOOSE($B$3,ENWL!AS196,NPgN!AS196,NPgY!AS196,WMID!AS196,EMID!AS196,SWALES!AS196,SWEST!AS196,LPN!AS196,SPN!AS196,EPN!AS196,SPD!AS196,SPMW!AS196,SSEH!AS196,SSES!AS196)</f>
        <v>-2.9272602259326845</v>
      </c>
      <c r="AT196" s="476">
        <f>CHOOSE($B$3,ENWL!AT196,NPgN!AT196,NPgY!AT196,WMID!AT196,EMID!AT196,SWALES!AT196,SWEST!AT196,LPN!AT196,SPN!AT196,EPN!AT196,SPD!AT196,SPMW!AT196,SSEH!AT196,SSES!AT196)</f>
        <v>-1.9719425245001454</v>
      </c>
      <c r="AU196" s="476">
        <f>CHOOSE($B$3,ENWL!AU196,NPgN!AU196,NPgY!AU196,WMID!AU196,EMID!AU196,SWALES!AU196,SWEST!AU196,LPN!AU196,SPN!AU196,EPN!AU196,SPD!AU196,SPMW!AU196,SSEH!AU196,SSES!AU196)</f>
        <v>-2.0211183962998849</v>
      </c>
      <c r="AV196" s="476">
        <f>CHOOSE($B$3,ENWL!AV196,NPgN!AV196,NPgY!AV196,WMID!AV196,EMID!AV196,SWALES!AV196,SWEST!AV196,LPN!AV196,SPN!AV196,EPN!AV196,SPD!AV196,SPMW!AV196,SSEH!AV196,SSES!AV196)</f>
        <v>-2.0817519481888822</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7.80870136920416E-5</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0</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-3.2796545750657467E-3</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3.04E-2</v>
      </c>
      <c r="AS211" s="390">
        <f>CHOOSE($B$3,ENWL!AS211,NPgN!AS211,NPgY!AS211,WMID!AS211,EMID!AS211,SWALES!AS211,SWEST!AS211,LPN!AS211,SPN!AS211,EPN!AS211,SPD!AS211,SPMW!AS211,SSEH!AS211,SSES!AS211)</f>
        <v>3.1099999999999999E-2</v>
      </c>
      <c r="AT211" s="390">
        <f>CHOOSE($B$3,ENWL!AT211,NPgN!AT211,NPgY!AT211,WMID!AT211,EMID!AT211,SWALES!AT211,SWEST!AT211,LPN!AT211,SPN!AT211,EPN!AT211,SPD!AT211,SPMW!AT211,SSEH!AT211,SSES!AT211)</f>
        <v>3.1300000000000001E-2</v>
      </c>
      <c r="AU211" s="390">
        <f>CHOOSE($B$3,ENWL!AU211,NPgN!AU211,NPgY!AU211,WMID!AU211,EMID!AU211,SWALES!AU211,SWEST!AU211,LPN!AU211,SPN!AU211,EPN!AU211,SPD!AU211,SPMW!AU211,SSEH!AU211,SSES!AU211)</f>
        <v>3.1399999999999997E-2</v>
      </c>
      <c r="AV211" s="390">
        <f>CHOOSE($B$3,ENWL!AV211,NPgN!AV211,NPgY!AV211,WMID!AV211,EMID!AV211,SWALES!AV211,SWEST!AV211,LPN!AV211,SPN!AV211,EPN!AV211,SPD!AV211,SPMW!AV211,SSEH!AV211,SSES!AV211)</f>
        <v>3.1399999999999997E-2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3.0499999999999999E-2</v>
      </c>
      <c r="AV213" s="390">
        <f>CHOOSE($B$3,ENWL!AV213,NPgN!AV213,NPgY!AV213,WMID!AV213,EMID!AV213,SWALES!AV213,SWEST!AV213,LPN!AV213,SPN!AV213,EPN!AV213,SPD!AV213,SPMW!AV213,SSEH!AV213,SSES!AV213)</f>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0.95320000000000005</v>
      </c>
      <c r="AS223" s="390">
        <f>CHOOSE($B$3,ENWL!AS223,NPgN!AS223,NPgY!AS223,WMID!AS223,EMID!AS223,SWALES!AS223,SWEST!AS223,LPN!AS223,SPN!AS223,EPN!AS223,SPD!AS223,SPMW!AS223,SSEH!AS223,SSES!AS223)</f>
        <v>0.96040000000000003</v>
      </c>
      <c r="AT223" s="390">
        <f>CHOOSE($B$3,ENWL!AT223,NPgN!AT223,NPgY!AT223,WMID!AT223,EMID!AT223,SWALES!AT223,SWEST!AT223,LPN!AT223,SPN!AT223,EPN!AT223,SPD!AT223,SPMW!AT223,SSEH!AT223,SSES!AT223)</f>
        <v>0.97009999999999996</v>
      </c>
      <c r="AU223" s="390">
        <f>CHOOSE($B$3,ENWL!AU223,NPgN!AU223,NPgY!AU223,WMID!AU223,EMID!AU223,SWALES!AU223,SWEST!AU223,LPN!AU223,SPN!AU223,EPN!AU223,SPD!AU223,SPMW!AU223,SSEH!AU223,SSES!AU223)</f>
        <v>0.9798</v>
      </c>
      <c r="AV223" s="390">
        <f>CHOOSE($B$3,ENWL!AV223,NPgN!AV223,NPgY!AV223,WMID!AV223,EMID!AV223,SWALES!AV223,SWEST!AV223,LPN!AV223,SPN!AV223,EPN!AV223,SPD!AV223,SPMW!AV223,SSEH!AV223,SSES!AV223)</f>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f>CHOOSE($B$3,ENWL!I234,NPgN!I234,NPgY!I234,WMID!I234,EMID!I234,SWALES!I234,SWEST!I234,LPN!I234,SPN!I234,EPN!I234,SPD!I234,SPMW!I234,SSEH!I234,SSES!I234)</f>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f>CHOOSE($B$3,ENWL!I241,NPgN!I241,NPgY!I241,WMID!I241,EMID!I241,SWALES!I241,SWEST!I241,LPN!I241,SPN!I241,EPN!I241,SPD!I241,SPMW!I241,SSEH!I241,SSES!I241)</f>
        <v>29.993840965466223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5">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5">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f>CHOOSE($B$3,ENWL!K250,NPgN!K250,NPgY!K250,WMID!K250,EMID!K250,SWALES!K250,SWEST!K250,LPN!K250,SPN!K250,EPN!K250,SPD!K250,SPMW!K250,SSEH!K250,SSES!K250)</f>
        <v>48.901715904916827</v>
      </c>
      <c r="L250" s="413">
        <f>CHOOSE($B$3,ENWL!L250,NPgN!L250,NPgY!L250,WMID!L250,EMID!L250,SWALES!L250,SWEST!L250,LPN!L250,SPN!L250,EPN!L250,SPD!L250,SPMW!L250,SSEH!L250,SSES!L250)</f>
        <v>162.07955082122055</v>
      </c>
      <c r="M250" s="413">
        <f>CHOOSE($B$3,ENWL!M250,NPgN!M250,NPgY!M250,WMID!M250,EMID!M250,SWALES!M250,SWEST!M250,LPN!M250,SPN!M250,EPN!M250,SPD!M250,SPMW!M250,SSEH!M250,SSES!M250)</f>
        <v>158.74534291861255</v>
      </c>
      <c r="N250" s="413">
        <f>CHOOSE($B$3,ENWL!N250,NPgN!N250,NPgY!N250,WMID!N250,EMID!N250,SWALES!N250,SWEST!N250,LPN!N250,SPN!N250,EPN!N250,SPD!N250,SPMW!N250,SSEH!N250,SSES!N250)</f>
        <v>174.86068111455111</v>
      </c>
      <c r="O250" s="413">
        <f>CHOOSE($B$3,ENWL!O250,NPgN!O250,NPgY!O250,WMID!O250,EMID!O250,SWALES!O250,SWEST!O250,LPN!O250,SPN!O250,EPN!O250,SPD!O250,SPMW!O250,SSEH!O250,SSES!O250)</f>
        <v>104.65708138741668</v>
      </c>
      <c r="P250" s="413">
        <f>CHOOSE($B$3,ENWL!P250,NPgN!P250,NPgY!P250,WMID!P250,EMID!P250,SWALES!P250,SWEST!P250,LPN!P250,SPN!P250,EPN!P250,SPD!P250,SPMW!P250,SSEH!P250,SSES!P250)</f>
        <v>107.62082174529043</v>
      </c>
      <c r="Q250" s="413">
        <f>CHOOSE($B$3,ENWL!Q250,NPgN!Q250,NPgY!Q250,WMID!Q250,EMID!Q250,SWALES!Q250,SWEST!Q250,LPN!Q250,SPN!Q250,EPN!Q250,SPD!Q250,SPMW!Q250,SSEH!Q250,SSES!Q250)</f>
        <v>116.32680904654455</v>
      </c>
      <c r="R250" s="413">
        <f>CHOOSE($B$3,ENWL!R250,NPgN!R250,NPgY!R250,WMID!R250,EMID!R250,SWALES!R250,SWEST!R250,LPN!R250,SPN!R250,EPN!R250,SPD!R250,SPMW!R250,SSEH!R250,SSES!R250)</f>
        <v>139.11056304769897</v>
      </c>
      <c r="S250" s="413">
        <f>CHOOSE($B$3,ENWL!S250,NPgN!S250,NPgY!S250,WMID!S250,EMID!S250,SWALES!S250,SWEST!S250,LPN!S250,SPN!S250,EPN!S250,SPD!S250,SPMW!S250,SSEH!S250,SSES!S250)</f>
        <v>135.05514025886723</v>
      </c>
      <c r="T250" s="413">
        <f>CHOOSE($B$3,ENWL!T250,NPgN!T250,NPgY!T250,WMID!T250,EMID!T250,SWALES!T250,SWEST!T250,LPN!T250,SPN!T250,EPN!T250,SPD!T250,SPMW!T250,SSEH!T250,SSES!T250)</f>
        <v>134.39535116721777</v>
      </c>
      <c r="U250" s="413">
        <f>CHOOSE($B$3,ENWL!U250,NPgN!U250,NPgY!U250,WMID!U250,EMID!U250,SWALES!U250,SWEST!U250,LPN!U250,SPN!U250,EPN!U250,SPD!U250,SPMW!U250,SSEH!U250,SSES!U250)</f>
        <v>164.49751921393135</v>
      </c>
      <c r="V250" s="413">
        <f>CHOOSE($B$3,ENWL!V250,NPgN!V250,NPgY!V250,WMID!V250,EMID!V250,SWALES!V250,SWEST!V250,LPN!V250,SPN!V250,EPN!V250,SPD!V250,SPMW!V250,SSEH!V250,SSES!V250)</f>
        <v>101.17133956386293</v>
      </c>
      <c r="W250" s="413">
        <f>CHOOSE($B$3,ENWL!W250,NPgN!W250,NPgY!W250,WMID!W250,EMID!W250,SWALES!W250,SWEST!W250,LPN!W250,SPN!W250,EPN!W250,SPD!W250,SPMW!W250,SSEH!W250,SSES!W250)</f>
        <v>120.63821117601886</v>
      </c>
      <c r="X250" s="413">
        <f>CHOOSE($B$3,ENWL!X250,NPgN!X250,NPgY!X250,WMID!X250,EMID!X250,SWALES!X250,SWEST!X250,LPN!X250,SPN!X250,EPN!X250,SPD!X250,SPMW!X250,SSEH!X250,SSES!X250)</f>
        <v>133.80371740421066</v>
      </c>
      <c r="Y250" s="413">
        <f>CHOOSE($B$3,ENWL!Y250,NPgN!Y250,NPgY!Y250,WMID!Y250,EMID!Y250,SWALES!Y250,SWEST!Y250,LPN!Y250,SPN!Y250,EPN!Y250,SPD!Y250,SPMW!Y250,SSEH!Y250,SSES!Y250)</f>
        <v>127.56180274321524</v>
      </c>
      <c r="Z250" s="413">
        <f>CHOOSE($B$3,ENWL!Z250,NPgN!Z250,NPgY!Z250,WMID!Z250,EMID!Z250,SWALES!Z250,SWEST!Z250,LPN!Z250,SPN!Z250,EPN!Z250,SPD!Z250,SPMW!Z250,SSEH!Z250,SSES!Z250)</f>
        <v>163.60508585078944</v>
      </c>
      <c r="AA250" s="413">
        <f>CHOOSE($B$3,ENWL!AA250,NPgN!AA250,NPgY!AA250,WMID!AA250,EMID!AA250,SWALES!AA250,SWEST!AA250,LPN!AA250,SPN!AA250,EPN!AA250,SPD!AA250,SPMW!AA250,SSEH!AA250,SSES!AA250)</f>
        <v>171.96228106127285</v>
      </c>
      <c r="AB250" s="413">
        <f>CHOOSE($B$3,ENWL!AB250,NPgN!AB250,NPgY!AB250,WMID!AB250,EMID!AB250,SWALES!AB250,SWEST!AB250,LPN!AB250,SPN!AB250,EPN!AB250,SPD!AB250,SPMW!AB250,SSEH!AB250,SSES!AB250)</f>
        <v>216.89661349580709</v>
      </c>
      <c r="AC250" s="413">
        <f>CHOOSE($B$3,ENWL!AC250,NPgN!AC250,NPgY!AC250,WMID!AC250,EMID!AC250,SWALES!AC250,SWEST!AC250,LPN!AC250,SPN!AC250,EPN!AC250,SPD!AC250,SPMW!AC250,SSEH!AC250,SSES!AC250)</f>
        <v>241.45999844804848</v>
      </c>
      <c r="AD250" s="413">
        <f>CHOOSE($B$3,ENWL!AD250,NPgN!AD250,NPgY!AD250,WMID!AD250,EMID!AD250,SWALES!AD250,SWEST!AD250,LPN!AD250,SPN!AD250,EPN!AD250,SPD!AD250,SPMW!AD250,SSEH!AD250,SSES!AD250)</f>
        <v>197.02058631036226</v>
      </c>
      <c r="AE250" s="413">
        <f>CHOOSE($B$3,ENWL!AE250,NPgN!AE250,NPgY!AE250,WMID!AE250,EMID!AE250,SWALES!AE250,SWEST!AE250,LPN!AE250,SPN!AE250,EPN!AE250,SPD!AE250,SPMW!AE250,SSEH!AE250,SSES!AE250)</f>
        <v>203.50475801997527</v>
      </c>
      <c r="AF250" s="413">
        <f>CHOOSE($B$3,ENWL!AF250,NPgN!AF250,NPgY!AF250,WMID!AF250,EMID!AF250,SWALES!AF250,SWEST!AF250,LPN!AF250,SPN!AF250,EPN!AF250,SPD!AF250,SPMW!AF250,SSEH!AF250,SSES!AF250)</f>
        <v>219.29651147851237</v>
      </c>
      <c r="AG250" s="413">
        <f>CHOOSE($B$3,ENWL!AG250,NPgN!AG250,NPgY!AG250,WMID!AG250,EMID!AG250,SWALES!AG250,SWEST!AG250,LPN!AG250,SPN!AG250,EPN!AG250,SPD!AG250,SPMW!AG250,SSEH!AG250,SSES!AG250)</f>
        <v>277.11848278310407</v>
      </c>
      <c r="AH250" s="413">
        <f>CHOOSE($B$3,ENWL!AH250,NPgN!AH250,NPgY!AH250,WMID!AH250,EMID!AH250,SWALES!AH250,SWEST!AH250,LPN!AH250,SPN!AH250,EPN!AH250,SPD!AH250,SPMW!AH250,SSEH!AH250,SSES!AH250)</f>
        <v>300.36393808112814</v>
      </c>
      <c r="AI250" s="413">
        <f>CHOOSE($B$3,ENWL!AI250,NPgN!AI250,NPgY!AI250,WMID!AI250,EMID!AI250,SWALES!AI250,SWEST!AI250,LPN!AI250,SPN!AI250,EPN!AI250,SPD!AI250,SPMW!AI250,SSEH!AI250,SSES!AI250)</f>
        <v>235.57913404646982</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-0.53673992636130419</v>
      </c>
      <c r="AI252" s="413">
        <f>CHOOSE($B$3,ENWL!AI252,NPgN!AI252,NPgY!AI252,WMID!AI252,EMID!AI252,SWALES!AI252,SWEST!AI252,LPN!AI252,SPN!AI252,EPN!AI252,SPD!AI252,SPMW!AI252,SSEH!AI252,SSES!AI252)</f>
        <v>101.56243194745407</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528.44346172999997</v>
      </c>
      <c r="AS264" s="476">
        <f>CHOOSE($B$3,ENWL!AS264,NPgN!AS264,NPgY!AS264,WMID!AS264,EMID!AS264,SWALES!AS264,SWEST!AS264,LPN!AS264,SPN!AS264,EPN!AS264,SPD!AS264,SPMW!AS264,SSEH!AS264,SSES!AS264)</f>
        <v>717.66896479000002</v>
      </c>
      <c r="AT264" s="476">
        <f>CHOOSE($B$3,ENWL!AT264,NPgN!AT264,NPgY!AT264,WMID!AT264,EMID!AT264,SWALES!AT264,SWEST!AT264,LPN!AT264,SPN!AT264,EPN!AT264,SPD!AT264,SPMW!AT264,SSEH!AT264,SSES!AT264)</f>
        <v>581.32019402925937</v>
      </c>
      <c r="AU264" s="476">
        <f>CHOOSE($B$3,ENWL!AU264,NPgN!AU264,NPgY!AU264,WMID!AU264,EMID!AU264,SWALES!AU264,SWEST!AU264,LPN!AU264,SPN!AU264,EPN!AU264,SPD!AU264,SPMW!AU264,SSEH!AU264,SSES!AU264)</f>
        <v>582.14944419357857</v>
      </c>
      <c r="AV264" s="476">
        <f>CHOOSE($B$3,ENWL!AV264,NPgN!AV264,NPgY!AV264,WMID!AV264,EMID!AV264,SWALES!AV264,SWEST!AV264,LPN!AV264,SPN!AV264,EPN!AV264,SPD!AV264,SPMW!AV264,SSEH!AV264,SSES!AV264)</f>
        <v>0</v>
      </c>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520.81434287343518</v>
      </c>
      <c r="AS265" s="476">
        <f>CHOOSE($B$3,ENWL!AS265,NPgN!AS265,NPgY!AS265,WMID!AS265,EMID!AS265,SWALES!AS265,SWEST!AS265,LPN!AS265,SPN!AS265,EPN!AS265,SPD!AS265,SPMW!AS265,SSEH!AS265,SSES!AS265)</f>
        <v>710.56167651617056</v>
      </c>
      <c r="AT265" s="476">
        <f>CHOOSE($B$3,ENWL!AT265,NPgN!AT265,NPgY!AT265,WMID!AT265,EMID!AT265,SWALES!AT265,SWEST!AT265,LPN!AT265,SPN!AT265,EPN!AT265,SPD!AT265,SPMW!AT265,SSEH!AT265,SSES!AT265)</f>
        <v>568.95486167833837</v>
      </c>
      <c r="AU265" s="476">
        <f>CHOOSE($B$3,ENWL!AU265,NPgN!AU265,NPgY!AU265,WMID!AU265,EMID!AU265,SWALES!AU265,SWEST!AU265,LPN!AU265,SPN!AU265,EPN!AU265,SPD!AU265,SPMW!AU265,SSEH!AU265,SSES!AU265)</f>
        <v>579.48770086432239</v>
      </c>
      <c r="AV265" s="476">
        <f>CHOOSE($B$3,ENWL!AV265,NPgN!AV265,NPgY!AV265,WMID!AV265,EMID!AV265,SWALES!AV265,SWEST!AV265,LPN!AV265,SPN!AV265,EPN!AV265,SPD!AV265,SPMW!AV265,SSEH!AV265,SSES!AV265)</f>
        <v>0</v>
      </c>
      <c r="AW265" s="184"/>
    </row>
    <row r="266" spans="1:49" ht="15">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429.14144932565534</v>
      </c>
      <c r="AU266" s="476">
        <f>CHOOSE($B$3,ENWL!AU266,NPgN!AU266,NPgY!AU266,WMID!AU266,EMID!AU266,SWALES!AU266,SWEST!AU266,LPN!AU266,SPN!AU266,EPN!AU266,SPD!AU266,SPMW!AU266,SSEH!AU266,SSES!AU266)</f>
        <v>412.00601929769078</v>
      </c>
      <c r="AV266" s="476">
        <f>CHOOSE($B$3,ENWL!AV266,NPgN!AV266,NPgY!AV266,WMID!AV266,EMID!AV266,SWALES!AV266,SWEST!AV266,LPN!AV266,SPN!AV266,EPN!AV266,SPD!AV266,SPMW!AV266,SSEH!AV266,SSES!AV266)</f>
        <v>0</v>
      </c>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4.2665699999999999E-3</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5">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-0.210622696666667</v>
      </c>
      <c r="AS268" s="476">
        <f>CHOOSE($B$3,ENWL!AS268,NPgN!AS268,NPgY!AS268,WMID!AS268,EMID!AS268,SWALES!AS268,SWEST!AS268,LPN!AS268,SPN!AS268,EPN!AS268,SPD!AS268,SPMW!AS268,SSEH!AS268,SSES!AS268)</f>
        <v>-0.221875978333333</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5">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-17.068713974431002</v>
      </c>
      <c r="AS277" s="476">
        <f>CHOOSE($B$3,ENWL!AS277,NPgN!AS277,NPgY!AS277,WMID!AS277,EMID!AS277,SWALES!AS277,SWEST!AS277,LPN!AS277,SPN!AS277,EPN!AS277,SPD!AS277,SPMW!AS277,SSEH!AS277,SSES!AS277)</f>
        <v>-19.249640497993898</v>
      </c>
      <c r="AT277" s="476">
        <f>CHOOSE($B$3,ENWL!AT277,NPgN!AT277,NPgY!AT277,WMID!AT277,EMID!AT277,SWALES!AT277,SWEST!AT277,LPN!AT277,SPN!AT277,EPN!AT277,SPD!AT277,SPMW!AT277,SSEH!AT277,SSES!AT277)</f>
        <v>-26.358249044332915</v>
      </c>
      <c r="AU277" s="476">
        <f>CHOOSE($B$3,ENWL!AU277,NPgN!AU277,NPgY!AU277,WMID!AU277,EMID!AU277,SWALES!AU277,SWEST!AU277,LPN!AU277,SPN!AU277,EPN!AU277,SPD!AU277,SPMW!AU277,SSEH!AU277,SSES!AU277)</f>
        <v>-29.557892508283516</v>
      </c>
      <c r="AV277" s="476">
        <f>CHOOSE($B$3,ENWL!AV277,NPgN!AV277,NPgY!AV277,WMID!AV277,EMID!AV277,SWALES!AV277,SWEST!AV277,LPN!AV277,SPN!AV277,EPN!AV277,SPD!AV277,SPMW!AV277,SSEH!AV277,SSES!AV277)</f>
        <v>-26.377392767584055</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1898.03575330734</v>
      </c>
      <c r="AS278" s="476">
        <f>CHOOSE($B$3,ENWL!AS278,NPgN!AS278,NPgY!AS278,WMID!AS278,EMID!AS278,SWALES!AS278,SWEST!AS278,LPN!AS278,SPN!AS278,EPN!AS278,SPD!AS278,SPMW!AS278,SSEH!AS278,SSES!AS278)</f>
        <v>2011.0387178961798</v>
      </c>
      <c r="AT278" s="476">
        <f>CHOOSE($B$3,ENWL!AT278,NPgN!AT278,NPgY!AT278,WMID!AT278,EMID!AT278,SWALES!AT278,SWEST!AT278,LPN!AT278,SPN!AT278,EPN!AT278,SPD!AT278,SPMW!AT278,SSEH!AT278,SSES!AT278)</f>
        <v>2291.5926097498013</v>
      </c>
      <c r="AU278" s="476">
        <f>CHOOSE($B$3,ENWL!AU278,NPgN!AU278,NPgY!AU278,WMID!AU278,EMID!AU278,SWALES!AU278,SWEST!AU278,LPN!AU278,SPN!AU278,EPN!AU278,SPD!AU278,SPMW!AU278,SSEH!AU278,SSES!AU278)</f>
        <v>2419.6348857920166</v>
      </c>
      <c r="AV278" s="476">
        <f>CHOOSE($B$3,ENWL!AV278,NPgN!AV278,NPgY!AV278,WMID!AV278,EMID!AV278,SWALES!AV278,SWEST!AV278,LPN!AV278,SPN!AV278,EPN!AV278,SPD!AV278,SPMW!AV278,SSEH!AV278,SSES!AV278)</f>
        <v>2631.6</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95.89345582</v>
      </c>
      <c r="AS279" s="476">
        <f>CHOOSE($B$3,ENWL!AS279,NPgN!AS279,NPgY!AS279,WMID!AS279,EMID!AS279,SWALES!AS279,SWEST!AS279,LPN!AS279,SPN!AS279,EPN!AS279,SPD!AS279,SPMW!AS279,SSEH!AS279,SSES!AS279)</f>
        <v>94.921712618706479</v>
      </c>
      <c r="AT279" s="476">
        <f>CHOOSE($B$3,ENWL!AT279,NPgN!AT279,NPgY!AT279,WMID!AT279,EMID!AT279,SWALES!AT279,SWEST!AT279,LPN!AT279,SPN!AT279,EPN!AT279,SPD!AT279,SPMW!AT279,SSEH!AT279,SSES!AT279)</f>
        <v>120.41669466812348</v>
      </c>
      <c r="AU279" s="476">
        <f>CHOOSE($B$3,ENWL!AU279,NPgN!AU279,NPgY!AU279,WMID!AU279,EMID!AU279,SWALES!AU279,SWEST!AU279,LPN!AU279,SPN!AU279,EPN!AU279,SPD!AU279,SPMW!AU279,SSEH!AU279,SSES!AU279)</f>
        <v>124.28745411618772</v>
      </c>
      <c r="AV279" s="476">
        <f>CHOOSE($B$3,ENWL!AV279,NPgN!AV279,NPgY!AV279,WMID!AV279,EMID!AV279,SWALES!AV279,SWEST!AV279,LPN!AV279,SPN!AV279,EPN!AV279,SPD!AV279,SPMW!AV279,SSEH!AV279,SSES!AV279)</f>
        <v>139.0153650224228</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-23.756908659839809</v>
      </c>
      <c r="AT282" s="476">
        <f>CHOOSE($B$3,ENWL!AT282,NPgN!AT282,NPgY!AT282,WMID!AT282,EMID!AT282,SWALES!AT282,SWEST!AT282,LPN!AT282,SPN!AT282,EPN!AT282,SPD!AT282,SPMW!AT282,SSEH!AT282,SSES!AT282)</f>
        <v>-29.218301254973113</v>
      </c>
      <c r="AU282" s="476">
        <f>CHOOSE($B$3,ENWL!AU282,NPgN!AU282,NPgY!AU282,WMID!AU282,EMID!AU282,SWALES!AU282,SWEST!AU282,LPN!AU282,SPN!AU282,EPN!AU282,SPD!AU282,SPMW!AU282,SSEH!AU282,SSES!AU282)</f>
        <v>-47.075346053260148</v>
      </c>
      <c r="AV282" s="476">
        <f>CHOOSE($B$3,ENWL!AV282,NPgN!AV282,NPgY!AV282,WMID!AV282,EMID!AV282,SWALES!AV282,SWEST!AV282,LPN!AV282,SPN!AV282,EPN!AV282,SPD!AV282,SPMW!AV282,SSEH!AV282,SSES!AV282)</f>
        <v>-52.385784930577969</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-41.818837552249924</v>
      </c>
      <c r="AT283" s="476">
        <f>CHOOSE($B$3,ENWL!AT283,NPgN!AT283,NPgY!AT283,WMID!AT283,EMID!AT283,SWALES!AT283,SWEST!AT283,LPN!AT283,SPN!AT283,EPN!AT283,SPD!AT283,SPMW!AT283,SSEH!AT283,SSES!AT283)</f>
        <v>-47.113795001551836</v>
      </c>
      <c r="AU283" s="476">
        <f>CHOOSE($B$3,ENWL!AU283,NPgN!AU283,NPgY!AU283,WMID!AU283,EMID!AU283,SWALES!AU283,SWEST!AU283,LPN!AU283,SPN!AU283,EPN!AU283,SPD!AU283,SPMW!AU283,SSEH!AU283,SSES!AU283)</f>
        <v>-61.603623325325657</v>
      </c>
      <c r="AV283" s="476">
        <f>CHOOSE($B$3,ENWL!AV283,NPgN!AV283,NPgY!AV283,WMID!AV283,EMID!AV283,SWALES!AV283,SWEST!AV283,LPN!AV283,SPN!AV283,EPN!AV283,SPD!AV283,SPMW!AV283,SSEH!AV283,SSES!AV283)</f>
        <v>-72.349012225023657</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0.14000000000000001</v>
      </c>
      <c r="AV286" s="420">
        <f>CHOOSE($B$3,ENWL!AV286,NPgN!AV286,NPgY!AV286,WMID!AV286,EMID!AV286,SWALES!AV286,SWEST!AV286,LPN!AV286,SPN!AV286,EPN!AV286,SPD!AV286,SPMW!AV286,SSEH!AV286,SSES!AV286)</f>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2.1594507853983487</v>
      </c>
      <c r="AS291" s="528">
        <f>CHOOSE($B$3,ENWL!AS291,NPgN!AS291,NPgY!AS291,WMID!AS291,EMID!AS291,SWALES!AS291,SWEST!AS291,LPN!AS291,SPN!AS291,EPN!AS291,SPD!AS291,SPMW!AS291,SSEH!AS291,SSES!AS291)</f>
        <v>2.108783385973247</v>
      </c>
      <c r="AT291" s="528">
        <f>CHOOSE($B$3,ENWL!AT291,NPgN!AT291,NPgY!AT291,WMID!AT291,EMID!AT291,SWALES!AT291,SWEST!AT291,LPN!AT291,SPN!AT291,EPN!AT291,SPD!AT291,SPMW!AT291,SSEH!AT291,SSES!AT291)</f>
        <v>1.9571099436141921</v>
      </c>
      <c r="AU291" s="528">
        <f>CHOOSE($B$3,ENWL!AU291,NPgN!AU291,NPgY!AU291,WMID!AU291,EMID!AU291,SWALES!AU291,SWEST!AU291,LPN!AU291,SPN!AU291,EPN!AU291,SPD!AU291,SPMW!AU291,SSEH!AU291,SSES!AU291)</f>
        <v>1.6739883971269975</v>
      </c>
      <c r="AV291" s="528">
        <f>CHOOSE($B$3,ENWL!AV291,NPgN!AV291,NPgY!AV291,WMID!AV291,EMID!AV291,SWALES!AV291,SWEST!AV291,LPN!AV291,SPN!AV291,EPN!AV291,SPD!AV291,SPMW!AV291,SSEH!AV291,SSES!AV291)</f>
        <v>1.4057277322201749</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4.2047154411977095E-2</v>
      </c>
      <c r="AS295" s="508">
        <f>CHOOSE($B$3,ENWL!AS295,NPgN!AS295,NPgY!AS295,WMID!AS295,EMID!AS295,SWALES!AS295,SWEST!AS295,LPN!AS295,SPN!AS295,EPN!AS295,SPD!AS295,SPMW!AS295,SSEH!AS295,SSES!AS295)</f>
        <v>2.2425103522724154E-2</v>
      </c>
      <c r="AT295" s="508">
        <f>CHOOSE($B$3,ENWL!AT295,NPgN!AT295,NPgY!AT295,WMID!AT295,EMID!AT295,SWALES!AT295,SWEST!AT295,LPN!AT295,SPN!AT295,EPN!AT295,SPD!AT295,SPMW!AT295,SSEH!AT295,SSES!AT295)</f>
        <v>1.7384109584575886E-2</v>
      </c>
      <c r="AU295" s="508">
        <f>CHOOSE($B$3,ENWL!AU295,NPgN!AU295,NPgY!AU295,WMID!AU295,EMID!AU295,SWALES!AU295,SWEST!AU295,LPN!AU295,SPN!AU295,EPN!AU295,SPD!AU295,SPMW!AU295,SSEH!AU295,SSES!AU295)</f>
        <v>1.7384109584575886E-2</v>
      </c>
      <c r="AV295" s="508">
        <f>CHOOSE($B$3,ENWL!AV295,NPgN!AV295,NPgY!AV295,WMID!AV295,EMID!AV295,SWALES!AV295,SWEST!AV295,LPN!AV295,SPN!AV295,EPN!AV295,SPD!AV295,SPMW!AV295,SSEH!AV295,SSES!AV295)</f>
        <v>1.7384109584575886E-2</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1.9408577120148588E-3</v>
      </c>
      <c r="AS296" s="508">
        <f>CHOOSE($B$3,ENWL!AS296,NPgN!AS296,NPgY!AS296,WMID!AS296,EMID!AS296,SWALES!AS296,SWEST!AS296,LPN!AS296,SPN!AS296,EPN!AS296,SPD!AS296,SPMW!AS296,SSEH!AS296,SSES!AS296)</f>
        <v>9.9812714432781068E-4</v>
      </c>
      <c r="AT296" s="508">
        <f>CHOOSE($B$3,ENWL!AT296,NPgN!AT296,NPgY!AT296,WMID!AT296,EMID!AT296,SWALES!AT296,SWEST!AT296,LPN!AT296,SPN!AT296,EPN!AT296,SPD!AT296,SPMW!AT296,SSEH!AT296,SSES!AT296)</f>
        <v>5.5660080708516716E-3</v>
      </c>
      <c r="AU296" s="508">
        <f>CHOOSE($B$3,ENWL!AU296,NPgN!AU296,NPgY!AU296,WMID!AU296,EMID!AU296,SWALES!AU296,SWEST!AU296,LPN!AU296,SPN!AU296,EPN!AU296,SPD!AU296,SPMW!AU296,SSEH!AU296,SSES!AU296)</f>
        <v>5.5660080708516716E-3</v>
      </c>
      <c r="AV296" s="508">
        <f>CHOOSE($B$3,ENWL!AV296,NPgN!AV296,NPgY!AV296,WMID!AV296,EMID!AV296,SWALES!AV296,SWEST!AV296,LPN!AV296,SPN!AV296,EPN!AV296,SPD!AV296,SPMW!AV296,SSEH!AV296,SSES!AV296)</f>
        <v>5.5660080708516716E-3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0.86188057090291159</v>
      </c>
      <c r="AS297" s="508">
        <f>CHOOSE($B$3,ENWL!AS297,NPgN!AS297,NPgY!AS297,WMID!AS297,EMID!AS297,SWALES!AS297,SWEST!AS297,LPN!AS297,SPN!AS297,EPN!AS297,SPD!AS297,SPMW!AS297,SSEH!AS297,SSES!AS297)</f>
        <v>0.90138784129211191</v>
      </c>
      <c r="AT297" s="508">
        <f>CHOOSE($B$3,ENWL!AT297,NPgN!AT297,NPgY!AT297,WMID!AT297,EMID!AT297,SWALES!AT297,SWEST!AT297,LPN!AT297,SPN!AT297,EPN!AT297,SPD!AT297,SPMW!AT297,SSEH!AT297,SSES!AT297)</f>
        <v>0.91082935844954416</v>
      </c>
      <c r="AU297" s="508">
        <f>CHOOSE($B$3,ENWL!AU297,NPgN!AU297,NPgY!AU297,WMID!AU297,EMID!AU297,SWALES!AU297,SWEST!AU297,LPN!AU297,SPN!AU297,EPN!AU297,SPD!AU297,SPMW!AU297,SSEH!AU297,SSES!AU297)</f>
        <v>0.91082935844954416</v>
      </c>
      <c r="AV297" s="508">
        <f>CHOOSE($B$3,ENWL!AV297,NPgN!AV297,NPgY!AV297,WMID!AV297,EMID!AV297,SWALES!AV297,SWEST!AV297,LPN!AV297,SPN!AV297,EPN!AV297,SPD!AV297,SPMW!AV297,SSEH!AV297,SSES!AV297)</f>
        <v>0.91082935844954416</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2.746307009450932E-2</v>
      </c>
      <c r="AS301" s="508">
        <f>CHOOSE($B$3,ENWL!AS301,NPgN!AS301,NPgY!AS301,WMID!AS301,EMID!AS301,SWALES!AS301,SWEST!AS301,LPN!AS301,SPN!AS301,EPN!AS301,SPD!AS301,SPMW!AS301,SSEH!AS301,SSES!AS301)</f>
        <v>2.6376157304411396E-2</v>
      </c>
      <c r="AT301" s="508">
        <f>CHOOSE($B$3,ENWL!AT301,NPgN!AT301,NPgY!AT301,WMID!AT301,EMID!AT301,SWALES!AT301,SWEST!AT301,LPN!AT301,SPN!AT301,EPN!AT301,SPD!AT301,SPMW!AT301,SSEH!AT301,SSES!AT301)</f>
        <v>3.0497500698497167E-2</v>
      </c>
      <c r="AU301" s="508">
        <f>CHOOSE($B$3,ENWL!AU301,NPgN!AU301,NPgY!AU301,WMID!AU301,EMID!AU301,SWALES!AU301,SWEST!AU301,LPN!AU301,SPN!AU301,EPN!AU301,SPD!AU301,SPMW!AU301,SSEH!AU301,SSES!AU301)</f>
        <v>3.0497500698497167E-2</v>
      </c>
      <c r="AV301" s="508">
        <f>CHOOSE($B$3,ENWL!AV301,NPgN!AV301,NPgY!AV301,WMID!AV301,EMID!AV301,SWALES!AV301,SWEST!AV301,LPN!AV301,SPN!AV301,EPN!AV301,SPD!AV301,SPMW!AV301,SSEH!AV301,SSES!AV301)</f>
        <v>3.0497500698497167E-2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0.95795284558802285</v>
      </c>
      <c r="AS302" s="508">
        <f>CHOOSE($B$3,ENWL!AS302,NPgN!AS302,NPgY!AS302,WMID!AS302,EMID!AS302,SWALES!AS302,SWEST!AS302,LPN!AS302,SPN!AS302,EPN!AS302,SPD!AS302,SPMW!AS302,SSEH!AS302,SSES!AS302)</f>
        <v>0.97757489647727591</v>
      </c>
      <c r="AT302" s="508">
        <f>CHOOSE($B$3,ENWL!AT302,NPgN!AT302,NPgY!AT302,WMID!AT302,EMID!AT302,SWALES!AT302,SWEST!AT302,LPN!AT302,SPN!AT302,EPN!AT302,SPD!AT302,SPMW!AT302,SSEH!AT302,SSES!AT302)</f>
        <v>0.981489767083633</v>
      </c>
      <c r="AU302" s="508">
        <f>CHOOSE($B$3,ENWL!AU302,NPgN!AU302,NPgY!AU302,WMID!AU302,EMID!AU302,SWALES!AU302,SWEST!AU302,LPN!AU302,SPN!AU302,EPN!AU302,SPD!AU302,SPMW!AU302,SSEH!AU302,SSES!AU302)</f>
        <v>0.981489767083633</v>
      </c>
      <c r="AV302" s="508">
        <f>CHOOSE($B$3,ENWL!AV302,NPgN!AV302,NPgY!AV302,WMID!AV302,EMID!AV302,SWALES!AV302,SWEST!AV302,LPN!AV302,SPN!AV302,EPN!AV302,SPD!AV302,SPMW!AV302,SSEH!AV302,SSES!AV302)</f>
        <v>0.981489767083633</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0.26803452593409416</v>
      </c>
      <c r="AS303" s="508">
        <f>CHOOSE($B$3,ENWL!AS303,NPgN!AS303,NPgY!AS303,WMID!AS303,EMID!AS303,SWALES!AS303,SWEST!AS303,LPN!AS303,SPN!AS303,EPN!AS303,SPD!AS303,SPMW!AS303,SSEH!AS303,SSES!AS303)</f>
        <v>0.29036422228579778</v>
      </c>
      <c r="AT303" s="508">
        <f>CHOOSE($B$3,ENWL!AT303,NPgN!AT303,NPgY!AT303,WMID!AT303,EMID!AT303,SWALES!AT303,SWEST!AT303,LPN!AT303,SPN!AT303,EPN!AT303,SPD!AT303,SPMW!AT303,SSEH!AT303,SSES!AT303)</f>
        <v>0.34918525307829523</v>
      </c>
      <c r="AU303" s="508">
        <f>CHOOSE($B$3,ENWL!AU303,NPgN!AU303,NPgY!AU303,WMID!AU303,EMID!AU303,SWALES!AU303,SWEST!AU303,LPN!AU303,SPN!AU303,EPN!AU303,SPD!AU303,SPMW!AU303,SSEH!AU303,SSES!AU303)</f>
        <v>0.34918525307829523</v>
      </c>
      <c r="AV303" s="508">
        <f>CHOOSE($B$3,ENWL!AV303,NPgN!AV303,NPgY!AV303,WMID!AV303,EMID!AV303,SWALES!AV303,SWEST!AV303,LPN!AV303,SPN!AV303,EPN!AV303,SPD!AV303,SPMW!AV303,SSEH!AV303,SSES!AV303)</f>
        <v>0.34918525307829523</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8.8386410102834309E-2</v>
      </c>
      <c r="AS304" s="508">
        <f>CHOOSE($B$3,ENWL!AS304,NPgN!AS304,NPgY!AS304,WMID!AS304,EMID!AS304,SWALES!AS304,SWEST!AS304,LPN!AS304,SPN!AS304,EPN!AS304,SPD!AS304,SPMW!AS304,SSEH!AS304,SSES!AS304)</f>
        <v>6.6635532756656429E-2</v>
      </c>
      <c r="AT304" s="508">
        <f>CHOOSE($B$3,ENWL!AT304,NPgN!AT304,NPgY!AT304,WMID!AT304,EMID!AT304,SWALES!AT304,SWEST!AT304,LPN!AT304,SPN!AT304,EPN!AT304,SPD!AT304,SPMW!AT304,SSEH!AT304,SSES!AT304)</f>
        <v>5.9998774399250394E-2</v>
      </c>
      <c r="AU304" s="508">
        <f>CHOOSE($B$3,ENWL!AU304,NPgN!AU304,NPgY!AU304,WMID!AU304,EMID!AU304,SWALES!AU304,SWEST!AU304,LPN!AU304,SPN!AU304,EPN!AU304,SPD!AU304,SPMW!AU304,SSEH!AU304,SSES!AU304)</f>
        <v>5.9998774399250394E-2</v>
      </c>
      <c r="AV304" s="508">
        <f>CHOOSE($B$3,ENWL!AV304,NPgN!AV304,NPgY!AV304,WMID!AV304,EMID!AV304,SWALES!AV304,SWEST!AV304,LPN!AV304,SPN!AV304,EPN!AV304,SPD!AV304,SPMW!AV304,SSEH!AV304,SSES!AV304)</f>
        <v>5.9998774399250394E-2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0.15423881256656921</v>
      </c>
      <c r="AS308" s="508">
        <f>CHOOSE($B$3,ENWL!AS308,NPgN!AS308,NPgY!AS308,WMID!AS308,EMID!AS308,SWALES!AS308,SWEST!AS308,LPN!AS308,SPN!AS308,EPN!AS308,SPD!AS308,SPMW!AS308,SSEH!AS308,SSES!AS308)</f>
        <v>0.15655091762294118</v>
      </c>
      <c r="AT308" s="508">
        <f>CHOOSE($B$3,ENWL!AT308,NPgN!AT308,NPgY!AT308,WMID!AT308,EMID!AT308,SWALES!AT308,SWEST!AT308,LPN!AT308,SPN!AT308,EPN!AT308,SPD!AT308,SPMW!AT308,SSEH!AT308,SSES!AT308)</f>
        <v>0.1788765314918597</v>
      </c>
      <c r="AU308" s="508">
        <f>CHOOSE($B$3,ENWL!AU308,NPgN!AU308,NPgY!AU308,WMID!AU308,EMID!AU308,SWALES!AU308,SWEST!AU308,LPN!AU308,SPN!AU308,EPN!AU308,SPD!AU308,SPMW!AU308,SSEH!AU308,SSES!AU308)</f>
        <v>0.1788765314918597</v>
      </c>
      <c r="AV308" s="508">
        <f>CHOOSE($B$3,ENWL!AV308,NPgN!AV308,NPgY!AV308,WMID!AV308,EMID!AV308,SWALES!AV308,SWEST!AV308,LPN!AV308,SPN!AV308,EPN!AV308,SPD!AV308,SPMW!AV308,SSEH!AV308,SSES!AV308)</f>
        <v>0.1788765314918597</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0</v>
      </c>
      <c r="AS309" s="508">
        <f>CHOOSE($B$3,ENWL!AS309,NPgN!AS309,NPgY!AS309,WMID!AS309,EMID!AS309,SWALES!AS309,SWEST!AS309,LPN!AS309,SPN!AS309,EPN!AS309,SPD!AS309,SPMW!AS309,SSEH!AS309,SSES!AS309)</f>
        <v>0</v>
      </c>
      <c r="AT309" s="508">
        <f>CHOOSE($B$3,ENWL!AT309,NPgN!AT309,NPgY!AT309,WMID!AT309,EMID!AT309,SWALES!AT309,SWEST!AT309,LPN!AT309,SPN!AT309,EPN!AT309,SPD!AT309,SPMW!AT309,SSEH!AT309,SSES!AT309)</f>
        <v>2.351261729028163E-4</v>
      </c>
      <c r="AU309" s="508">
        <f>CHOOSE($B$3,ENWL!AU309,NPgN!AU309,NPgY!AU309,WMID!AU309,EMID!AU309,SWALES!AU309,SWEST!AU309,LPN!AU309,SPN!AU309,EPN!AU309,SPD!AU309,SPMW!AU309,SSEH!AU309,SSES!AU309)</f>
        <v>2.351261729028163E-4</v>
      </c>
      <c r="AV309" s="508">
        <f>CHOOSE($B$3,ENWL!AV309,NPgN!AV309,NPgY!AV309,WMID!AV309,EMID!AV309,SWALES!AV309,SWEST!AV309,LPN!AV309,SPN!AV309,EPN!AV309,SPD!AV309,SPMW!AV309,SSEH!AV309,SSES!AV309)</f>
        <v>2.351261729028163E-4</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0.68311188935813949</v>
      </c>
      <c r="AS310" s="508">
        <f>CHOOSE($B$3,ENWL!AS310,NPgN!AS310,NPgY!AS310,WMID!AS310,EMID!AS310,SWALES!AS310,SWEST!AS310,LPN!AS310,SPN!AS310,EPN!AS310,SPD!AS310,SPMW!AS310,SSEH!AS310,SSES!AS310)</f>
        <v>0.680401034485423</v>
      </c>
      <c r="AT310" s="508">
        <f>CHOOSE($B$3,ENWL!AT310,NPgN!AT310,NPgY!AT310,WMID!AT310,EMID!AT310,SWALES!AT310,SWEST!AT310,LPN!AT310,SPN!AT310,EPN!AT310,SPD!AT310,SPMW!AT310,SSEH!AT310,SSES!AT310)</f>
        <v>0.62744773107513019</v>
      </c>
      <c r="AU310" s="508">
        <f>CHOOSE($B$3,ENWL!AU310,NPgN!AU310,NPgY!AU310,WMID!AU310,EMID!AU310,SWALES!AU310,SWEST!AU310,LPN!AU310,SPN!AU310,EPN!AU310,SPD!AU310,SPMW!AU310,SSEH!AU310,SSES!AU310)</f>
        <v>0.62744773107513019</v>
      </c>
      <c r="AV310" s="508">
        <f>CHOOSE($B$3,ENWL!AV310,NPgN!AV310,NPgY!AV310,WMID!AV310,EMID!AV310,SWALES!AV310,SWEST!AV310,LPN!AV310,SPN!AV310,EPN!AV310,SPD!AV310,SPMW!AV310,SSEH!AV310,SSES!AV310)</f>
        <v>0.62744773107513019</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3.6583412757573222E-2</v>
      </c>
      <c r="AS311" s="508">
        <f>CHOOSE($B$3,ENWL!AS311,NPgN!AS311,NPgY!AS311,WMID!AS311,EMID!AS311,SWALES!AS311,SWEST!AS311,LPN!AS311,SPN!AS311,EPN!AS311,SPD!AS311,SPMW!AS311,SSEH!AS311,SSES!AS311)</f>
        <v>1.1258657915556886E-2</v>
      </c>
      <c r="AT311" s="508">
        <f>CHOOSE($B$3,ENWL!AT311,NPgN!AT311,NPgY!AT311,WMID!AT311,EMID!AT311,SWALES!AT311,SWEST!AT311,LPN!AT311,SPN!AT311,EPN!AT311,SPD!AT311,SPMW!AT311,SSEH!AT311,SSES!AT311)</f>
        <v>1.2401765561391878E-2</v>
      </c>
      <c r="AU311" s="508">
        <f>CHOOSE($B$3,ENWL!AU311,NPgN!AU311,NPgY!AU311,WMID!AU311,EMID!AU311,SWALES!AU311,SWEST!AU311,LPN!AU311,SPN!AU311,EPN!AU311,SPD!AU311,SPMW!AU311,SSEH!AU311,SSES!AU311)</f>
        <v>1.2401765561391878E-2</v>
      </c>
      <c r="AV311" s="508">
        <f>CHOOSE($B$3,ENWL!AV311,NPgN!AV311,NPgY!AV311,WMID!AV311,EMID!AV311,SWALES!AV311,SWEST!AV311,LPN!AV311,SPN!AV311,EPN!AV311,SPD!AV311,SPMW!AV311,SSEH!AV311,SSES!AV311)</f>
        <v>1.2401765561391878E-2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0.79999999999999993</v>
      </c>
      <c r="AS312" s="508">
        <f>CHOOSE($B$3,ENWL!AS312,NPgN!AS312,NPgY!AS312,WMID!AS312,EMID!AS312,SWALES!AS312,SWEST!AS312,LPN!AS312,SPN!AS312,EPN!AS312,SPD!AS312,SPMW!AS312,SSEH!AS312,SSES!AS312)</f>
        <v>0.8</v>
      </c>
      <c r="AT312" s="508">
        <f>CHOOSE($B$3,ENWL!AT312,NPgN!AT312,NPgY!AT312,WMID!AT312,EMID!AT312,SWALES!AT312,SWEST!AT312,LPN!AT312,SPN!AT312,EPN!AT312,SPD!AT312,SPMW!AT312,SSEH!AT312,SSES!AT312)</f>
        <v>0.8</v>
      </c>
      <c r="AU312" s="508">
        <f>CHOOSE($B$3,ENWL!AU312,NPgN!AU312,NPgY!AU312,WMID!AU312,EMID!AU312,SWALES!AU312,SWEST!AU312,LPN!AU312,SPN!AU312,EPN!AU312,SPD!AU312,SPMW!AU312,SSEH!AU312,SSES!AU312)</f>
        <v>0.8</v>
      </c>
      <c r="AV312" s="508">
        <f>CHOOSE($B$3,ENWL!AV312,NPgN!AV312,NPgY!AV312,WMID!AV312,EMID!AV312,SWALES!AV312,SWEST!AV312,LPN!AV312,SPN!AV312,EPN!AV312,SPD!AV312,SPMW!AV312,SSEH!AV312,SSES!AV312)</f>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0.36103670354643264</v>
      </c>
      <c r="AS315" s="508">
        <f>CHOOSE($B$3,ENWL!AS315,NPgN!AS315,NPgY!AS315,WMID!AS315,EMID!AS315,SWALES!AS315,SWEST!AS315,LPN!AS315,SPN!AS315,EPN!AS315,SPD!AS315,SPMW!AS315,SSEH!AS315,SSES!AS315)</f>
        <v>0.36742589262461656</v>
      </c>
      <c r="AT315" s="508">
        <f>CHOOSE($B$3,ENWL!AT315,NPgN!AT315,NPgY!AT315,WMID!AT315,EMID!AT315,SWALES!AT315,SWEST!AT315,LPN!AT315,SPN!AT315,EPN!AT315,SPD!AT315,SPMW!AT315,SSEH!AT315,SSES!AT315)</f>
        <v>0.34734219326414245</v>
      </c>
      <c r="AU315" s="508">
        <f>CHOOSE($B$3,ENWL!AU315,NPgN!AU315,NPgY!AU315,WMID!AU315,EMID!AU315,SWALES!AU315,SWEST!AU315,LPN!AU315,SPN!AU315,EPN!AU315,SPD!AU315,SPMW!AU315,SSEH!AU315,SSES!AU315)</f>
        <v>0.34734219326414245</v>
      </c>
      <c r="AV315" s="508">
        <f>CHOOSE($B$3,ENWL!AV315,NPgN!AV315,NPgY!AV315,WMID!AV315,EMID!AV315,SWALES!AV315,SWEST!AV315,LPN!AV315,SPN!AV315,EPN!AV315,SPD!AV315,SPMW!AV315,SSEH!AV315,SSES!AV315)</f>
        <v>0.34734219326414245</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0</v>
      </c>
      <c r="AT316" s="508">
        <f>CHOOSE($B$3,ENWL!AT316,NPgN!AT316,NPgY!AT316,WMID!AT316,EMID!AT316,SWALES!AT316,SWEST!AT316,LPN!AT316,SPN!AT316,EPN!AT316,SPD!AT316,SPMW!AT316,SSEH!AT316,SSES!AT316)</f>
        <v>5.8624852811540703E-4</v>
      </c>
      <c r="AU316" s="508">
        <f>CHOOSE($B$3,ENWL!AU316,NPgN!AU316,NPgY!AU316,WMID!AU316,EMID!AU316,SWALES!AU316,SWEST!AU316,LPN!AU316,SPN!AU316,EPN!AU316,SPD!AU316,SPMW!AU316,SSEH!AU316,SSES!AU316)</f>
        <v>5.8624852811540703E-4</v>
      </c>
      <c r="AV316" s="508">
        <f>CHOOSE($B$3,ENWL!AV316,NPgN!AV316,NPgY!AV316,WMID!AV316,EMID!AV316,SWALES!AV316,SWEST!AV316,LPN!AV316,SPN!AV316,EPN!AV316,SPD!AV316,SPMW!AV316,SSEH!AV316,SSES!AV316)</f>
        <v>5.8624852811540703E-4</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0</v>
      </c>
      <c r="AT317" s="508">
        <f>CHOOSE($B$3,ENWL!AT317,NPgN!AT317,NPgY!AT317,WMID!AT317,EMID!AT317,SWALES!AT317,SWEST!AT317,LPN!AT317,SPN!AT317,EPN!AT317,SPD!AT317,SPMW!AT317,SSEH!AT317,SSES!AT317)</f>
        <v>6.2784609062053413E-3</v>
      </c>
      <c r="AU317" s="508">
        <f>CHOOSE($B$3,ENWL!AU317,NPgN!AU317,NPgY!AU317,WMID!AU317,EMID!AU317,SWALES!AU317,SWEST!AU317,LPN!AU317,SPN!AU317,EPN!AU317,SPD!AU317,SPMW!AU317,SSEH!AU317,SSES!AU317)</f>
        <v>6.2784609062053413E-3</v>
      </c>
      <c r="AV317" s="508">
        <f>CHOOSE($B$3,ENWL!AV317,NPgN!AV317,NPgY!AV317,WMID!AV317,EMID!AV317,SWALES!AV317,SWEST!AV317,LPN!AV317,SPN!AV317,EPN!AV317,SPD!AV317,SPMW!AV317,SSEH!AV317,SSES!AV317)</f>
        <v>6.2784609062053413E-3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0</v>
      </c>
      <c r="AT318" s="508">
        <f>CHOOSE($B$3,ENWL!AT318,NPgN!AT318,NPgY!AT318,WMID!AT318,EMID!AT318,SWALES!AT318,SWEST!AT318,LPN!AT318,SPN!AT318,EPN!AT318,SPD!AT318,SPMW!AT318,SSEH!AT318,SSES!AT318)</f>
        <v>8.5493579818529631E-4</v>
      </c>
      <c r="AU318" s="508">
        <f>CHOOSE($B$3,ENWL!AU318,NPgN!AU318,NPgY!AU318,WMID!AU318,EMID!AU318,SWALES!AU318,SWEST!AU318,LPN!AU318,SPN!AU318,EPN!AU318,SPD!AU318,SPMW!AU318,SSEH!AU318,SSES!AU318)</f>
        <v>8.5493579818529631E-4</v>
      </c>
      <c r="AV318" s="508">
        <f>CHOOSE($B$3,ENWL!AV318,NPgN!AV318,NPgY!AV318,WMID!AV318,EMID!AV318,SWALES!AV318,SWEST!AV318,LPN!AV318,SPN!AV318,EPN!AV318,SPD!AV318,SPMW!AV318,SSEH!AV318,SSES!AV318)</f>
        <v>8.5493579818529631E-4</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0.19999999999999996</v>
      </c>
      <c r="AT326" s="508">
        <f>CHOOSE($B$3,ENWL!AT326,NPgN!AT326,NPgY!AT326,WMID!AT326,EMID!AT326,SWALES!AT326,SWEST!AT326,LPN!AT326,SPN!AT326,EPN!AT326,SPD!AT326,SPMW!AT326,SSEH!AT326,SSES!AT326)</f>
        <v>0.19999999999999996</v>
      </c>
      <c r="AU326" s="508">
        <f>CHOOSE($B$3,ENWL!AU326,NPgN!AU326,NPgY!AU326,WMID!AU326,EMID!AU326,SWALES!AU326,SWEST!AU326,LPN!AU326,SPN!AU326,EPN!AU326,SPD!AU326,SPMW!AU326,SSEH!AU326,SSES!AU326)</f>
        <v>0.19999999999999996</v>
      </c>
      <c r="AV326" s="508">
        <f>CHOOSE($B$3,ENWL!AV326,NPgN!AV326,NPgY!AV326,WMID!AV326,EMID!AV326,SWALES!AV326,SWEST!AV326,LPN!AV326,SPN!AV326,EPN!AV326,SPD!AV326,SPMW!AV326,SSEH!AV326,SSES!AV326)</f>
        <v>0.19999999999999996</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0.45714353815706082</v>
      </c>
      <c r="AS329" s="508">
        <f>CHOOSE($B$3,ENWL!AS329,NPgN!AS329,NPgY!AS329,WMID!AS329,EMID!AS329,SWALES!AS329,SWEST!AS329,LPN!AS329,SPN!AS329,EPN!AS329,SPD!AS329,SPMW!AS329,SSEH!AS329,SSES!AS329)</f>
        <v>0.44958558069396326</v>
      </c>
      <c r="AT329" s="508">
        <f>CHOOSE($B$3,ENWL!AT329,NPgN!AT329,NPgY!AT329,WMID!AT329,EMID!AT329,SWALES!AT329,SWEST!AT329,LPN!AT329,SPN!AT329,EPN!AT329,SPD!AT329,SPMW!AT329,SSEH!AT329,SSES!AT329)</f>
        <v>0.44320683332845295</v>
      </c>
      <c r="AU329" s="508">
        <f>CHOOSE($B$3,ENWL!AU329,NPgN!AU329,NPgY!AU329,WMID!AU329,EMID!AU329,SWALES!AU329,SWEST!AU329,LPN!AU329,SPN!AU329,EPN!AU329,SPD!AU329,SPMW!AU329,SSEH!AU329,SSES!AU329)</f>
        <v>0.44320683332845295</v>
      </c>
      <c r="AV329" s="508">
        <f>CHOOSE($B$3,ENWL!AV329,NPgN!AV329,NPgY!AV329,WMID!AV329,EMID!AV329,SWALES!AV329,SWEST!AV329,LPN!AV329,SPN!AV329,EPN!AV329,SPD!AV329,SPMW!AV329,SSEH!AV329,SSES!AV329)</f>
        <v>0.44320683332845295</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0</v>
      </c>
      <c r="AT330" s="508">
        <f>CHOOSE($B$3,ENWL!AT330,NPgN!AT330,NPgY!AT330,WMID!AT330,EMID!AT330,SWALES!AT330,SWEST!AT330,LPN!AT330,SPN!AT330,EPN!AT330,SPD!AT330,SPMW!AT330,SSEH!AT330,SSES!AT330)</f>
        <v>3.047486307729562E-4</v>
      </c>
      <c r="AU330" s="508">
        <f>CHOOSE($B$3,ENWL!AU330,NPgN!AU330,NPgY!AU330,WMID!AU330,EMID!AU330,SWALES!AU330,SWEST!AU330,LPN!AU330,SPN!AU330,EPN!AU330,SPD!AU330,SPMW!AU330,SSEH!AU330,SSES!AU330)</f>
        <v>3.047486307729562E-4</v>
      </c>
      <c r="AV330" s="508">
        <f>CHOOSE($B$3,ENWL!AV330,NPgN!AV330,NPgY!AV330,WMID!AV330,EMID!AV330,SWALES!AV330,SWEST!AV330,LPN!AV330,SPN!AV330,EPN!AV330,SPD!AV330,SPMW!AV330,SSEH!AV330,SSES!AV330)</f>
        <v>3.047486307729562E-4</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4.6912726995751483E-2</v>
      </c>
      <c r="AS331" s="508">
        <f>CHOOSE($B$3,ENWL!AS331,NPgN!AS331,NPgY!AS331,WMID!AS331,EMID!AS331,SWALES!AS331,SWEST!AS331,LPN!AS331,SPN!AS331,EPN!AS331,SPD!AS331,SPMW!AS331,SSEH!AS331,SSES!AS331)</f>
        <v>2.8236616084451487E-2</v>
      </c>
      <c r="AT331" s="508">
        <f>CHOOSE($B$3,ENWL!AT331,NPgN!AT331,NPgY!AT331,WMID!AT331,EMID!AT331,SWALES!AT331,SWEST!AT331,LPN!AT331,SPN!AT331,EPN!AT331,SPD!AT331,SPMW!AT331,SSEH!AT331,SSES!AT331)</f>
        <v>1.1522546869517722E-2</v>
      </c>
      <c r="AU331" s="508">
        <f>CHOOSE($B$3,ENWL!AU331,NPgN!AU331,NPgY!AU331,WMID!AU331,EMID!AU331,SWALES!AU331,SWEST!AU331,LPN!AU331,SPN!AU331,EPN!AU331,SPD!AU331,SPMW!AU331,SSEH!AU331,SSES!AU331)</f>
        <v>1.1522546869517722E-2</v>
      </c>
      <c r="AV331" s="508">
        <f>CHOOSE($B$3,ENWL!AV331,NPgN!AV331,NPgY!AV331,WMID!AV331,EMID!AV331,SWALES!AV331,SWEST!AV331,LPN!AV331,SPN!AV331,EPN!AV331,SPD!AV331,SPMW!AV331,SSEH!AV331,SSES!AV331)</f>
        <v>1.1522546869517722E-2</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1.31496062366809E-2</v>
      </c>
      <c r="AS332" s="508">
        <f>CHOOSE($B$3,ENWL!AS332,NPgN!AS332,NPgY!AS332,WMID!AS332,EMID!AS332,SWALES!AS332,SWEST!AS332,LPN!AS332,SPN!AS332,EPN!AS332,SPD!AS332,SPMW!AS332,SSEH!AS332,SSES!AS332)</f>
        <v>2.0717968035674751E-2</v>
      </c>
      <c r="AT332" s="508">
        <f>CHOOSE($B$3,ENWL!AT332,NPgN!AT332,NPgY!AT332,WMID!AT332,EMID!AT332,SWALES!AT332,SWEST!AT332,LPN!AT332,SPN!AT332,EPN!AT332,SPD!AT332,SPMW!AT332,SSEH!AT332,SSES!AT332)</f>
        <v>1.5915165791628296E-2</v>
      </c>
      <c r="AU332" s="508">
        <f>CHOOSE($B$3,ENWL!AU332,NPgN!AU332,NPgY!AU332,WMID!AU332,EMID!AU332,SWALES!AU332,SWEST!AU332,LPN!AU332,SPN!AU332,EPN!AU332,SPD!AU332,SPMW!AU332,SSEH!AU332,SSES!AU332)</f>
        <v>1.5915165791628296E-2</v>
      </c>
      <c r="AV332" s="508">
        <f>CHOOSE($B$3,ENWL!AV332,NPgN!AV332,NPgY!AV332,WMID!AV332,EMID!AV332,SWALES!AV332,SWEST!AV332,LPN!AV332,SPN!AV332,EPN!AV332,SPD!AV332,SPMW!AV332,SSEH!AV332,SSES!AV332)</f>
        <v>1.5915165791628296E-2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1.1787563542802092E-4</v>
      </c>
      <c r="AS336" s="508">
        <f>CHOOSE($B$3,ENWL!AS336,NPgN!AS336,NPgY!AS336,WMID!AS336,EMID!AS336,SWALES!AS336,SWEST!AS336,LPN!AS336,SPN!AS336,EPN!AS336,SPD!AS336,SPMW!AS336,SSEH!AS336,SSES!AS336)</f>
        <v>6.145175406768845E-5</v>
      </c>
      <c r="AT336" s="508">
        <f>CHOOSE($B$3,ENWL!AT336,NPgN!AT336,NPgY!AT336,WMID!AT336,EMID!AT336,SWALES!AT336,SWEST!AT336,LPN!AT336,SPN!AT336,EPN!AT336,SPD!AT336,SPMW!AT336,SSEH!AT336,SSES!AT336)</f>
        <v>7.6941217047797115E-5</v>
      </c>
      <c r="AU336" s="508">
        <f>CHOOSE($B$3,ENWL!AU336,NPgN!AU336,NPgY!AU336,WMID!AU336,EMID!AU336,SWALES!AU336,SWEST!AU336,LPN!AU336,SPN!AU336,EPN!AU336,SPD!AU336,SPMW!AU336,SSEH!AU336,SSES!AU336)</f>
        <v>7.6941217047797115E-5</v>
      </c>
      <c r="AV336" s="508">
        <f>CHOOSE($B$3,ENWL!AV336,NPgN!AV336,NPgY!AV336,WMID!AV336,EMID!AV336,SWALES!AV336,SWEST!AV336,LPN!AV336,SPN!AV336,EPN!AV336,SPD!AV336,SPMW!AV336,SSEH!AV336,SSES!AV336)</f>
        <v>7.6941217047797115E-5</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4.5292297097548468</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229.44599591494091</v>
      </c>
      <c r="AK342" s="476">
        <f>CHOOSE($B$3,ENWL!AK342,NPgN!AK342,NPgY!AK342,WMID!AK342,EMID!AK342,SWALES!AK342,SWEST!AK342,LPN!AK342,SPN!AK342,EPN!AK342,SPD!AK342,SPMW!AK342,SSEH!AK342,SSES!AK342)</f>
        <v>226.82147116553256</v>
      </c>
      <c r="AL342" s="476">
        <f>CHOOSE($B$3,ENWL!AL342,NPgN!AL342,NPgY!AL342,WMID!AL342,EMID!AL342,SWALES!AL342,SWEST!AL342,LPN!AL342,SPN!AL342,EPN!AL342,SPD!AL342,SPMW!AL342,SSEH!AL342,SSES!AL342)</f>
        <v>200.46268326893096</v>
      </c>
      <c r="AM342" s="476">
        <f>CHOOSE($B$3,ENWL!AM342,NPgN!AM342,NPgY!AM342,WMID!AM342,EMID!AM342,SWALES!AM342,SWEST!AM342,LPN!AM342,SPN!AM342,EPN!AM342,SPD!AM342,SPMW!AM342,SSEH!AM342,SSES!AM342)</f>
        <v>197.33439705342334</v>
      </c>
      <c r="AN342" s="476">
        <f>CHOOSE($B$3,ENWL!AN342,NPgN!AN342,NPgY!AN342,WMID!AN342,EMID!AN342,SWALES!AN342,SWEST!AN342,LPN!AN342,SPN!AN342,EPN!AN342,SPD!AN342,SPMW!AN342,SSEH!AN342,SSES!AN342)</f>
        <v>199.32937492653633</v>
      </c>
      <c r="AO342" s="476">
        <f>CHOOSE($B$3,ENWL!AO342,NPgN!AO342,NPgY!AO342,WMID!AO342,EMID!AO342,SWALES!AO342,SWEST!AO342,LPN!AO342,SPN!AO342,EPN!AO342,SPD!AO342,SPMW!AO342,SSEH!AO342,SSES!AO342)</f>
        <v>205.26316406111178</v>
      </c>
      <c r="AP342" s="476">
        <f>CHOOSE($B$3,ENWL!AP342,NPgN!AP342,NPgY!AP342,WMID!AP342,EMID!AP342,SWALES!AP342,SWEST!AP342,LPN!AP342,SPN!AP342,EPN!AP342,SPD!AP342,SPMW!AP342,SSEH!AP342,SSES!AP342)</f>
        <v>212.54994868634299</v>
      </c>
      <c r="AQ342" s="477">
        <f>CHOOSE($B$3,ENWL!AQ342,NPgN!AQ342,NPgY!AQ342,WMID!AQ342,EMID!AQ342,SWALES!AQ342,SWEST!AQ342,LPN!AQ342,SPN!AQ342,EPN!AQ342,SPD!AQ342,SPMW!AQ342,SSEH!AQ342,SSES!AQ342)</f>
        <v>211.79906427449993</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96.822677142231498</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901.64469052178902</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1346.9416163441822</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1641.6422127756323</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5">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399.10770482154794</v>
      </c>
      <c r="AQ351" s="477">
        <f>CHOOSE($B$3,ENWL!AQ351,NPgN!AQ351,NPgY!AQ351,WMID!AQ351,EMID!AQ351,SWALES!AQ351,SWEST!AQ351,LPN!AQ351,SPN!AQ351,EPN!AQ351,SPD!AQ351,SPMW!AQ351,SSEH!AQ351,SSES!AQ351)</f>
        <v>377.20968760553592</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5">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437.17081265000007</v>
      </c>
      <c r="AK354" s="476">
        <f>CHOOSE($B$3,ENWL!AK354,NPgN!AK354,NPgY!AK354,WMID!AK354,EMID!AK354,SWALES!AK354,SWEST!AK354,LPN!AK354,SPN!AK354,EPN!AK354,SPD!AK354,SPMW!AK354,SSEH!AK354,SSES!AK354)</f>
        <v>481.8225587199999</v>
      </c>
      <c r="AL354" s="476">
        <f>CHOOSE($B$3,ENWL!AL354,NPgN!AL354,NPgY!AL354,WMID!AL354,EMID!AL354,SWALES!AL354,SWEST!AL354,LPN!AL354,SPN!AL354,EPN!AL354,SPD!AL354,SPMW!AL354,SSEH!AL354,SSES!AL354)</f>
        <v>466.14544891000003</v>
      </c>
      <c r="AM354" s="476">
        <f>CHOOSE($B$3,ENWL!AM354,NPgN!AM354,NPgY!AM354,WMID!AM354,EMID!AM354,SWALES!AM354,SWEST!AM354,LPN!AM354,SPN!AM354,EPN!AM354,SPD!AM354,SPMW!AM354,SSEH!AM354,SSES!AM354)</f>
        <v>483.27203402999999</v>
      </c>
      <c r="AN354" s="476">
        <f>CHOOSE($B$3,ENWL!AN354,NPgN!AN354,NPgY!AN354,WMID!AN354,EMID!AN354,SWALES!AN354,SWEST!AN354,LPN!AN354,SPN!AN354,EPN!AN354,SPD!AN354,SPMW!AN354,SSEH!AN354,SSES!AN354)</f>
        <v>502.02997776999996</v>
      </c>
      <c r="AO354" s="476">
        <f>CHOOSE($B$3,ENWL!AO354,NPgN!AO354,NPgY!AO354,WMID!AO354,EMID!AO354,SWALES!AO354,SWEST!AO354,LPN!AO354,SPN!AO354,EPN!AO354,SPD!AO354,SPMW!AO354,SSEH!AO354,SSES!AO354)</f>
        <v>480.6161768169132</v>
      </c>
      <c r="AP354" s="476">
        <f>CHOOSE($B$3,ENWL!AP354,NPgN!AP354,NPgY!AP354,WMID!AP354,EMID!AP354,SWALES!AP354,SWEST!AP354,LPN!AP354,SPN!AP354,EPN!AP354,SPD!AP354,SPMW!AP354,SSEH!AP354,SSES!AP354)</f>
        <v>528.85150836999992</v>
      </c>
      <c r="AQ354" s="477">
        <f>CHOOSE($B$3,ENWL!AQ354,NPgN!AQ354,NPgY!AQ354,WMID!AQ354,EMID!AQ354,SWALES!AQ354,SWEST!AQ354,LPN!AQ354,SPN!AQ354,EPN!AQ354,SPD!AQ354,SPMW!AQ354,SSEH!AQ354,SSES!AQ354)</f>
        <v>623.07913960999997</v>
      </c>
      <c r="AR354" s="184"/>
      <c r="AS354" s="184"/>
      <c r="AT354" s="184"/>
      <c r="AU354" s="184"/>
      <c r="AV354" s="184"/>
      <c r="AW354" s="184"/>
    </row>
    <row r="355" spans="1:49" ht="15">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436.50423033893748</v>
      </c>
      <c r="AK355" s="476">
        <f>CHOOSE($B$3,ENWL!AK355,NPgN!AK355,NPgY!AK355,WMID!AK355,EMID!AK355,SWALES!AK355,SWEST!AK355,LPN!AK355,SPN!AK355,EPN!AK355,SPD!AK355,SPMW!AK355,SSEH!AK355,SSES!AK355)</f>
        <v>475.11450238225547</v>
      </c>
      <c r="AL355" s="476">
        <f>CHOOSE($B$3,ENWL!AL355,NPgN!AL355,NPgY!AL355,WMID!AL355,EMID!AL355,SWALES!AL355,SWEST!AL355,LPN!AL355,SPN!AL355,EPN!AL355,SPD!AL355,SPMW!AL355,SSEH!AL355,SSES!AL355)</f>
        <v>467.30257016776852</v>
      </c>
      <c r="AM355" s="476">
        <f>CHOOSE($B$3,ENWL!AM355,NPgN!AM355,NPgY!AM355,WMID!AM355,EMID!AM355,SWALES!AM355,SWEST!AM355,LPN!AM355,SPN!AM355,EPN!AM355,SPD!AM355,SPMW!AM355,SSEH!AM355,SSES!AM355)</f>
        <v>483.95431810041595</v>
      </c>
      <c r="AN355" s="476">
        <f>CHOOSE($B$3,ENWL!AN355,NPgN!AN355,NPgY!AN355,WMID!AN355,EMID!AN355,SWALES!AN355,SWEST!AN355,LPN!AN355,SPN!AN355,EPN!AN355,SPD!AN355,SPMW!AN355,SSEH!AN355,SSES!AN355)</f>
        <v>511.20975386073508</v>
      </c>
      <c r="AO355" s="476">
        <f>CHOOSE($B$3,ENWL!AO355,NPgN!AO355,NPgY!AO355,WMID!AO355,EMID!AO355,SWALES!AO355,SWEST!AO355,LPN!AO355,SPN!AO355,EPN!AO355,SPD!AO355,SPMW!AO355,SSEH!AO355,SSES!AO355)</f>
        <v>506.63050026905017</v>
      </c>
      <c r="AP355" s="476">
        <f>CHOOSE($B$3,ENWL!AP355,NPgN!AP355,NPgY!AP355,WMID!AP355,EMID!AP355,SWALES!AP355,SWEST!AP355,LPN!AP355,SPN!AP355,EPN!AP355,SPD!AP355,SPMW!AP355,SSEH!AP355,SSES!AP355)</f>
        <v>512.07286394383993</v>
      </c>
      <c r="AQ355" s="477">
        <f>CHOOSE($B$3,ENWL!AQ355,NPgN!AQ355,NPgY!AQ355,WMID!AQ355,EMID!AQ355,SWALES!AQ355,SWEST!AQ355,LPN!AQ355,SPN!AQ355,EPN!AQ355,SPD!AQ355,SPMW!AQ355,SSEH!AQ355,SSES!AQ355)</f>
        <v>621.07936740432899</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0</v>
      </c>
      <c r="AQ357" s="477">
        <f>CHOOSE($B$3,ENWL!AQ357,NPgN!AQ357,NPgY!AQ357,WMID!AQ357,EMID!AQ357,SWALES!AQ357,SWEST!AQ357,LPN!AQ357,SPN!AQ357,EPN!AQ357,SPD!AQ357,SPMW!AQ357,SSEH!AQ357,SSES!AQ357)</f>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2.6688400000000001E-2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5">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5">
      <c r="A363" s="82"/>
      <c r="B363" s="82"/>
      <c r="C363" s="82"/>
      <c r="D363" s="82"/>
      <c r="E363" s="363" t="s">
        <v>433</v>
      </c>
      <c r="F363" s="82"/>
      <c r="G363" s="82" t="s">
        <v>394</v>
      </c>
      <c r="H363" s="82" t="s">
        <v>434</v>
      </c>
      <c r="I363" s="476">
        <f>CHOOSE($B$3,ENWL!I363,NPgN!I363,NPgY!I363,WMID!I363,EMID!I363,SWALES!I363,SWEST!I363,LPN!I363,SPN!I363,EPN!I363,SPD!I363,SPMW!I363,SSEH!I363,SSES!I363)</f>
        <v>54.8</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3.6802468274757247</v>
      </c>
      <c r="AQ367" s="477">
        <f>CHOOSE($B$3,ENWL!AQ367,NPgN!AQ367,NPgY!AQ367,WMID!AQ367,EMID!AQ367,SWALES!AQ367,SWEST!AQ367,LPN!AQ367,SPN!AQ367,EPN!AQ367,SPD!AQ367,SPMW!AQ367,SSEH!AQ367,SSES!AQ367)</f>
        <v>4</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0.53999999999999992</v>
      </c>
      <c r="AQ369" s="477">
        <f>CHOOSE($B$3,ENWL!AQ369,NPgN!AQ369,NPgY!AQ369,WMID!AQ369,EMID!AQ369,SWALES!AQ369,SWEST!AQ369,LPN!AQ369,SPN!AQ369,EPN!AQ369,SPD!AQ369,SPMW!AQ369,SSEH!AQ369,SSES!AQ369)</f>
        <v>0.99600000000000011</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16.066143697331345</v>
      </c>
      <c r="AQ371" s="477">
        <f>CHOOSE($B$3,ENWL!AQ371,NPgN!AQ371,NPgY!AQ371,WMID!AQ371,EMID!AQ371,SWALES!AQ371,SWEST!AQ371,LPN!AQ371,SPN!AQ371,EPN!AQ371,SPD!AQ371,SPMW!AQ371,SSEH!AQ371,SSES!AQ371)</f>
        <v>17.035259513751821</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0.4</v>
      </c>
      <c r="AQ377" s="477">
        <f>CHOOSE($B$3,ENWL!AQ377,NPgN!AQ377,NPgY!AQ377,WMID!AQ377,EMID!AQ377,SWALES!AQ377,SWEST!AQ377,LPN!AQ377,SPN!AQ377,EPN!AQ377,SPD!AQ377,SPMW!AQ377,SSEH!AQ377,SSES!AQ377)</f>
        <v>0.4</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0.4</v>
      </c>
      <c r="AQ378" s="477">
        <f>CHOOSE($B$3,ENWL!AQ378,NPgN!AQ378,NPgY!AQ378,WMID!AQ378,EMID!AQ378,SWALES!AQ378,SWEST!AQ378,LPN!AQ378,SPN!AQ378,EPN!AQ378,SPD!AQ378,SPMW!AQ378,SSEH!AQ378,SSES!AQ378)</f>
        <v>0.4</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0.27177214945678763</v>
      </c>
      <c r="AQ379" s="477">
        <f>CHOOSE($B$3,ENWL!AQ379,NPgN!AQ379,NPgY!AQ379,WMID!AQ379,EMID!AQ379,SWALES!AQ379,SWEST!AQ379,LPN!AQ379,SPN!AQ379,EPN!AQ379,SPD!AQ379,SPMW!AQ379,SSEH!AQ379,SSES!AQ379)</f>
        <v>0.30996115038757399</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0.24821063345031713</v>
      </c>
      <c r="AQ380" s="477">
        <f>CHOOSE($B$3,ENWL!AQ380,NPgN!AQ380,NPgY!AQ380,WMID!AQ380,EMID!AQ380,SWALES!AQ380,SWEST!AQ380,LPN!AQ380,SPN!AQ380,EPN!AQ380,SPD!AQ380,SPMW!AQ380,SSEH!AQ380,SSES!AQ380)</f>
        <v>0.32083241804199136</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2.6482000000000001</v>
      </c>
      <c r="AQ384" s="477">
        <f>CHOOSE($B$3,ENWL!AQ384,NPgN!AQ384,NPgY!AQ384,WMID!AQ384,EMID!AQ384,SWALES!AQ384,SWEST!AQ384,LPN!AQ384,SPN!AQ384,EPN!AQ384,SPD!AQ384,SPMW!AQ384,SSEH!AQ384,SSES!AQ384)</f>
        <v>2.7511000000000001</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1.3</v>
      </c>
      <c r="AQ385" s="477">
        <f>CHOOSE($B$3,ENWL!AQ385,NPgN!AQ385,NPgY!AQ385,WMID!AQ385,EMID!AQ385,SWALES!AQ385,SWEST!AQ385,LPN!AQ385,SPN!AQ385,EPN!AQ385,SPD!AQ385,SPMW!AQ385,SSEH!AQ385,SSES!AQ385)</f>
        <v>1.3</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31.508600000000001</v>
      </c>
      <c r="AQ387" s="477">
        <f>CHOOSE($B$3,ENWL!AQ387,NPgN!AQ387,NPgY!AQ387,WMID!AQ387,EMID!AQ387,SWALES!AQ387,SWEST!AQ387,LPN!AQ387,SPN!AQ387,EPN!AQ387,SPD!AQ387,SPMW!AQ387,SSEH!AQ387,SSES!AQ387)</f>
        <v>29.905899999999999</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52.9</v>
      </c>
      <c r="AQ388" s="477">
        <f>CHOOSE($B$3,ENWL!AQ388,NPgN!AQ388,NPgY!AQ388,WMID!AQ388,EMID!AQ388,SWALES!AQ388,SWEST!AQ388,LPN!AQ388,SPN!AQ388,EPN!AQ388,SPD!AQ388,SPMW!AQ388,SSEH!AQ388,SSES!AQ388)</f>
        <v>52.9</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9.0512999999999995</v>
      </c>
      <c r="AQ390" s="477">
        <f>CHOOSE($B$3,ENWL!AQ390,NPgN!AQ390,NPgY!AQ390,WMID!AQ390,EMID!AQ390,SWALES!AQ390,SWEST!AQ390,LPN!AQ390,SPN!AQ390,EPN!AQ390,SPD!AQ390,SPMW!AQ390,SSEH!AQ390,SSES!AQ390)</f>
        <v>8.6135999999999999</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12.6</v>
      </c>
      <c r="AQ391" s="477">
        <f>CHOOSE($B$3,ENWL!AQ391,NPgN!AQ391,NPgY!AQ391,WMID!AQ391,EMID!AQ391,SWALES!AQ391,SWEST!AQ391,LPN!AQ391,SPN!AQ391,EPN!AQ391,SPD!AQ391,SPMW!AQ391,SSEH!AQ391,SSES!AQ391)</f>
        <v>13.8</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2.8382000000000001</v>
      </c>
      <c r="AQ393" s="477">
        <f>CHOOSE($B$3,ENWL!AQ393,NPgN!AQ393,NPgY!AQ393,WMID!AQ393,EMID!AQ393,SWALES!AQ393,SWEST!AQ393,LPN!AQ393,SPN!AQ393,EPN!AQ393,SPD!AQ393,SPMW!AQ393,SSEH!AQ393,SSES!AQ393)</f>
        <v>3.1320999999999999</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0.39589999999999997</v>
      </c>
      <c r="AQ396" s="477">
        <f>CHOOSE($B$3,ENWL!AQ396,NPgN!AQ396,NPgY!AQ396,WMID!AQ396,EMID!AQ396,SWALES!AQ396,SWEST!AQ396,LPN!AQ396,SPN!AQ396,EPN!AQ396,SPD!AQ396,SPMW!AQ396,SSEH!AQ396,SSES!AQ396)</f>
        <v>0.35970000000000002</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4.4699999999999997E-2</v>
      </c>
      <c r="AQ399" s="477">
        <f>CHOOSE($B$3,ENWL!AQ399,NPgN!AQ399,NPgY!AQ399,WMID!AQ399,EMID!AQ399,SWALES!AQ399,SWEST!AQ399,LPN!AQ399,SPN!AQ399,EPN!AQ399,SPD!AQ399,SPMW!AQ399,SSEH!AQ399,SSES!AQ399)</f>
        <v>4.41E-2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0.99719999999999998</v>
      </c>
      <c r="AQ411" s="477">
        <f>CHOOSE($B$3,ENWL!AQ411,NPgN!AQ411,NPgY!AQ411,WMID!AQ411,EMID!AQ411,SWALES!AQ411,SWEST!AQ411,LPN!AQ411,SPN!AQ411,EPN!AQ411,SPD!AQ411,SPMW!AQ411,SSEH!AQ411,SSES!AQ411)</f>
        <v>1.9113338783333333</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1.80173231</v>
      </c>
      <c r="AP413" s="476">
        <f>CHOOSE($B$3,ENWL!AP413,NPgN!AP413,NPgY!AP413,WMID!AP413,EMID!AP413,SWALES!AP413,SWEST!AP413,LPN!AP413,SPN!AP413,EPN!AP413,SPD!AP413,SPMW!AP413,SSEH!AP413,SSES!AP413)</f>
        <v>3.5762999999999998</v>
      </c>
      <c r="AQ413" s="477">
        <f>CHOOSE($B$3,ENWL!AQ413,NPgN!AQ413,NPgY!AQ413,WMID!AQ413,EMID!AQ413,SWALES!AQ413,SWEST!AQ413,LPN!AQ413,SPN!AQ413,EPN!AQ413,SPD!AQ413,SPMW!AQ413,SSEH!AQ413,SSES!AQ413)</f>
        <v>-0.20945539999999999</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466" priority="46" operator="equal">
      <formula>FALSE()</formula>
    </cfRule>
  </conditionalFormatting>
  <conditionalFormatting sqref="I363">
    <cfRule type="cellIs" dxfId="465" priority="18" operator="equal">
      <formula>FALSE()</formula>
    </cfRule>
  </conditionalFormatting>
  <conditionalFormatting sqref="K211:AQ217 AW211:AW217">
    <cfRule type="cellIs" dxfId="464" priority="43" operator="equal">
      <formula>FALSE()</formula>
    </cfRule>
  </conditionalFormatting>
  <conditionalFormatting sqref="K8:AW210">
    <cfRule type="cellIs" dxfId="463" priority="33" operator="equal">
      <formula>FALSE()</formula>
    </cfRule>
  </conditionalFormatting>
  <conditionalFormatting sqref="K218:AW419">
    <cfRule type="cellIs" dxfId="462" priority="1" operator="equal">
      <formula>FALSE()</formula>
    </cfRule>
  </conditionalFormatting>
  <conditionalFormatting sqref="AQ351:AQ352">
    <cfRule type="cellIs" dxfId="461" priority="21" operator="equal">
      <formula>FALSE()</formula>
    </cfRule>
  </conditionalFormatting>
  <conditionalFormatting sqref="AQ354:AQ357">
    <cfRule type="cellIs" dxfId="460" priority="20" operator="equal">
      <formula>FALSE()</formula>
    </cfRule>
  </conditionalFormatting>
  <conditionalFormatting sqref="AQ362">
    <cfRule type="cellIs" dxfId="459" priority="19" operator="equal">
      <formula>FALSE()</formula>
    </cfRule>
  </conditionalFormatting>
  <conditionalFormatting sqref="AQ367:AQ369">
    <cfRule type="cellIs" dxfId="458" priority="17" operator="equal">
      <formula>FALSE()</formula>
    </cfRule>
  </conditionalFormatting>
  <conditionalFormatting sqref="AQ371:AQ373">
    <cfRule type="cellIs" dxfId="457" priority="16" operator="equal">
      <formula>FALSE()</formula>
    </cfRule>
  </conditionalFormatting>
  <conditionalFormatting sqref="AQ377:AQ380">
    <cfRule type="cellIs" dxfId="456" priority="14" operator="equal">
      <formula>FALSE()</formula>
    </cfRule>
  </conditionalFormatting>
  <conditionalFormatting sqref="AQ384:AQ385">
    <cfRule type="cellIs" dxfId="455" priority="13" operator="equal">
      <formula>FALSE()</formula>
    </cfRule>
  </conditionalFormatting>
  <conditionalFormatting sqref="AQ387:AQ388">
    <cfRule type="cellIs" dxfId="454" priority="12" operator="equal">
      <formula>FALSE()</formula>
    </cfRule>
  </conditionalFormatting>
  <conditionalFormatting sqref="AQ390:AQ391">
    <cfRule type="cellIs" dxfId="453" priority="11" operator="equal">
      <formula>FALSE()</formula>
    </cfRule>
  </conditionalFormatting>
  <conditionalFormatting sqref="AQ393:AQ394">
    <cfRule type="cellIs" dxfId="452" priority="10" operator="equal">
      <formula>FALSE()</formula>
    </cfRule>
  </conditionalFormatting>
  <conditionalFormatting sqref="AQ396:AQ397">
    <cfRule type="cellIs" dxfId="451" priority="9" operator="equal">
      <formula>FALSE()</formula>
    </cfRule>
  </conditionalFormatting>
  <conditionalFormatting sqref="AQ399:AQ400">
    <cfRule type="cellIs" dxfId="450" priority="8" operator="equal">
      <formula>FALSE()</formula>
    </cfRule>
  </conditionalFormatting>
  <conditionalFormatting sqref="AQ402:AQ403">
    <cfRule type="cellIs" dxfId="449" priority="7" operator="equal">
      <formula>FALSE()</formula>
    </cfRule>
  </conditionalFormatting>
  <conditionalFormatting sqref="AQ405:AQ406">
    <cfRule type="cellIs" dxfId="448" priority="6" operator="equal">
      <formula>FALSE()</formula>
    </cfRule>
  </conditionalFormatting>
  <conditionalFormatting sqref="AQ408:AQ409">
    <cfRule type="cellIs" dxfId="447" priority="5" operator="equal">
      <formula>FALSE()</formula>
    </cfRule>
  </conditionalFormatting>
  <conditionalFormatting sqref="AQ411">
    <cfRule type="cellIs" dxfId="446" priority="4" operator="equal">
      <formula>FALSE()</formula>
    </cfRule>
  </conditionalFormatting>
  <conditionalFormatting sqref="AQ413:AQ414">
    <cfRule type="cellIs" dxfId="445" priority="3" operator="equal">
      <formula>FALSE()</formula>
    </cfRule>
  </conditionalFormatting>
  <conditionalFormatting sqref="AQ416:AQ418">
    <cfRule type="cellIs" dxfId="444" priority="2" operator="equal">
      <formula>FALSE()</formula>
    </cfRule>
  </conditionalFormatting>
  <conditionalFormatting sqref="AR211:AV211">
    <cfRule type="cellIs" dxfId="443" priority="42" operator="equal">
      <formula>FALSE()</formula>
    </cfRule>
  </conditionalFormatting>
  <conditionalFormatting sqref="AR213:AV217">
    <cfRule type="cellIs" dxfId="442"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142875</xdr:colOff>
                    <xdr:row>0</xdr:row>
                    <xdr:rowOff>28575</xdr:rowOff>
                  </from>
                  <to>
                    <xdr:col>7</xdr:col>
                    <xdr:colOff>152400</xdr:colOff>
                    <xdr:row>0</xdr:row>
                    <xdr:rowOff>180975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159" activePane="bottomRight" state="frozen"/>
      <selection activeCell="A154" sqref="A1:XFD1048576"/>
      <selection pane="topRight" activeCell="A154" sqref="A1:XFD1048576"/>
      <selection pane="bottomLeft" activeCell="A154" sqref="A1:XFD1048576"/>
      <selection pane="bottomRight"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246" activePane="bottomRight" state="frozen"/>
      <selection pane="topRight" activeCell="K1" sqref="K1"/>
      <selection pane="bottomLeft" activeCell="A5" sqref="A5"/>
      <selection pane="bottomRight" activeCell="AR277" sqref="AR277"/>
    </sheetView>
  </sheetViews>
  <sheetFormatPr defaultColWidth="0" defaultRowHeight="12.75"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49" ht="19.5">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5">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5">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5">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5">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5">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5">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5">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5">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5">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5">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5">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5">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5">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5">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5">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5">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5">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5">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5">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5">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5">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5">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5">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5">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58.15</v>
      </c>
      <c r="AS31" s="30">
        <f>SelectedInputs!AS15</f>
        <v>54.47</v>
      </c>
      <c r="AT31" s="30">
        <f>SelectedInputs!AT15</f>
        <v>36.51</v>
      </c>
      <c r="AU31" s="30">
        <f>SelectedInputs!AU15</f>
        <v>38.340000000000003</v>
      </c>
      <c r="AV31" s="30">
        <f>SelectedInputs!AV15</f>
        <v>27.6</v>
      </c>
      <c r="AW31" s="378"/>
    </row>
    <row r="32" spans="1:49" ht="15">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43.13</v>
      </c>
      <c r="AS32" s="30">
        <f>SelectedInputs!AS16</f>
        <v>43.21</v>
      </c>
      <c r="AT32" s="30">
        <f>SelectedInputs!AT16</f>
        <v>43.79</v>
      </c>
      <c r="AU32" s="30">
        <f>SelectedInputs!AU16</f>
        <v>41.28</v>
      </c>
      <c r="AV32" s="30">
        <f>SelectedInputs!AV16</f>
        <v>41.39</v>
      </c>
      <c r="AW32" s="378"/>
    </row>
    <row r="33" spans="1:49" ht="15">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31.19</v>
      </c>
      <c r="AS33" s="30">
        <f>SelectedInputs!AS17</f>
        <v>33.590000000000003</v>
      </c>
      <c r="AT33" s="30">
        <f>SelectedInputs!AT17</f>
        <v>36.380000000000003</v>
      </c>
      <c r="AU33" s="30">
        <f>SelectedInputs!AU17</f>
        <v>30.94</v>
      </c>
      <c r="AV33" s="30">
        <f>SelectedInputs!AV17</f>
        <v>29.87</v>
      </c>
      <c r="AW33" s="378"/>
    </row>
    <row r="34" spans="1:49" ht="15">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31.85</v>
      </c>
      <c r="AS34" s="30">
        <f>SelectedInputs!AS18</f>
        <v>31.6</v>
      </c>
      <c r="AT34" s="30">
        <f>SelectedInputs!AT18</f>
        <v>30.9</v>
      </c>
      <c r="AU34" s="30">
        <f>SelectedInputs!AU18</f>
        <v>30.51</v>
      </c>
      <c r="AV34" s="30">
        <f>SelectedInputs!AV18</f>
        <v>29.79</v>
      </c>
      <c r="AW34" s="378"/>
    </row>
    <row r="35" spans="1:49" ht="15">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9.67</v>
      </c>
      <c r="AS35" s="30">
        <f>SelectedInputs!AS19</f>
        <v>10.15</v>
      </c>
      <c r="AT35" s="30">
        <f>SelectedInputs!AT19</f>
        <v>8.94</v>
      </c>
      <c r="AU35" s="30">
        <f>SelectedInputs!AU19</f>
        <v>8.93</v>
      </c>
      <c r="AV35" s="30">
        <f>SelectedInputs!AV19</f>
        <v>8.6999999999999993</v>
      </c>
      <c r="AW35" s="378"/>
    </row>
    <row r="36" spans="1:49" ht="15">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16.53</v>
      </c>
      <c r="AS36" s="30">
        <f>SelectedInputs!AS20</f>
        <v>16.350000000000001</v>
      </c>
      <c r="AT36" s="30">
        <f>SelectedInputs!AT20</f>
        <v>15.6</v>
      </c>
      <c r="AU36" s="30">
        <f>SelectedInputs!AU20</f>
        <v>15.51</v>
      </c>
      <c r="AV36" s="30">
        <f>SelectedInputs!AV20</f>
        <v>15.19</v>
      </c>
      <c r="AW36" s="378"/>
    </row>
    <row r="37" spans="1:49" ht="15">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107.79</v>
      </c>
      <c r="AS37" s="30">
        <f>SelectedInputs!AS21</f>
        <v>106.3</v>
      </c>
      <c r="AT37" s="30">
        <f>SelectedInputs!AT21</f>
        <v>101.9</v>
      </c>
      <c r="AU37" s="30">
        <f>SelectedInputs!AU21</f>
        <v>102.69</v>
      </c>
      <c r="AV37" s="30">
        <f>SelectedInputs!AV21</f>
        <v>101.84</v>
      </c>
      <c r="AW37" s="378"/>
    </row>
    <row r="38" spans="1:49" ht="15">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5">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5">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5">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-2.1575612535719966</v>
      </c>
      <c r="AS41" s="7">
        <f t="shared" si="7"/>
        <v>-1.7981801668005337</v>
      </c>
      <c r="AT41" s="7">
        <f t="shared" si="7"/>
        <v>-1.278606500128542</v>
      </c>
      <c r="AU41" s="7">
        <f t="shared" si="7"/>
        <v>-0.84351978246300385</v>
      </c>
      <c r="AV41" s="7">
        <f t="shared" si="7"/>
        <v>-0.45284670982641445</v>
      </c>
      <c r="AW41" s="285"/>
    </row>
    <row r="42" spans="1:49" ht="15">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38.656404957114006</v>
      </c>
      <c r="AS42" s="7">
        <f t="shared" si="7"/>
        <v>38.223252929937722</v>
      </c>
      <c r="AT42" s="7">
        <f t="shared" si="7"/>
        <v>40.425175358630327</v>
      </c>
      <c r="AU42" s="7">
        <f t="shared" si="7"/>
        <v>42.780924800392079</v>
      </c>
      <c r="AV42" s="7">
        <f t="shared" si="7"/>
        <v>37.279319353123768</v>
      </c>
    </row>
    <row r="43" spans="1:49" ht="15">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1.6797904091428806</v>
      </c>
      <c r="AS43" s="7">
        <f t="shared" si="7"/>
        <v>1.587038721752893</v>
      </c>
      <c r="AT43" s="7">
        <f t="shared" si="7"/>
        <v>3.0174880264541186</v>
      </c>
      <c r="AU43" s="7">
        <f t="shared" si="7"/>
        <v>2.0041850192225303</v>
      </c>
      <c r="AV43" s="7">
        <f t="shared" si="7"/>
        <v>1.8887812475203543</v>
      </c>
    </row>
    <row r="44" spans="1:49" ht="15">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-1.551433709326774</v>
      </c>
      <c r="AS44" s="7">
        <f t="shared" si="7"/>
        <v>-1.2930141944283375</v>
      </c>
      <c r="AT44" s="7">
        <f t="shared" si="7"/>
        <v>-0.91940528778945951</v>
      </c>
      <c r="AU44" s="7">
        <f t="shared" si="7"/>
        <v>-0.60654826037059351</v>
      </c>
      <c r="AV44" s="7">
        <f t="shared" si="7"/>
        <v>-0.32562767319781932</v>
      </c>
    </row>
    <row r="45" spans="1:49" ht="15">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-0.46537995328592979</v>
      </c>
      <c r="AS45" s="7">
        <f t="shared" si="7"/>
        <v>-0.38786245379586531</v>
      </c>
      <c r="AT45" s="7">
        <f t="shared" si="7"/>
        <v>-0.27579186097997427</v>
      </c>
      <c r="AU45" s="7">
        <f t="shared" si="7"/>
        <v>-0.18194486775681754</v>
      </c>
      <c r="AV45" s="7">
        <f t="shared" si="7"/>
        <v>-9.7677774068198095E-2</v>
      </c>
    </row>
    <row r="46" spans="1:49" ht="15">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-0.79432603365337195</v>
      </c>
      <c r="AS46" s="7">
        <f t="shared" si="7"/>
        <v>-0.66201657882208709</v>
      </c>
      <c r="AT46" s="7">
        <f t="shared" si="7"/>
        <v>-0.47073075129110509</v>
      </c>
      <c r="AU46" s="7">
        <f t="shared" si="7"/>
        <v>-0.31054957165304625</v>
      </c>
      <c r="AV46" s="7">
        <f t="shared" si="7"/>
        <v>-0.16671968421469985</v>
      </c>
    </row>
    <row r="47" spans="1:49" ht="15">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-0.55650414889474487</v>
      </c>
      <c r="AS47" s="7">
        <f t="shared" si="7"/>
        <v>-0.73769306707807569</v>
      </c>
      <c r="AT47" s="7">
        <f t="shared" si="7"/>
        <v>0.29990594393632586</v>
      </c>
      <c r="AU47" s="7">
        <f t="shared" si="7"/>
        <v>0.39003684252842419</v>
      </c>
      <c r="AV47" s="7">
        <f t="shared" si="7"/>
        <v>1.2497005006746691</v>
      </c>
    </row>
    <row r="48" spans="1:49" ht="15">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5">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5">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5">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9.420416537730981</v>
      </c>
      <c r="AS51" s="7">
        <f t="shared" si="8"/>
        <v>11.005384337779578</v>
      </c>
      <c r="AT51" s="7">
        <f t="shared" si="8"/>
        <v>14.612679431581823</v>
      </c>
      <c r="AU51" s="7">
        <f t="shared" si="8"/>
        <v>16.816273778646707</v>
      </c>
      <c r="AV51" s="7">
        <f t="shared" si="8"/>
        <v>19.229244673290371</v>
      </c>
    </row>
    <row r="52" spans="1:48" ht="15">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1.0723253355454476</v>
      </c>
      <c r="AS52" s="7">
        <f t="shared" si="8"/>
        <v>2.1515753268277233</v>
      </c>
      <c r="AT52" s="7">
        <f t="shared" si="8"/>
        <v>2.1509666272445322</v>
      </c>
      <c r="AU52" s="7">
        <f t="shared" si="8"/>
        <v>1.1164137800040239</v>
      </c>
      <c r="AV52" s="7">
        <f t="shared" si="8"/>
        <v>0.655052054422532</v>
      </c>
    </row>
    <row r="53" spans="1:48" ht="15">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1.4002319597997397</v>
      </c>
      <c r="AS53" s="7">
        <f t="shared" si="8"/>
        <v>1.8389639218214433</v>
      </c>
      <c r="AT53" s="7">
        <f t="shared" si="8"/>
        <v>2.2725562583236494</v>
      </c>
      <c r="AU53" s="7">
        <f t="shared" si="8"/>
        <v>0.72826287597536055</v>
      </c>
      <c r="AV53" s="7">
        <f t="shared" si="8"/>
        <v>1.0850554295494679</v>
      </c>
    </row>
    <row r="54" spans="1:48" ht="15">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0.12430966</v>
      </c>
      <c r="AT54" s="7">
        <f t="shared" si="8"/>
        <v>0.98808162392144649</v>
      </c>
      <c r="AU54" s="7">
        <f t="shared" si="8"/>
        <v>0.98808162392144649</v>
      </c>
      <c r="AV54" s="7">
        <f t="shared" si="8"/>
        <v>1.0550725552316882</v>
      </c>
    </row>
    <row r="55" spans="1:48" ht="15">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5">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5">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1.0994749470591592</v>
      </c>
      <c r="AS57" s="7">
        <f t="shared" si="8"/>
        <v>1.2631560998624491</v>
      </c>
      <c r="AT57" s="7">
        <f t="shared" si="8"/>
        <v>1.6790756552487243</v>
      </c>
      <c r="AU57" s="7">
        <f t="shared" si="8"/>
        <v>1.9031728777720414</v>
      </c>
      <c r="AV57" s="7">
        <f t="shared" si="8"/>
        <v>2.1513965409487206</v>
      </c>
    </row>
    <row r="58" spans="1:48" ht="15">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5">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5">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5">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31.236637819878418</v>
      </c>
      <c r="AS61" s="8">
        <f>SelectedInputs!AS126</f>
        <v>29.635922015249285</v>
      </c>
      <c r="AT61" s="8">
        <f>SelectedInputs!AT126</f>
        <v>36.587630807426294</v>
      </c>
      <c r="AU61" s="8">
        <f>SelectedInputs!AU126</f>
        <v>56.69662204742685</v>
      </c>
      <c r="AV61" s="8">
        <f>SelectedInputs!AV126</f>
        <v>51.664853729825033</v>
      </c>
    </row>
    <row r="62" spans="1:48" ht="15">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72.335022153224955</v>
      </c>
      <c r="AS62" s="8">
        <f>SelectedInputs!AS127</f>
        <v>85.543382757655152</v>
      </c>
      <c r="AT62" s="8">
        <f>SelectedInputs!AT127</f>
        <v>87.616010802072608</v>
      </c>
      <c r="AU62" s="8">
        <f>SelectedInputs!AU127</f>
        <v>71.60824308700802</v>
      </c>
      <c r="AV62" s="8">
        <f>SelectedInputs!AV127</f>
        <v>54.950773498392557</v>
      </c>
    </row>
    <row r="63" spans="1:48" ht="15">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19.88546090503149</v>
      </c>
      <c r="AS63" s="8">
        <f>SelectedInputs!AS128</f>
        <v>24.404737844552834</v>
      </c>
      <c r="AT63" s="8">
        <f>SelectedInputs!AT128</f>
        <v>38.270994741636599</v>
      </c>
      <c r="AU63" s="8">
        <f>SelectedInputs!AU128</f>
        <v>40.761394349118603</v>
      </c>
      <c r="AV63" s="8">
        <f>SelectedInputs!AV128</f>
        <v>34.422945364641564</v>
      </c>
    </row>
    <row r="64" spans="1:48" ht="15">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36.06113658135861</v>
      </c>
      <c r="AS64" s="8">
        <f>SelectedInputs!AS129</f>
        <v>34.078615314716693</v>
      </c>
      <c r="AT64" s="8">
        <f>SelectedInputs!AT129</f>
        <v>30.69124844900864</v>
      </c>
      <c r="AU64" s="8">
        <f>SelectedInputs!AU129</f>
        <v>31.090644296999137</v>
      </c>
      <c r="AV64" s="8">
        <f>SelectedInputs!AV129</f>
        <v>31.088531643694072</v>
      </c>
    </row>
    <row r="65" spans="1:48" ht="15">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10.049595231118609</v>
      </c>
      <c r="AS65" s="8">
        <f>SelectedInputs!AS130</f>
        <v>8.2284214767958339</v>
      </c>
      <c r="AT65" s="8">
        <f>SelectedInputs!AT130</f>
        <v>8.8650134193047538</v>
      </c>
      <c r="AU65" s="8">
        <f>SelectedInputs!AU130</f>
        <v>8.08202755824375</v>
      </c>
      <c r="AV65" s="8">
        <f>SelectedInputs!AV130</f>
        <v>7.6415943309170267</v>
      </c>
    </row>
    <row r="66" spans="1:48" ht="15">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15.219918426431777</v>
      </c>
      <c r="AS66" s="8">
        <f>SelectedInputs!AS131</f>
        <v>16.362155466046204</v>
      </c>
      <c r="AT66" s="8">
        <f>SelectedInputs!AT131</f>
        <v>15.925880824661924</v>
      </c>
      <c r="AU66" s="8">
        <f>SelectedInputs!AU131</f>
        <v>14.680257351433436</v>
      </c>
      <c r="AV66" s="8">
        <f>SelectedInputs!AV131</f>
        <v>14.358105203328142</v>
      </c>
    </row>
    <row r="67" spans="1:48" ht="15">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103.85668480214409</v>
      </c>
      <c r="AS67" s="8">
        <f>SelectedInputs!AS132</f>
        <v>110.96361749446942</v>
      </c>
      <c r="AT67" s="8">
        <f>SelectedInputs!AT132</f>
        <v>103.91376710279079</v>
      </c>
      <c r="AU67" s="8">
        <f>SelectedInputs!AU132</f>
        <v>98.295684351086408</v>
      </c>
      <c r="AV67" s="8">
        <f>SelectedInputs!AV132</f>
        <v>100.18498305463616</v>
      </c>
    </row>
    <row r="68" spans="1:48" ht="15">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288.64445591918798</v>
      </c>
      <c r="AS68" s="526">
        <f>SUM(AS61:AS67)</f>
        <v>309.21685236948542</v>
      </c>
      <c r="AT68" s="526">
        <f>SUM(AT61:AT67)</f>
        <v>321.87054614690157</v>
      </c>
      <c r="AU68" s="526">
        <f>SUM(AU61:AU67)</f>
        <v>321.2148730413162</v>
      </c>
      <c r="AV68" s="526">
        <f>SUM(AV61:AV67)</f>
        <v>294.31178682543458</v>
      </c>
    </row>
    <row r="69" spans="1:48" ht="15">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5">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5">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5">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6.63755233785092</v>
      </c>
      <c r="AS72" s="8">
        <f>SelectedInputs!AS135</f>
        <v>7.7770900760626978</v>
      </c>
      <c r="AT72" s="8">
        <f>SelectedInputs!AT135</f>
        <v>12.745360405610239</v>
      </c>
      <c r="AU72" s="8">
        <f>SelectedInputs!AU135</f>
        <v>15.111970675332337</v>
      </c>
      <c r="AV72" s="8">
        <f>SelectedInputs!AV135</f>
        <v>17.119268176362233</v>
      </c>
    </row>
    <row r="73" spans="1:48" ht="15">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1.9036369813958665</v>
      </c>
      <c r="AS73" s="8">
        <f>SelectedInputs!AS136</f>
        <v>1.1014507573536851</v>
      </c>
      <c r="AT73" s="8">
        <f>SelectedInputs!AT136</f>
        <v>4.2569191861587621</v>
      </c>
      <c r="AU73" s="8">
        <f>SelectedInputs!AU136</f>
        <v>2.6268348904316512</v>
      </c>
      <c r="AV73" s="8">
        <f>SelectedInputs!AV136</f>
        <v>1.7049314874453665</v>
      </c>
    </row>
    <row r="74" spans="1:48" ht="15">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1.0037625801144436</v>
      </c>
      <c r="AS74" s="8">
        <f>SelectedInputs!AS137</f>
        <v>1.1908635693937715</v>
      </c>
      <c r="AT74" s="8">
        <f>SelectedInputs!AT137</f>
        <v>2.5444395151318777</v>
      </c>
      <c r="AU74" s="8">
        <f>SelectedInputs!AU137</f>
        <v>1.5972744321571826</v>
      </c>
      <c r="AV74" s="8">
        <f>SelectedInputs!AV137</f>
        <v>0.98481182187139571</v>
      </c>
    </row>
    <row r="75" spans="1:48" ht="15">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5">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5">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5">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1.107547719808528</v>
      </c>
      <c r="AS78" s="8">
        <f>SelectedInputs!AS141</f>
        <v>1.2722234740096301</v>
      </c>
      <c r="AT78" s="8">
        <f>SelectedInputs!AT141</f>
        <v>1.8604541326000643</v>
      </c>
      <c r="AU78" s="8">
        <f>SelectedInputs!AU141</f>
        <v>2.0525269440807827</v>
      </c>
      <c r="AV78" s="8">
        <f>SelectedInputs!AV141</f>
        <v>2.2899387640702318</v>
      </c>
    </row>
    <row r="79" spans="1:48" ht="15">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10.652499619169758</v>
      </c>
      <c r="AS79" s="526">
        <f>SUM(AS72:AS78)</f>
        <v>11.341627876819784</v>
      </c>
      <c r="AT79" s="526">
        <f>SUM(AT72:AT78)</f>
        <v>21.407173239500942</v>
      </c>
      <c r="AU79" s="526">
        <f>SUM(AU72:AU78)</f>
        <v>21.388606942001953</v>
      </c>
      <c r="AV79" s="526">
        <f>SUM(AV72:AV78)</f>
        <v>22.09895024974923</v>
      </c>
    </row>
    <row r="80" spans="1:48" ht="15">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5">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5">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2.5243188916226287</v>
      </c>
      <c r="AS83" s="8">
        <f>SelectedInputs!AS145</f>
        <v>2.8756402792994264</v>
      </c>
      <c r="AT83" s="8">
        <f>SelectedInputs!AT145</f>
        <v>3.0162633687903266</v>
      </c>
      <c r="AU83" s="8">
        <f>SelectedInputs!AU145</f>
        <v>3.0162633687903266</v>
      </c>
      <c r="AV83" s="8">
        <f>SelectedInputs!AV145</f>
        <v>3.0162633687903266</v>
      </c>
    </row>
    <row r="84" spans="1:48" ht="15">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27.565887138496063</v>
      </c>
      <c r="AS84" s="8">
        <f>SelectedInputs!AS146</f>
        <v>29.322225304146077</v>
      </c>
      <c r="AT84" s="8">
        <f>SelectedInputs!AT146</f>
        <v>28.695281319716194</v>
      </c>
      <c r="AU84" s="8">
        <f>SelectedInputs!AU146</f>
        <v>36.447574605468816</v>
      </c>
      <c r="AV84" s="8">
        <f>SelectedInputs!AV146</f>
        <v>39.690471341156972</v>
      </c>
    </row>
    <row r="85" spans="1:48" ht="15">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7.8618005385147471</v>
      </c>
      <c r="AS85" s="8">
        <f>SelectedInputs!AS147</f>
        <v>8.2898785478619992</v>
      </c>
      <c r="AT85" s="8">
        <f>SelectedInputs!AT147</f>
        <v>9.1747639729494193</v>
      </c>
      <c r="AU85" s="8">
        <f>SelectedInputs!AU147</f>
        <v>8.2299857136340453</v>
      </c>
      <c r="AV85" s="8">
        <f>SelectedInputs!AV147</f>
        <v>8.2548397700670861</v>
      </c>
    </row>
    <row r="86" spans="1:48" ht="15">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2.4648946742029851</v>
      </c>
      <c r="AS86" s="8">
        <f>SelectedInputs!AS148</f>
        <v>2.7100318454297487</v>
      </c>
      <c r="AT86" s="8">
        <f>SelectedInputs!AT148</f>
        <v>2.5012698427626745</v>
      </c>
      <c r="AU86" s="8">
        <f>SelectedInputs!AU148</f>
        <v>2.8937046828837878</v>
      </c>
      <c r="AV86" s="8">
        <f>SelectedInputs!AV148</f>
        <v>16.03884963262599</v>
      </c>
    </row>
    <row r="87" spans="1:48" ht="15">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0.25284575033483064</v>
      </c>
      <c r="AS87" s="8">
        <f>SelectedInputs!AS149</f>
        <v>0.16840766276560176</v>
      </c>
      <c r="AT87" s="8">
        <f>SelectedInputs!AT149</f>
        <v>0.51344708915764758</v>
      </c>
      <c r="AU87" s="8">
        <f>SelectedInputs!AU149</f>
        <v>0.24202503478249351</v>
      </c>
      <c r="AV87" s="8">
        <f>SelectedInputs!AV149</f>
        <v>0.23724260643111042</v>
      </c>
    </row>
    <row r="88" spans="1:48" ht="15">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2.2176711888539813E-2</v>
      </c>
      <c r="AS88" s="8">
        <f>SelectedInputs!AS150</f>
        <v>1.573620568519549E-2</v>
      </c>
      <c r="AT88" s="8">
        <f>SelectedInputs!AT150</f>
        <v>1.895645878686765E-2</v>
      </c>
      <c r="AU88" s="8">
        <f>SelectedInputs!AU150</f>
        <v>1.895645878686765E-2</v>
      </c>
      <c r="AV88" s="8">
        <f>SelectedInputs!AV150</f>
        <v>1.895645878686765E-2</v>
      </c>
    </row>
    <row r="89" spans="1:48" ht="15">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18.824358303726775</v>
      </c>
      <c r="AS89" s="8">
        <f>SelectedInputs!AS151</f>
        <v>0.59290694209075512</v>
      </c>
      <c r="AT89" s="8">
        <f>SelectedInputs!AT151</f>
        <v>-0.69125343232633574</v>
      </c>
      <c r="AU89" s="8">
        <f>SelectedInputs!AU151</f>
        <v>-3.0197190742375857</v>
      </c>
      <c r="AV89" s="8">
        <f>SelectedInputs!AV151</f>
        <v>0</v>
      </c>
    </row>
    <row r="90" spans="1:48" ht="15">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5.5207518680273404E-2</v>
      </c>
      <c r="AS90" s="8">
        <f>SelectedInputs!AS152</f>
        <v>0.16795373375545189</v>
      </c>
      <c r="AT90" s="8">
        <f>SelectedInputs!AT152</f>
        <v>1.1577347538574579E-2</v>
      </c>
      <c r="AU90" s="8">
        <f>SelectedInputs!AU152</f>
        <v>1.7675809935205184E-3</v>
      </c>
      <c r="AV90" s="8">
        <f>SelectedInputs!AV152</f>
        <v>0</v>
      </c>
    </row>
    <row r="91" spans="1:48" ht="15">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-5.5</v>
      </c>
      <c r="AT91" s="30">
        <f>SelectedInputs!AT153</f>
        <v>-5.5</v>
      </c>
      <c r="AU91" s="30">
        <f>SelectedInputs!AU153</f>
        <v>-5.5</v>
      </c>
      <c r="AV91" s="30">
        <f>SelectedInputs!AV153</f>
        <v>-5.3</v>
      </c>
    </row>
    <row r="92" spans="1:48" ht="15">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5">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5">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5">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5">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5">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59.571489527466845</v>
      </c>
      <c r="AS97" s="431">
        <f>SUM(AS83:AS91,AS93)-(AS92+AS94)+SUM(AS95:AS96)</f>
        <v>38.642780521034261</v>
      </c>
      <c r="AT97" s="431">
        <f>SUM(AT83:AT91,AT93)-(AT92+AT94)+SUM(AT95:AT96)</f>
        <v>37.74030596737537</v>
      </c>
      <c r="AU97" s="431">
        <f>SUM(AU83:AU91,AU93)-(AU92+AU94)+SUM(AU95:AU96)</f>
        <v>42.330558371102271</v>
      </c>
      <c r="AV97" s="431">
        <f>SUM(AV83:AV91,AV93)-(AV92+AV94)+SUM(AV95:AV96)</f>
        <v>61.956623177858361</v>
      </c>
    </row>
    <row r="98" spans="1:53" ht="1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5">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5">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0.81879539999999995</v>
      </c>
      <c r="AS101" s="465">
        <f>SelectedInputs!AS162</f>
        <v>0.7755274998377939</v>
      </c>
      <c r="AT101" s="465">
        <f>SelectedInputs!AT162</f>
        <v>0.72052909999999981</v>
      </c>
      <c r="AU101" s="465">
        <f>SelectedInputs!AU162</f>
        <v>0.72846174999999991</v>
      </c>
      <c r="AV101" s="465">
        <f>SelectedInputs!AV162</f>
        <v>0.73635473674999985</v>
      </c>
      <c r="AW101" s="184"/>
      <c r="AX101" s="184"/>
      <c r="AY101" s="184"/>
      <c r="AZ101" s="184"/>
      <c r="BA101" s="184"/>
    </row>
    <row r="102" spans="1:53" s="82" customFormat="1" ht="15">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0.50591940669715296</v>
      </c>
      <c r="AS102" s="465">
        <f>SelectedInputs!AS163</f>
        <v>-0.14296658834641679</v>
      </c>
      <c r="AT102" s="465">
        <f>SelectedInputs!AT163</f>
        <v>0.38808000000000153</v>
      </c>
      <c r="AU102" s="465">
        <f>SelectedInputs!AU163</f>
        <v>0.8324771999999877</v>
      </c>
      <c r="AV102" s="465">
        <f>SelectedInputs!AV163</f>
        <v>1.2790963859999729</v>
      </c>
      <c r="AW102" s="184"/>
      <c r="AX102" s="184"/>
      <c r="AY102" s="184"/>
      <c r="AZ102" s="184"/>
      <c r="BA102" s="184"/>
    </row>
    <row r="103" spans="1:53" s="82" customFormat="1" ht="15">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-2.5231264736921446</v>
      </c>
      <c r="AS103" s="465">
        <f>SelectedInputs!AS164</f>
        <v>-0.28996612068374095</v>
      </c>
      <c r="AT103" s="465">
        <f>SelectedInputs!AT164</f>
        <v>-0.4</v>
      </c>
      <c r="AU103" s="465">
        <f>SelectedInputs!AU164</f>
        <v>-0.4</v>
      </c>
      <c r="AV103" s="465">
        <f>SelectedInputs!AV164</f>
        <v>-0.4</v>
      </c>
      <c r="AW103" s="184"/>
      <c r="AX103" s="184"/>
      <c r="AY103" s="184"/>
      <c r="AZ103" s="184"/>
      <c r="BA103" s="184"/>
    </row>
    <row r="104" spans="1:53" s="82" customFormat="1" ht="15">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5">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1.8131675652328265</v>
      </c>
      <c r="AT105" s="465">
        <f>SelectedInputs!AT166</f>
        <v>0</v>
      </c>
      <c r="AU105" s="465">
        <f>SelectedInputs!AU166</f>
        <v>0</v>
      </c>
      <c r="AV105" s="465">
        <f>SelectedInputs!AV166</f>
        <v>1.54</v>
      </c>
      <c r="AW105" s="184"/>
      <c r="AX105" s="184"/>
      <c r="AY105" s="184"/>
      <c r="AZ105" s="184"/>
      <c r="BA105" s="184"/>
    </row>
    <row r="106" spans="1:53" s="82" customFormat="1" ht="15">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1.8440000000000001</v>
      </c>
      <c r="AS106" s="465">
        <f>SelectedInputs!AS167</f>
        <v>4.6100000000000003</v>
      </c>
      <c r="AT106" s="465">
        <f>SelectedInputs!AT167</f>
        <v>2.3469199999999995</v>
      </c>
      <c r="AU106" s="465">
        <f>SelectedInputs!AU167</f>
        <v>2.6789263999999999</v>
      </c>
      <c r="AV106" s="465">
        <f>SelectedInputs!AV167</f>
        <v>3.0175729280000017</v>
      </c>
      <c r="AW106" s="184"/>
      <c r="AX106" s="184"/>
      <c r="AY106" s="184"/>
      <c r="AZ106" s="184"/>
      <c r="BA106" s="184"/>
    </row>
    <row r="107" spans="1:53" s="82" customFormat="1" ht="15">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5">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5">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5">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5">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0.64558833300500829</v>
      </c>
      <c r="AS111" s="467">
        <f>SUM(AS101:AS110)</f>
        <v>6.7657623560404634</v>
      </c>
      <c r="AT111" s="467">
        <f>SUM(AT101:AT110)</f>
        <v>3.0555291000000007</v>
      </c>
      <c r="AU111" s="467">
        <f>SUM(AU101:AU110)</f>
        <v>3.8398653499999877</v>
      </c>
      <c r="AV111" s="467">
        <f>SUM(AV101:AV110)</f>
        <v>6.1730240507499747</v>
      </c>
      <c r="AW111" s="184"/>
      <c r="AX111" s="184"/>
      <c r="AY111" s="184"/>
      <c r="AZ111" s="184"/>
      <c r="BA111" s="184"/>
    </row>
    <row r="112" spans="1:53" s="82" customFormat="1" ht="15">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5">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1.38</v>
      </c>
      <c r="AS113" s="30">
        <f>SelectedInputs!AS173</f>
        <v>0</v>
      </c>
      <c r="AT113" s="30">
        <f>SelectedInputs!AT173</f>
        <v>0</v>
      </c>
      <c r="AU113" s="30">
        <f>SelectedInputs!AU173</f>
        <v>0</v>
      </c>
      <c r="AV113" s="30">
        <f>SelectedInputs!AV173</f>
        <v>0</v>
      </c>
    </row>
    <row r="114" spans="1:48" ht="15">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5">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5">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5">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4.4275336763387588E-2</v>
      </c>
      <c r="AS117" s="7">
        <f>SelectedInputs!AS177</f>
        <v>0.19952037044633403</v>
      </c>
      <c r="AT117" s="7">
        <f>SelectedInputs!AT177</f>
        <v>0</v>
      </c>
      <c r="AU117" s="7">
        <f>SelectedInputs!AU177</f>
        <v>0</v>
      </c>
      <c r="AV117" s="7">
        <f>SelectedInputs!AV177</f>
        <v>0</v>
      </c>
    </row>
    <row r="118" spans="1:48" ht="15">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0.55808007815565208</v>
      </c>
      <c r="AS118" s="7">
        <f>SelectedInputs!AS178</f>
        <v>0</v>
      </c>
      <c r="AT118" s="7">
        <f>SelectedInputs!AT178</f>
        <v>0</v>
      </c>
      <c r="AU118" s="7">
        <f>SelectedInputs!AU178</f>
        <v>0</v>
      </c>
      <c r="AV118" s="7">
        <f>SelectedInputs!AV178</f>
        <v>0</v>
      </c>
    </row>
    <row r="119" spans="1:48" ht="15">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5">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5">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5">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5">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0.60235541491903966</v>
      </c>
      <c r="AS123" s="526">
        <f>SUM(AS117:AS122)</f>
        <v>0.19952037044633403</v>
      </c>
      <c r="AT123" s="526">
        <f>SUM(AT117:AT122)</f>
        <v>0</v>
      </c>
      <c r="AU123" s="526">
        <f>SUM(AU117:AU122)</f>
        <v>0</v>
      </c>
      <c r="AV123" s="526">
        <f>SUM(AV117:AV122)</f>
        <v>0</v>
      </c>
    </row>
    <row r="124" spans="1:48" ht="15">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-0.66928372742610909</v>
      </c>
      <c r="AS124" s="30">
        <f xml:space="preserve"> - SUMPRODUCT($I$117:$I$119,AS117:AS119)</f>
        <v>-0.22168927832699664</v>
      </c>
      <c r="AT124" s="30">
        <f xml:space="preserve"> - SUMPRODUCT($I$117:$I$119,AT117:AT119)</f>
        <v>0</v>
      </c>
      <c r="AU124" s="30">
        <f xml:space="preserve"> - SUMPRODUCT($I$117:$I$119,AU117:AU119)</f>
        <v>0</v>
      </c>
      <c r="AV124" s="30">
        <f xml:space="preserve"> - SUMPRODUCT($I$117:$I$119,AV117:AV119)</f>
        <v>0</v>
      </c>
    </row>
    <row r="125" spans="1:48" ht="1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5">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5">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5">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50.182619349190531</v>
      </c>
      <c r="AS129" s="8">
        <f>SelectedInputs!AS191</f>
        <v>53.350125253244165</v>
      </c>
      <c r="AT129" s="8">
        <f>SelectedInputs!AT191</f>
        <v>58.01835533208456</v>
      </c>
      <c r="AU129" s="8">
        <f>SelectedInputs!AU191</f>
        <v>56.703244958692807</v>
      </c>
      <c r="AV129" s="8">
        <f>SelectedInputs!AV191</f>
        <v>43.427473170563552</v>
      </c>
    </row>
    <row r="130" spans="1:48" ht="15">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-52.706301285593291</v>
      </c>
      <c r="AS130" s="8">
        <f>SelectedInputs!AS192</f>
        <v>-52.562482765799125</v>
      </c>
      <c r="AT130" s="8">
        <f>SelectedInputs!AT192</f>
        <v>-58.01835533208456</v>
      </c>
      <c r="AU130" s="8">
        <f>SelectedInputs!AU192</f>
        <v>-56.703244958692807</v>
      </c>
      <c r="AV130" s="8">
        <f>SelectedInputs!AV192</f>
        <v>-43.427473170563552</v>
      </c>
    </row>
    <row r="131" spans="1:48" ht="15">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8.7288787385511775</v>
      </c>
      <c r="AS131" s="8">
        <f>SelectedInputs!AS193</f>
        <v>13.093052713927825</v>
      </c>
      <c r="AT131" s="8">
        <f>SelectedInputs!AT193</f>
        <v>7.0575734007240625</v>
      </c>
      <c r="AU131" s="8">
        <f>SelectedInputs!AU193</f>
        <v>7.2335736240871826</v>
      </c>
      <c r="AV131" s="8">
        <f>SelectedInputs!AV193</f>
        <v>7.4505808328097984</v>
      </c>
    </row>
    <row r="132" spans="1:48" ht="15">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-8.7638617206852114</v>
      </c>
      <c r="AS132" s="8">
        <f>SelectedInputs!AS194</f>
        <v>-12.137105747058181</v>
      </c>
      <c r="AT132" s="8">
        <f>SelectedInputs!AT194</f>
        <v>-7.0575734007240616</v>
      </c>
      <c r="AU132" s="8">
        <f>SelectedInputs!AU194</f>
        <v>-7.2335736240871817</v>
      </c>
      <c r="AV132" s="8">
        <f>SelectedInputs!AV194</f>
        <v>-7.4505808328097993</v>
      </c>
    </row>
    <row r="133" spans="1:48" ht="15">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2.2821710621636075</v>
      </c>
      <c r="AS133" s="8">
        <f>SelectedInputs!AS195</f>
        <v>1.9533321855099155</v>
      </c>
      <c r="AT133" s="8">
        <f>SelectedInputs!AT195</f>
        <v>1.9719425245001454</v>
      </c>
      <c r="AU133" s="8">
        <f>SelectedInputs!AU195</f>
        <v>2.0211183962998853</v>
      </c>
      <c r="AV133" s="8">
        <f>SelectedInputs!AV195</f>
        <v>2.0817519481888822</v>
      </c>
    </row>
    <row r="134" spans="1:48" ht="15">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-2.7993413538459992</v>
      </c>
      <c r="AS134" s="8">
        <f>SelectedInputs!AS196</f>
        <v>-2.9272602259326845</v>
      </c>
      <c r="AT134" s="8">
        <f>SelectedInputs!AT196</f>
        <v>-1.9719425245001454</v>
      </c>
      <c r="AU134" s="8">
        <f>SelectedInputs!AU196</f>
        <v>-2.0211183962998849</v>
      </c>
      <c r="AV134" s="8">
        <f>SelectedInputs!AV196</f>
        <v>-2.0817519481888822</v>
      </c>
    </row>
    <row r="135" spans="1:48" ht="15">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5">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5">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7.80870136920416E-5</v>
      </c>
      <c r="AS137" s="8">
        <f>SelectedInputs!AS199</f>
        <v>0</v>
      </c>
      <c r="AT137" s="8">
        <f>SelectedInputs!AT199</f>
        <v>0</v>
      </c>
      <c r="AU137" s="8">
        <f>SelectedInputs!AU199</f>
        <v>0</v>
      </c>
      <c r="AV137" s="8">
        <f>SelectedInputs!AV199</f>
        <v>0</v>
      </c>
    </row>
    <row r="138" spans="1:48" ht="15">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5">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0</v>
      </c>
      <c r="AS139" s="8">
        <f>SelectedInputs!AS201</f>
        <v>0</v>
      </c>
      <c r="AT139" s="8">
        <f>SelectedInputs!AT201</f>
        <v>0</v>
      </c>
      <c r="AU139" s="8">
        <f>SelectedInputs!AU201</f>
        <v>0</v>
      </c>
      <c r="AV139" s="8">
        <f>SelectedInputs!AV201</f>
        <v>0</v>
      </c>
    </row>
    <row r="140" spans="1:48" ht="15">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5">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5">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5">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61.193747236919002</v>
      </c>
      <c r="AS143" s="526">
        <f t="shared" si="9"/>
        <v>68.396510152681913</v>
      </c>
      <c r="AT143" s="526">
        <f t="shared" si="9"/>
        <v>67.047871257308771</v>
      </c>
      <c r="AU143" s="526">
        <f t="shared" si="9"/>
        <v>65.957936979079875</v>
      </c>
      <c r="AV143" s="526">
        <f t="shared" si="9"/>
        <v>52.959805951562231</v>
      </c>
    </row>
    <row r="144" spans="1:48" ht="15">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-64.2695043601245</v>
      </c>
      <c r="AS144" s="30">
        <f t="shared" si="9"/>
        <v>-67.626848738789988</v>
      </c>
      <c r="AT144" s="30">
        <f t="shared" si="9"/>
        <v>-67.047871257308771</v>
      </c>
      <c r="AU144" s="30">
        <f t="shared" si="9"/>
        <v>-65.957936979079875</v>
      </c>
      <c r="AV144" s="30">
        <f t="shared" si="9"/>
        <v>-52.959805951562231</v>
      </c>
    </row>
    <row r="145" spans="1:48" ht="1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5">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-3.2796545750657467E-3</v>
      </c>
      <c r="AS146" s="30">
        <f>SelectedInputs!AS205</f>
        <v>0</v>
      </c>
      <c r="AT146" s="30">
        <f>SelectedInputs!AT205</f>
        <v>0</v>
      </c>
      <c r="AU146" s="30">
        <f>SelectedInputs!AU205</f>
        <v>0</v>
      </c>
      <c r="AV146" s="30">
        <f>SelectedInputs!AV205</f>
        <v>0</v>
      </c>
    </row>
    <row r="147" spans="1:48" ht="15">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5">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3.2796545750657467E-3</v>
      </c>
      <c r="AS149" s="30">
        <f>-SUM(AS146:AS147)</f>
        <v>0</v>
      </c>
      <c r="AT149" s="30">
        <f>-SUM(AT146:AT147)</f>
        <v>0</v>
      </c>
      <c r="AU149" s="30">
        <f>-SUM(AU146:AU147)</f>
        <v>0</v>
      </c>
      <c r="AV149" s="30">
        <f>-SUM(AV146:AV147)</f>
        <v>0</v>
      </c>
    </row>
    <row r="150" spans="1:48" ht="15">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-3.0790367777805643</v>
      </c>
      <c r="AS150" s="30">
        <f>SUM(AS143:AS144) + SUM(AS146:AS147)</f>
        <v>0.76966141389192444</v>
      </c>
      <c r="AT150" s="30">
        <f>SUM(AT143:AT144) + SUM(AT146:AT147)</f>
        <v>0</v>
      </c>
      <c r="AU150" s="30">
        <f>SUM(AU143:AU144) + SUM(AU146:AU147)</f>
        <v>0</v>
      </c>
      <c r="AV150" s="30">
        <f>SUM(AV143:AV144) + SUM(AV146:AV147)</f>
        <v>0</v>
      </c>
    </row>
    <row r="151" spans="1:48" ht="15">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-3.2796545750657467E-3</v>
      </c>
      <c r="AS151" s="30">
        <f>SUM(AS146:AS147)</f>
        <v>0</v>
      </c>
      <c r="AT151" s="30">
        <f>SUM(AT146:AT147)</f>
        <v>0</v>
      </c>
      <c r="AU151" s="30">
        <f>SUM(AU146:AU147)</f>
        <v>0</v>
      </c>
      <c r="AV151" s="30">
        <f>SUM(AV146:AV147)</f>
        <v>0</v>
      </c>
    </row>
    <row r="152" spans="1:48" ht="15">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5">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5">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5">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5">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3.04E-2</v>
      </c>
      <c r="AS157" s="49">
        <f>SelectedInputs!AS211</f>
        <v>3.1099999999999999E-2</v>
      </c>
      <c r="AT157" s="49">
        <f>SelectedInputs!AT211</f>
        <v>3.1300000000000001E-2</v>
      </c>
      <c r="AU157" s="49">
        <f>SelectedInputs!AU211</f>
        <v>3.1399999999999997E-2</v>
      </c>
      <c r="AV157" s="49">
        <f>SelectedInputs!AV211</f>
        <v>3.1399999999999997E-2</v>
      </c>
    </row>
    <row r="158" spans="1:48" ht="15">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3.04E-2</v>
      </c>
      <c r="AS158" s="532">
        <f>SUM(AS157:AS157)</f>
        <v>3.1099999999999999E-2</v>
      </c>
      <c r="AT158" s="532">
        <f>SUM(AT157:AT157)</f>
        <v>3.1300000000000001E-2</v>
      </c>
      <c r="AU158" s="532">
        <f>SUM(AU157:AU157)</f>
        <v>3.1399999999999997E-2</v>
      </c>
      <c r="AV158" s="532">
        <f>SUM(AV157:AV157)</f>
        <v>3.1399999999999997E-2</v>
      </c>
    </row>
    <row r="159" spans="1:48" ht="15">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5">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5">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5">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3.0499999999999999E-2</v>
      </c>
      <c r="AV162" s="49">
        <f>SelectedInputs!AV213</f>
        <v>2.47E-2</v>
      </c>
    </row>
    <row r="163" spans="1:49" ht="15">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5">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5">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5">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5.6672045000000004E-2</v>
      </c>
      <c r="AV166" s="112">
        <f>AV162 + AV163 * (AV164 - AV162)</f>
        <v>5.5271982999999997E-2</v>
      </c>
    </row>
    <row r="167" spans="1:49" ht="15">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5">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3.9373577600000001E-2</v>
      </c>
      <c r="AS168" s="532">
        <f>(AS158 * AS167) + (AS166* (1 - AS167))</f>
        <v>4.1010183200000001E-2</v>
      </c>
      <c r="AT168" s="532">
        <f>(AT158 * AT167) + (AT166* (1 - AT167))</f>
        <v>4.05701584E-2</v>
      </c>
      <c r="AU168" s="532">
        <f>(AU158 * AU167) + (AU166* (1 - AU167))</f>
        <v>4.1508818000000003E-2</v>
      </c>
      <c r="AV168" s="532">
        <f>(AV158 * AV167) + (AV166* (1 - AV167))</f>
        <v>4.09487932E-2</v>
      </c>
    </row>
    <row r="169" spans="1:49" ht="15">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3.9373577600000001E-2</v>
      </c>
      <c r="AS169" s="193">
        <f>(AS158 * AS167) + (AS166 * (1 - AS167))</f>
        <v>4.1010183200000001E-2</v>
      </c>
      <c r="AT169" s="193">
        <f>(AT158 * AT167) + (AT166 * (1 - AT167))</f>
        <v>4.05701584E-2</v>
      </c>
      <c r="AU169" s="193">
        <f>(AU158 * AU167) + (AU166 * (1 - AU167))</f>
        <v>4.1508818000000003E-2</v>
      </c>
      <c r="AV169" s="193">
        <f>(AV158 * AV167) + (AV166 * (1 - AV167))</f>
        <v>4.09487932E-2</v>
      </c>
    </row>
    <row r="170" spans="1:49" ht="15">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5">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5">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5.4475395999999995E-2</v>
      </c>
      <c r="AU172" s="532">
        <f>(AU168 - (AU171 * AU158)) / (1 - AU171)</f>
        <v>5.6672045000000004E-2</v>
      </c>
      <c r="AV172" s="532">
        <f>(AV168 - (AV171 * AV158)) / (1 - AV171)</f>
        <v>5.5271982999999997E-2</v>
      </c>
    </row>
    <row r="173" spans="1:49" ht="15">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5.4475395999999995E-2</v>
      </c>
      <c r="AU173" s="193">
        <f>(AU169 - (AU158 * AU171)) / (1 - AU171)</f>
        <v>5.6672045000000004E-2</v>
      </c>
      <c r="AV173" s="193">
        <f>(AV169 - (AV158 * AV171)) / (1 - AV171)</f>
        <v>5.5271982999999997E-2</v>
      </c>
    </row>
    <row r="174" spans="1:49" ht="15">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5">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5">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5">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5">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3.04E-2</v>
      </c>
      <c r="AS178" s="485">
        <f>AS158</f>
        <v>3.1099999999999999E-2</v>
      </c>
      <c r="AT178" s="485">
        <f>AT158</f>
        <v>3.1300000000000001E-2</v>
      </c>
      <c r="AU178" s="485">
        <f>AU158</f>
        <v>3.1399999999999997E-2</v>
      </c>
      <c r="AV178" s="485">
        <f>AV158</f>
        <v>3.1399999999999997E-2</v>
      </c>
    </row>
    <row r="179" spans="1:49" ht="15">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5.4475395999999995E-2</v>
      </c>
      <c r="AU179" s="485">
        <f>AU173</f>
        <v>5.6672045000000004E-2</v>
      </c>
      <c r="AV179" s="485">
        <f>AV173</f>
        <v>5.5271982999999997E-2</v>
      </c>
    </row>
    <row r="180" spans="1:49" ht="15">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5">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5">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3.9373577600000001E-2</v>
      </c>
      <c r="AS182" s="186">
        <f t="shared" si="10"/>
        <v>4.1010183200000001E-2</v>
      </c>
      <c r="AT182" s="186">
        <f t="shared" si="10"/>
        <v>4.05701584E-2</v>
      </c>
      <c r="AU182" s="186">
        <f t="shared" si="10"/>
        <v>4.1508818000000003E-2</v>
      </c>
      <c r="AV182" s="186">
        <f t="shared" si="10"/>
        <v>4.09487932E-2</v>
      </c>
      <c r="AW182" s="509"/>
    </row>
    <row r="183" spans="1:49" ht="15">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5">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5">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5">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5">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5">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3.3025740650801216E-2</v>
      </c>
      <c r="AT188" s="262">
        <f>'Annual Inflation'!AT24</f>
        <v>4.840649761983018E-2</v>
      </c>
      <c r="AU188" s="262">
        <f>'Annual Inflation'!AU24</f>
        <v>3.5320953108995079E-2</v>
      </c>
      <c r="AV188" s="262">
        <f>'Annual Inflation'!AV24</f>
        <v>3.058865665028776E-2</v>
      </c>
    </row>
    <row r="189" spans="1:49" ht="15">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3.2148357289527585E-2</v>
      </c>
      <c r="AT189" s="262">
        <f>'Annual Inflation'!AT27</f>
        <v>3.9787011293574315E-2</v>
      </c>
      <c r="AU189" s="262">
        <f>'Annual Inflation'!AU27</f>
        <v>2.3493774810292134E-2</v>
      </c>
      <c r="AV189" s="262">
        <f>'Annual Inflation'!AV27</f>
        <v>2.0310356376031402E-2</v>
      </c>
    </row>
    <row r="190" spans="1:49" ht="15">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5">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5">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5">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5">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1.321792585589326</v>
      </c>
      <c r="AT194" s="256">
        <f>'Annual Inflation'!AT32</f>
        <v>1.3743827621199309</v>
      </c>
      <c r="AU194" s="256">
        <f>'Annual Inflation'!AU32</f>
        <v>1.4066722012363251</v>
      </c>
      <c r="AV194" s="256">
        <f>'Annual Inflation'!AV32</f>
        <v>1.4352422149476913</v>
      </c>
    </row>
    <row r="195" spans="1:48" ht="15">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1.3499787750115915</v>
      </c>
      <c r="AT195" s="256">
        <f>'Annual Inflation'!AT46</f>
        <v>1.3914988566761421</v>
      </c>
      <c r="AU195" s="256">
        <f>'Annual Inflation'!AU46</f>
        <v>1.420885888499307</v>
      </c>
      <c r="AV195" s="256">
        <f>'Annual Inflation'!AV46</f>
        <v>1.4485259715670376</v>
      </c>
    </row>
    <row r="196" spans="1:48" ht="15">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3.7907505686125997E-2</v>
      </c>
      <c r="AT196" s="126">
        <f t="shared" si="11"/>
        <v>3.0756099601783937E-2</v>
      </c>
      <c r="AU196" s="126">
        <f t="shared" si="11"/>
        <v>2.1118976621627539E-2</v>
      </c>
      <c r="AV196" s="126">
        <f t="shared" si="11"/>
        <v>1.9452711362291764E-2</v>
      </c>
    </row>
    <row r="197" spans="1:48" ht="15">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5">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5.75">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5">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5">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5">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5">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5">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5">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5">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5">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5">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0.78</v>
      </c>
      <c r="AS209" s="262">
        <f>SelectedInputs!$I234</f>
        <v>0.78</v>
      </c>
      <c r="AT209" s="262">
        <f>SelectedInputs!$I234</f>
        <v>0.78</v>
      </c>
      <c r="AU209" s="262">
        <f>SelectedInputs!$I234</f>
        <v>0.78</v>
      </c>
      <c r="AV209" s="262">
        <f>SelectedInputs!$I234</f>
        <v>0.78</v>
      </c>
    </row>
    <row r="210" spans="1:48" ht="15">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5">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5">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5">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5">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5">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5">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5">
      <c r="A218" s="82"/>
      <c r="B218" s="82"/>
      <c r="C218" s="82"/>
      <c r="D218" s="82"/>
      <c r="E218" s="41" t="s">
        <v>277</v>
      </c>
      <c r="F218" s="2"/>
      <c r="G218" s="2" t="s">
        <v>278</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5">
      <c r="A219" s="82"/>
      <c r="B219" s="7"/>
      <c r="C219" s="7"/>
      <c r="D219" s="7"/>
      <c r="E219" s="7" t="s">
        <v>272</v>
      </c>
      <c r="F219" s="7"/>
      <c r="G219" s="2" t="s">
        <v>101</v>
      </c>
      <c r="H219" s="7"/>
      <c r="I219" s="30">
        <f>SelectedInputs!I241</f>
        <v>29.993840965466223</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5">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5">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5">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5">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5">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5">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5">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5">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5">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5">
      <c r="A229" s="82"/>
      <c r="B229" s="82"/>
      <c r="C229" s="82"/>
      <c r="D229" s="82"/>
      <c r="E229" s="7" t="s">
        <v>283</v>
      </c>
      <c r="F229" s="82"/>
      <c r="G229" s="2" t="s">
        <v>101</v>
      </c>
      <c r="H229" s="82"/>
      <c r="I229" s="82"/>
      <c r="J229" s="43"/>
      <c r="K229" s="30">
        <f>SelectedInputs!K250</f>
        <v>48.901715904916827</v>
      </c>
      <c r="L229" s="30">
        <f>SelectedInputs!L250</f>
        <v>162.07955082122055</v>
      </c>
      <c r="M229" s="30">
        <f>SelectedInputs!M250</f>
        <v>158.74534291861255</v>
      </c>
      <c r="N229" s="30">
        <f>SelectedInputs!N250</f>
        <v>174.86068111455111</v>
      </c>
      <c r="O229" s="30">
        <f>SelectedInputs!O250</f>
        <v>104.65708138741668</v>
      </c>
      <c r="P229" s="30">
        <f>SelectedInputs!P250</f>
        <v>107.62082174529043</v>
      </c>
      <c r="Q229" s="30">
        <f>SelectedInputs!Q250</f>
        <v>116.32680904654455</v>
      </c>
      <c r="R229" s="30">
        <f>SelectedInputs!R250</f>
        <v>139.11056304769897</v>
      </c>
      <c r="S229" s="30">
        <f>SelectedInputs!S250</f>
        <v>135.05514025886723</v>
      </c>
      <c r="T229" s="30">
        <f>SelectedInputs!T250</f>
        <v>134.39535116721777</v>
      </c>
      <c r="U229" s="30">
        <f>SelectedInputs!U250</f>
        <v>164.49751921393135</v>
      </c>
      <c r="V229" s="30">
        <f>SelectedInputs!V250</f>
        <v>101.17133956386293</v>
      </c>
      <c r="W229" s="30">
        <f>SelectedInputs!W250</f>
        <v>120.63821117601886</v>
      </c>
      <c r="X229" s="30">
        <f>SelectedInputs!X250</f>
        <v>133.80371740421066</v>
      </c>
      <c r="Y229" s="30">
        <f>SelectedInputs!Y250</f>
        <v>127.56180274321524</v>
      </c>
      <c r="Z229" s="30">
        <f>SelectedInputs!Z250</f>
        <v>163.60508585078944</v>
      </c>
      <c r="AA229" s="30">
        <f>SelectedInputs!AA250</f>
        <v>171.96228106127285</v>
      </c>
      <c r="AB229" s="30">
        <f>SelectedInputs!AB250</f>
        <v>216.89661349580709</v>
      </c>
      <c r="AC229" s="30">
        <f>SelectedInputs!AC250</f>
        <v>241.45999844804848</v>
      </c>
      <c r="AD229" s="30">
        <f>SelectedInputs!AD250</f>
        <v>197.02058631036226</v>
      </c>
      <c r="AE229" s="30">
        <f>SelectedInputs!AE250</f>
        <v>203.50475801997527</v>
      </c>
      <c r="AF229" s="30">
        <f>SelectedInputs!AF250</f>
        <v>219.29651147851237</v>
      </c>
      <c r="AG229" s="30">
        <f>SelectedInputs!AG250</f>
        <v>277.11848278310407</v>
      </c>
      <c r="AH229" s="30">
        <f>SelectedInputs!AH250</f>
        <v>300.36393808112814</v>
      </c>
      <c r="AI229" s="30">
        <f>SelectedInputs!AI250</f>
        <v>235.57913404646982</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5">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5">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-0.53673992636130419</v>
      </c>
      <c r="AI231" s="166">
        <f>SelectedInputs!AI252</f>
        <v>101.56243194745407</v>
      </c>
      <c r="AJ231" s="82"/>
      <c r="AK231" s="82"/>
      <c r="AL231" s="82"/>
      <c r="AM231" s="82"/>
      <c r="AN231" s="82"/>
      <c r="AO231" s="82"/>
      <c r="AP231" s="82"/>
      <c r="AQ231" s="147"/>
      <c r="AR231" s="82"/>
      <c r="AS231" s="82"/>
      <c r="AT231" s="82"/>
      <c r="AU231" s="82"/>
      <c r="AV231" s="82"/>
    </row>
    <row r="232" spans="1:48" ht="15">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5">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5">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5">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275.85721384821414</v>
      </c>
      <c r="AK235" s="30">
        <f>SelectedInputs!AK342 * Legacy!$I12</f>
        <v>272.70181302214843</v>
      </c>
      <c r="AL235" s="30">
        <f>SelectedInputs!AL342 * Legacy!$I12</f>
        <v>241.01129795964931</v>
      </c>
      <c r="AM235" s="30">
        <f>SelectedInputs!AM342 * Legacy!$I12</f>
        <v>237.25023725301742</v>
      </c>
      <c r="AN235" s="30">
        <f>SelectedInputs!AN342 * Legacy!$I12</f>
        <v>239.64874952851514</v>
      </c>
      <c r="AO235" s="30">
        <f>SelectedInputs!AO342 * Legacy!$I12</f>
        <v>246.7827966131006</v>
      </c>
      <c r="AP235" s="30">
        <f>SelectedInputs!AP342 * Legacy!$I12</f>
        <v>255.54351652286735</v>
      </c>
      <c r="AQ235" s="218">
        <f>SelectedInputs!AQ342 * Legacy!$I12</f>
        <v>254.64074687135479</v>
      </c>
      <c r="AR235" s="30"/>
      <c r="AS235" s="30"/>
      <c r="AT235" s="30"/>
      <c r="AU235" s="30"/>
      <c r="AV235" s="30"/>
    </row>
    <row r="236" spans="1:48" ht="15">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5">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5">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5">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5">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5">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5">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5">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5">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5">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5">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5">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623.07913960999997</v>
      </c>
      <c r="AR247" s="30">
        <f>SelectedInputs!AR264</f>
        <v>528.44346172999997</v>
      </c>
      <c r="AS247" s="30">
        <f>SelectedInputs!AS264</f>
        <v>717.66896479000002</v>
      </c>
      <c r="AT247" s="30">
        <f>SelectedInputs!AT264</f>
        <v>581.32019402925937</v>
      </c>
      <c r="AU247" s="30">
        <f>SelectedInputs!AU264</f>
        <v>582.14944419357857</v>
      </c>
      <c r="AV247" s="30">
        <f>SelectedInputs!AV264</f>
        <v>0</v>
      </c>
    </row>
    <row r="248" spans="1:48" ht="15">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623.07913960999997</v>
      </c>
      <c r="AR248" s="30">
        <f>AR247 - (AR251+AR252)*InputSummary!AR18</f>
        <v>528.64981785666669</v>
      </c>
      <c r="AS248" s="30">
        <f>AS247 - (AS251+AS252)*InputSummary!AS18</f>
        <v>717.89084076833331</v>
      </c>
      <c r="AT248" s="30">
        <f>AT247 - (AT251+AT252)*InputSummary!AT18</f>
        <v>581.32019402925937</v>
      </c>
      <c r="AU248" s="30">
        <f>AU247 - (AU251+AU252)*InputSummary!AU18</f>
        <v>582.14944419357857</v>
      </c>
      <c r="AV248" s="30">
        <f>AV247 - (AV251+AV252)*InputSummary!AV18</f>
        <v>0</v>
      </c>
    </row>
    <row r="249" spans="1:48" ht="15">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520.81434287343518</v>
      </c>
      <c r="AS249" s="30">
        <f>SelectedInputs!AS265</f>
        <v>710.56167651617056</v>
      </c>
      <c r="AT249" s="30">
        <f>SelectedInputs!AT265</f>
        <v>568.95486167833837</v>
      </c>
      <c r="AU249" s="30">
        <f>SelectedInputs!AU265</f>
        <v>579.48770086432239</v>
      </c>
      <c r="AV249" s="30">
        <f>SelectedInputs!AV265</f>
        <v>0</v>
      </c>
    </row>
    <row r="250" spans="1:48" ht="15">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429.14144932565534</v>
      </c>
      <c r="AU250" s="30">
        <f>SelectedInputs!AU266</f>
        <v>412.00601929769078</v>
      </c>
      <c r="AV250" s="30">
        <f>SelectedInputs!AV266</f>
        <v>0</v>
      </c>
    </row>
    <row r="251" spans="1:48" ht="15">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4.2665699999999999E-3</v>
      </c>
      <c r="AS251" s="30">
        <f>SelectedInputs!AS267</f>
        <v>0</v>
      </c>
      <c r="AT251" s="30">
        <f>SelectedInputs!AT267</f>
        <v>0</v>
      </c>
      <c r="AU251" s="30">
        <f>SelectedInputs!AU267</f>
        <v>0</v>
      </c>
      <c r="AV251" s="30">
        <f>SelectedInputs!AV267</f>
        <v>0</v>
      </c>
    </row>
    <row r="252" spans="1:48" ht="15">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-0.210622696666667</v>
      </c>
      <c r="AS252" s="30">
        <f>SelectedInputs!AS268</f>
        <v>-0.221875978333333</v>
      </c>
      <c r="AT252" s="30">
        <f>SelectedInputs!AT268</f>
        <v>0</v>
      </c>
      <c r="AU252" s="30">
        <f>SelectedInputs!AU268</f>
        <v>0</v>
      </c>
      <c r="AV252" s="30">
        <f>SelectedInputs!AV268</f>
        <v>0</v>
      </c>
    </row>
    <row r="253" spans="1:48" ht="15">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5">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5">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5">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5">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5">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5">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5">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5">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5">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5">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0.14000000000000001</v>
      </c>
      <c r="AV264" s="262">
        <f>SelectedInputs!AV286</f>
        <v>0.14000000000000001</v>
      </c>
    </row>
    <row r="265" spans="1:48" ht="15">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5">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5">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5">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5">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5">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5">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96.822677142231498</v>
      </c>
      <c r="AS271" s="30"/>
      <c r="AT271" s="30"/>
      <c r="AU271" s="30"/>
      <c r="AV271" s="30"/>
    </row>
    <row r="272" spans="1:48" ht="15">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901.64469052178902</v>
      </c>
      <c r="AS272" s="30"/>
      <c r="AT272" s="30"/>
      <c r="AU272" s="30"/>
      <c r="AV272" s="30"/>
    </row>
    <row r="273" spans="1:57" ht="15">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1346.9416163441822</v>
      </c>
      <c r="AS273" s="30"/>
      <c r="AT273" s="30"/>
      <c r="AU273" s="30"/>
      <c r="AV273" s="30"/>
    </row>
    <row r="274" spans="1:57" s="82" customFormat="1" ht="15">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1641.6422127756323</v>
      </c>
      <c r="AR274" s="455"/>
      <c r="AS274" s="184"/>
      <c r="AT274" s="184"/>
      <c r="AU274" s="184"/>
      <c r="AV274" s="184"/>
      <c r="AW274" s="184"/>
      <c r="AX274" s="184"/>
      <c r="AY274" s="184"/>
      <c r="AZ274" s="184"/>
      <c r="BA274" s="184"/>
      <c r="BC274"/>
      <c r="BD274"/>
      <c r="BE274"/>
    </row>
    <row r="275" spans="1:57" ht="15">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5">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5">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5">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5">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5">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5">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-17.068713974431002</v>
      </c>
      <c r="AS281" s="30">
        <f>SelectedInputs!AS277</f>
        <v>-19.249640497993898</v>
      </c>
      <c r="AT281" s="30">
        <f>SelectedInputs!AT277</f>
        <v>-26.358249044332915</v>
      </c>
      <c r="AU281" s="30">
        <f>SelectedInputs!AU277</f>
        <v>-29.557892508283516</v>
      </c>
      <c r="AV281" s="30">
        <f>SelectedInputs!AV277</f>
        <v>-26.377392767584055</v>
      </c>
    </row>
    <row r="282" spans="1:57" ht="15">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1898.03575330734</v>
      </c>
      <c r="AS282" s="30">
        <f>SelectedInputs!AS278</f>
        <v>2011.0387178961798</v>
      </c>
      <c r="AT282" s="30">
        <f>SelectedInputs!AT278</f>
        <v>2291.5926097498013</v>
      </c>
      <c r="AU282" s="30">
        <f>SelectedInputs!AU278</f>
        <v>2419.6348857920166</v>
      </c>
      <c r="AV282" s="30">
        <f>SelectedInputs!AV278</f>
        <v>2631.6</v>
      </c>
    </row>
    <row r="283" spans="1:57" ht="15">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95.89345582</v>
      </c>
      <c r="AS283" s="30">
        <f>SelectedInputs!AS279</f>
        <v>94.921712618706479</v>
      </c>
      <c r="AT283" s="30">
        <f>SelectedInputs!AT279</f>
        <v>120.41669466812348</v>
      </c>
      <c r="AU283" s="30">
        <f>SelectedInputs!AU279</f>
        <v>124.28745411618772</v>
      </c>
      <c r="AV283" s="30">
        <f>SelectedInputs!AV279</f>
        <v>139.0153650224228</v>
      </c>
    </row>
    <row r="284" spans="1:57" ht="15">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5">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5">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2.1594507853983487</v>
      </c>
      <c r="AS286" s="30">
        <f>SelectedInputs!AS291</f>
        <v>2.108783385973247</v>
      </c>
      <c r="AT286" s="30">
        <f>SelectedInputs!AT291</f>
        <v>1.9571099436141921</v>
      </c>
      <c r="AU286" s="30">
        <f>SelectedInputs!AU291</f>
        <v>1.6739883971269975</v>
      </c>
      <c r="AV286" s="30">
        <f>SelectedInputs!AV291</f>
        <v>1.4057277322201749</v>
      </c>
    </row>
    <row r="287" spans="1:57" ht="15">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5">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5">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5">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5">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5.75">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5.75">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65.412855284158979</v>
      </c>
      <c r="AS294" s="7">
        <f t="shared" si="12"/>
        <v>63.677204170979039</v>
      </c>
      <c r="AT294" s="7">
        <f t="shared" si="12"/>
        <v>49.844072931453283</v>
      </c>
      <c r="AU294" s="7">
        <f t="shared" si="12"/>
        <v>54.312753996183702</v>
      </c>
      <c r="AV294" s="7">
        <f t="shared" si="12"/>
        <v>46.376397963463958</v>
      </c>
    </row>
    <row r="295" spans="1:48" ht="15.75">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82.858730292659445</v>
      </c>
      <c r="AS295" s="7">
        <f t="shared" si="12"/>
        <v>83.584828256765448</v>
      </c>
      <c r="AT295" s="7">
        <f t="shared" si="12"/>
        <v>86.366141985874847</v>
      </c>
      <c r="AU295" s="7">
        <f t="shared" si="12"/>
        <v>85.177338580396111</v>
      </c>
      <c r="AV295" s="7">
        <f t="shared" si="12"/>
        <v>79.324371407546295</v>
      </c>
    </row>
    <row r="296" spans="1:48" ht="15.75">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34.27002236894262</v>
      </c>
      <c r="AS296" s="7">
        <f t="shared" si="12"/>
        <v>37.016002643574339</v>
      </c>
      <c r="AT296" s="7">
        <f t="shared" si="12"/>
        <v>41.670044284777767</v>
      </c>
      <c r="AU296" s="7">
        <f t="shared" si="12"/>
        <v>33.672447895197891</v>
      </c>
      <c r="AV296" s="7">
        <f t="shared" si="12"/>
        <v>32.843836677069824</v>
      </c>
    </row>
    <row r="297" spans="1:48" ht="15.75">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30.298566290673229</v>
      </c>
      <c r="AS297" s="7">
        <f t="shared" si="12"/>
        <v>30.431295465571665</v>
      </c>
      <c r="AT297" s="7">
        <f t="shared" si="12"/>
        <v>30.968676336131985</v>
      </c>
      <c r="AU297" s="7">
        <f t="shared" si="12"/>
        <v>30.891533363550852</v>
      </c>
      <c r="AV297" s="7">
        <f t="shared" si="12"/>
        <v>30.51944488203387</v>
      </c>
    </row>
    <row r="298" spans="1:48" ht="15.75">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9.2046200467140693</v>
      </c>
      <c r="AS298" s="7">
        <f t="shared" si="12"/>
        <v>9.7621375462041353</v>
      </c>
      <c r="AT298" s="7">
        <f t="shared" si="12"/>
        <v>8.6642081390200261</v>
      </c>
      <c r="AU298" s="7">
        <f t="shared" si="12"/>
        <v>8.7480551322431825</v>
      </c>
      <c r="AV298" s="7">
        <f t="shared" si="12"/>
        <v>8.6023222259318004</v>
      </c>
    </row>
    <row r="299" spans="1:48" ht="15.75">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15.73567396634663</v>
      </c>
      <c r="AS299" s="7">
        <f t="shared" si="12"/>
        <v>15.687983421177915</v>
      </c>
      <c r="AT299" s="7">
        <f t="shared" si="12"/>
        <v>15.129269248708894</v>
      </c>
      <c r="AU299" s="7">
        <f t="shared" si="12"/>
        <v>15.199450428346953</v>
      </c>
      <c r="AV299" s="7">
        <f t="shared" si="12"/>
        <v>15.0232803157853</v>
      </c>
    </row>
    <row r="300" spans="1:48" ht="15.75">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108.33297079816442</v>
      </c>
      <c r="AS300" s="7">
        <f t="shared" si="12"/>
        <v>106.82546303278437</v>
      </c>
      <c r="AT300" s="7">
        <f t="shared" si="12"/>
        <v>103.87898159918505</v>
      </c>
      <c r="AU300" s="7">
        <f t="shared" si="12"/>
        <v>104.98320972030045</v>
      </c>
      <c r="AV300" s="7">
        <f t="shared" si="12"/>
        <v>105.24109704162339</v>
      </c>
    </row>
    <row r="301" spans="1:48" ht="15.75">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5">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5.75">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58.15</v>
      </c>
      <c r="AS303" s="7">
        <f t="shared" si="13"/>
        <v>54.47</v>
      </c>
      <c r="AT303" s="7">
        <f t="shared" si="13"/>
        <v>36.51</v>
      </c>
      <c r="AU303" s="7">
        <f t="shared" si="13"/>
        <v>38.340000000000003</v>
      </c>
      <c r="AV303" s="7">
        <f t="shared" si="13"/>
        <v>27.6</v>
      </c>
    </row>
    <row r="304" spans="1:48" ht="15.75">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43.13</v>
      </c>
      <c r="AS304" s="7">
        <f t="shared" si="13"/>
        <v>43.21</v>
      </c>
      <c r="AT304" s="7">
        <f t="shared" si="13"/>
        <v>43.79</v>
      </c>
      <c r="AU304" s="7">
        <f t="shared" si="13"/>
        <v>41.28</v>
      </c>
      <c r="AV304" s="7">
        <f t="shared" si="13"/>
        <v>41.39</v>
      </c>
    </row>
    <row r="305" spans="1:48" ht="15.75">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31.19</v>
      </c>
      <c r="AS305" s="7">
        <f t="shared" si="13"/>
        <v>33.590000000000003</v>
      </c>
      <c r="AT305" s="7">
        <f t="shared" si="13"/>
        <v>36.380000000000003</v>
      </c>
      <c r="AU305" s="7">
        <f t="shared" si="13"/>
        <v>30.94</v>
      </c>
      <c r="AV305" s="7">
        <f t="shared" si="13"/>
        <v>29.87</v>
      </c>
    </row>
    <row r="306" spans="1:48" ht="15.75">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31.85</v>
      </c>
      <c r="AS306" s="7">
        <f t="shared" si="13"/>
        <v>31.6</v>
      </c>
      <c r="AT306" s="7">
        <f t="shared" si="13"/>
        <v>30.9</v>
      </c>
      <c r="AU306" s="7">
        <f t="shared" si="13"/>
        <v>30.51</v>
      </c>
      <c r="AV306" s="7">
        <f t="shared" si="13"/>
        <v>29.79</v>
      </c>
    </row>
    <row r="307" spans="1:48" ht="15.75">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9.67</v>
      </c>
      <c r="AS307" s="7">
        <f t="shared" si="13"/>
        <v>10.15</v>
      </c>
      <c r="AT307" s="7">
        <f t="shared" si="13"/>
        <v>8.94</v>
      </c>
      <c r="AU307" s="7">
        <f t="shared" si="13"/>
        <v>8.93</v>
      </c>
      <c r="AV307" s="7">
        <f t="shared" si="13"/>
        <v>8.6999999999999993</v>
      </c>
    </row>
    <row r="308" spans="1:48" ht="15.75">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16.53</v>
      </c>
      <c r="AS308" s="7">
        <f t="shared" si="13"/>
        <v>16.350000000000001</v>
      </c>
      <c r="AT308" s="7">
        <f t="shared" si="13"/>
        <v>15.6</v>
      </c>
      <c r="AU308" s="7">
        <f t="shared" si="13"/>
        <v>15.51</v>
      </c>
      <c r="AV308" s="7">
        <f t="shared" si="13"/>
        <v>15.19</v>
      </c>
    </row>
    <row r="309" spans="1:48" ht="15.75">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107.79</v>
      </c>
      <c r="AS309" s="7">
        <f t="shared" si="13"/>
        <v>106.3</v>
      </c>
      <c r="AT309" s="7">
        <f t="shared" si="13"/>
        <v>101.9</v>
      </c>
      <c r="AU309" s="7">
        <f t="shared" si="13"/>
        <v>102.69</v>
      </c>
      <c r="AV309" s="7">
        <f t="shared" si="13"/>
        <v>101.84</v>
      </c>
    </row>
    <row r="310" spans="1:48" ht="15.75">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5">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5.75">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-2.1575612535719966</v>
      </c>
      <c r="AS312" s="7" cm="1">
        <f t="array" ref="AS312">SUMPRODUCT(--($AM$384:$AM$431=1),AS$331:AS$378,$AO$384:$AO$431)</f>
        <v>-1.7981801668005337</v>
      </c>
      <c r="AT312" s="7" cm="1">
        <f t="array" ref="AT312">SUMPRODUCT(--($AM$384:$AM$431=1),AT$331:AT$378,$AO$384:$AO$431)</f>
        <v>-1.278606500128542</v>
      </c>
      <c r="AU312" s="7" cm="1">
        <f t="array" ref="AU312">SUMPRODUCT(--($AM$384:$AM$431=1),AU$331:AU$378,$AO$384:$AO$431)</f>
        <v>-0.84351978246300385</v>
      </c>
      <c r="AV312" s="7" cm="1">
        <f t="array" ref="AV312">SUMPRODUCT(--($AM$384:$AM$431=1),AV$331:AV$378,$AO$384:$AO$431)</f>
        <v>-0.45284670982641445</v>
      </c>
    </row>
    <row r="313" spans="1:48" ht="15.75">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38.656404957114006</v>
      </c>
      <c r="AS313" s="7" cm="1">
        <f t="array" ref="AS313">SUMPRODUCT(--($AM$384:$AM$431=1),AS$331:AS$378,$AP$384:$AP$431)</f>
        <v>38.223252929937722</v>
      </c>
      <c r="AT313" s="7" cm="1">
        <f t="array" ref="AT313">SUMPRODUCT(--($AM$384:$AM$431=1),AT$331:AT$378,$AP$384:$AP$431)</f>
        <v>40.425175358630327</v>
      </c>
      <c r="AU313" s="7" cm="1">
        <f t="array" ref="AU313">SUMPRODUCT(--($AM$384:$AM$431=1),AU$331:AU$378,$AP$384:$AP$431)</f>
        <v>42.780924800392079</v>
      </c>
      <c r="AV313" s="7" cm="1">
        <f t="array" ref="AV313">SUMPRODUCT(--($AM$384:$AM$431=1),AV$331:AV$378,$AP$384:$AP$431)</f>
        <v>37.279319353123768</v>
      </c>
    </row>
    <row r="314" spans="1:48" ht="15.75">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1.6797904091428806</v>
      </c>
      <c r="AS314" s="7" cm="1">
        <f t="array" ref="AS314">SUMPRODUCT(--($AM$384:$AM$431=1),AS$331:AS$378,$AQ$384:$AQ$431)</f>
        <v>1.587038721752893</v>
      </c>
      <c r="AT314" s="7" cm="1">
        <f t="array" ref="AT314">SUMPRODUCT(--($AM$384:$AM$431=1),AT$331:AT$378,$AQ$384:$AQ$431)</f>
        <v>3.0174880264541186</v>
      </c>
      <c r="AU314" s="7" cm="1">
        <f t="array" ref="AU314">SUMPRODUCT(--($AM$384:$AM$431=1),AU$331:AU$378,$AQ$384:$AQ$431)</f>
        <v>2.0041850192225303</v>
      </c>
      <c r="AV314" s="7" cm="1">
        <f t="array" ref="AV314">SUMPRODUCT(--($AM$384:$AM$431=1),AV$331:AV$378,$AQ$384:$AQ$431)</f>
        <v>1.8887812475203543</v>
      </c>
    </row>
    <row r="315" spans="1:48" ht="15.75">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-1.551433709326774</v>
      </c>
      <c r="AS315" s="7" cm="1">
        <f t="array" ref="AS315">SUMPRODUCT(--($AM$384:$AM$431=1),AS$331:AS$378,$AR$384:$AR$431)</f>
        <v>-1.2930141944283375</v>
      </c>
      <c r="AT315" s="7" cm="1">
        <f t="array" ref="AT315">SUMPRODUCT(--($AM$384:$AM$431=1),AT$331:AT$378,$AR$384:$AR$431)</f>
        <v>-0.91940528778945951</v>
      </c>
      <c r="AU315" s="7" cm="1">
        <f t="array" ref="AU315">SUMPRODUCT(--($AM$384:$AM$431=1),AU$331:AU$378,$AR$384:$AR$431)</f>
        <v>-0.60654826037059351</v>
      </c>
      <c r="AV315" s="7" cm="1">
        <f t="array" ref="AV315">SUMPRODUCT(--($AM$384:$AM$431=1),AV$331:AV$378,$AR$384:$AR$431)</f>
        <v>-0.32562767319781932</v>
      </c>
    </row>
    <row r="316" spans="1:48" ht="15.75">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-0.46537995328592979</v>
      </c>
      <c r="AS316" s="7" cm="1">
        <f t="array" ref="AS316">SUMPRODUCT(--($AM$384:$AM$431=1),AS$331:AS$378,$AS$384:$AS$431)</f>
        <v>-0.38786245379586531</v>
      </c>
      <c r="AT316" s="7" cm="1">
        <f t="array" ref="AT316">SUMPRODUCT(--($AM$384:$AM$431=1),AT$331:AT$378,$AS$384:$AS$431)</f>
        <v>-0.27579186097997427</v>
      </c>
      <c r="AU316" s="7" cm="1">
        <f t="array" ref="AU316">SUMPRODUCT(--($AM$384:$AM$431=1),AU$331:AU$378,$AS$384:$AS$431)</f>
        <v>-0.18194486775681754</v>
      </c>
      <c r="AV316" s="7" cm="1">
        <f t="array" ref="AV316">SUMPRODUCT(--($AM$384:$AM$431=1),AV$331:AV$378,$AS$384:$AS$431)</f>
        <v>-9.7677774068198095E-2</v>
      </c>
    </row>
    <row r="317" spans="1:48" ht="15.75">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-0.79432603365337195</v>
      </c>
      <c r="AS317" s="7" cm="1">
        <f t="array" ref="AS317">SUMPRODUCT(--($AM$384:$AM$431=1),AS$331:AS$378,$AT$384:$AT$431)</f>
        <v>-0.66201657882208709</v>
      </c>
      <c r="AT317" s="7" cm="1">
        <f t="array" ref="AT317">SUMPRODUCT(--($AM$384:$AM$431=1),AT$331:AT$378,$AT$384:$AT$431)</f>
        <v>-0.47073075129110509</v>
      </c>
      <c r="AU317" s="7" cm="1">
        <f t="array" ref="AU317">SUMPRODUCT(--($AM$384:$AM$431=1),AU$331:AU$378,$AT$384:$AT$431)</f>
        <v>-0.31054957165304625</v>
      </c>
      <c r="AV317" s="7" cm="1">
        <f t="array" ref="AV317">SUMPRODUCT(--($AM$384:$AM$431=1),AV$331:AV$378,$AT$384:$AT$431)</f>
        <v>-0.16671968421469985</v>
      </c>
    </row>
    <row r="318" spans="1:48" ht="15.75">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-0.55650414889474487</v>
      </c>
      <c r="AS318" s="7" cm="1">
        <f t="array" ref="AS318">SUMPRODUCT(--($AM$384:$AM$431=1),AS$331:AS$378,$AU$384:$AU$431)</f>
        <v>-0.73769306707807569</v>
      </c>
      <c r="AT318" s="7" cm="1">
        <f t="array" ref="AT318">SUMPRODUCT(--($AM$384:$AM$431=1),AT$331:AT$378,$AU$384:$AU$431)</f>
        <v>0.29990594393632586</v>
      </c>
      <c r="AU318" s="7" cm="1">
        <f t="array" ref="AU318">SUMPRODUCT(--($AM$384:$AM$431=1),AU$331:AU$378,$AU$384:$AU$431)</f>
        <v>0.39003684252842419</v>
      </c>
      <c r="AV318" s="7" cm="1">
        <f t="array" ref="AV318">SUMPRODUCT(--($AM$384:$AM$431=1),AV$331:AV$378,$AU$384:$AU$431)</f>
        <v>1.2497005006746691</v>
      </c>
    </row>
    <row r="319" spans="1:48" ht="15.75">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5">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5.75">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9.420416537730981</v>
      </c>
      <c r="AS321" s="7" cm="1">
        <f t="array" ref="AS321">SUMPRODUCT(--($AM$384:$AM$431=2),AS$331:AS$378,$AO$384:$AO$431)</f>
        <v>11.005384337779578</v>
      </c>
      <c r="AT321" s="7" cm="1">
        <f t="array" ref="AT321">SUMPRODUCT(--($AM$384:$AM$431=2),AT$331:AT$378,$AO$384:$AO$431)</f>
        <v>14.612679431581823</v>
      </c>
      <c r="AU321" s="7" cm="1">
        <f t="array" ref="AU321">SUMPRODUCT(--($AM$384:$AM$431=2),AU$331:AU$378,$AO$384:$AO$431)</f>
        <v>16.816273778646707</v>
      </c>
      <c r="AV321" s="7" cm="1">
        <f t="array" ref="AV321">SUMPRODUCT(--($AM$384:$AM$431=2),AV$331:AV$378,$AO$384:$AO$431)</f>
        <v>19.229244673290371</v>
      </c>
    </row>
    <row r="322" spans="1:48" ht="15.75">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1.0723253355454476</v>
      </c>
      <c r="AS322" s="7" cm="1">
        <f t="array" ref="AS322">SUMPRODUCT(--($AM$384:$AM$431=2),AS$331:AS$378,$AP$384:$AP$431)</f>
        <v>2.1515753268277233</v>
      </c>
      <c r="AT322" s="7" cm="1">
        <f t="array" ref="AT322">SUMPRODUCT(--($AM$384:$AM$431=2),AT$331:AT$378,$AP$384:$AP$431)</f>
        <v>2.1509666272445322</v>
      </c>
      <c r="AU322" s="7" cm="1">
        <f t="array" ref="AU322">SUMPRODUCT(--($AM$384:$AM$431=2),AU$331:AU$378,$AP$384:$AP$431)</f>
        <v>1.1164137800040239</v>
      </c>
      <c r="AV322" s="7" cm="1">
        <f t="array" ref="AV322">SUMPRODUCT(--($AM$384:$AM$431=2),AV$331:AV$378,$AP$384:$AP$431)</f>
        <v>0.655052054422532</v>
      </c>
    </row>
    <row r="323" spans="1:48" ht="15.75">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1.4002319597997397</v>
      </c>
      <c r="AS323" s="7" cm="1">
        <f t="array" ref="AS323">SUMPRODUCT(--($AM$384:$AM$431=2),AS$331:AS$378,$AQ$384:$AQ$431)</f>
        <v>1.8389639218214433</v>
      </c>
      <c r="AT323" s="7" cm="1">
        <f t="array" ref="AT323">SUMPRODUCT(--($AM$384:$AM$431=2),AT$331:AT$378,$AQ$384:$AQ$431)</f>
        <v>2.2725562583236494</v>
      </c>
      <c r="AU323" s="7" cm="1">
        <f t="array" ref="AU323">SUMPRODUCT(--($AM$384:$AM$431=2),AU$331:AU$378,$AQ$384:$AQ$431)</f>
        <v>0.72826287597536055</v>
      </c>
      <c r="AV323" s="7" cm="1">
        <f t="array" ref="AV323">SUMPRODUCT(--($AM$384:$AM$431=2),AV$331:AV$378,$AQ$384:$AQ$431)</f>
        <v>1.0850554295494679</v>
      </c>
    </row>
    <row r="324" spans="1:48" ht="15.75">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0.12430966</v>
      </c>
      <c r="AT324" s="7" cm="1">
        <f t="array" ref="AT324">SUMPRODUCT(--($AM$384:$AM$431=2),AT$331:AT$378,$AR$384:$AR$431)</f>
        <v>0.98808162392144649</v>
      </c>
      <c r="AU324" s="7" cm="1">
        <f t="array" ref="AU324">SUMPRODUCT(--($AM$384:$AM$431=2),AU$331:AU$378,$AR$384:$AR$431)</f>
        <v>0.98808162392144649</v>
      </c>
      <c r="AV324" s="7" cm="1">
        <f t="array" ref="AV324">SUMPRODUCT(--($AM$384:$AM$431=2),AV$331:AV$378,$AR$384:$AR$431)</f>
        <v>1.0550725552316882</v>
      </c>
    </row>
    <row r="325" spans="1:48" ht="15.75">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5.75">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5.75">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1.0994749470591592</v>
      </c>
      <c r="AS327" s="7" cm="1">
        <f t="array" ref="AS327">SUMPRODUCT(--($AM$384:$AM$431=2),AS$331:AS$378,$AU$384:$AU$431)</f>
        <v>1.2631560998624491</v>
      </c>
      <c r="AT327" s="7" cm="1">
        <f t="array" ref="AT327">SUMPRODUCT(--($AM$384:$AM$431=2),AT$331:AT$378,$AU$384:$AU$431)</f>
        <v>1.6790756552487243</v>
      </c>
      <c r="AU327" s="7" cm="1">
        <f t="array" ref="AU327">SUMPRODUCT(--($AM$384:$AM$431=2),AU$331:AU$378,$AU$384:$AU$431)</f>
        <v>1.9031728777720414</v>
      </c>
      <c r="AV327" s="7" cm="1">
        <f t="array" ref="AV327">SUMPRODUCT(--($AM$384:$AM$431=2),AV$331:AV$378,$AU$384:$AU$431)</f>
        <v>2.1513965409487206</v>
      </c>
    </row>
    <row r="328" spans="1:48" ht="15.75">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5">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5">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5">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-49.501088417554492</v>
      </c>
      <c r="AQ331" s="147"/>
      <c r="AR331" s="8">
        <f>SelectedInputs!AR24</f>
        <v>-16.353743806372041</v>
      </c>
      <c r="AS331" s="8">
        <f>SelectedInputs!AS24</f>
        <v>-13.629730195084807</v>
      </c>
      <c r="AT331" s="8">
        <f>SelectedInputs!AT24</f>
        <v>-9.691499185780323</v>
      </c>
      <c r="AU331" s="8">
        <f>SelectedInputs!AU24</f>
        <v>-6.3936569101658272</v>
      </c>
      <c r="AV331" s="8">
        <f>SelectedInputs!AV24</f>
        <v>-3.4324583201514915</v>
      </c>
    </row>
    <row r="332" spans="1:48" ht="15">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1</v>
      </c>
      <c r="AP332" s="352">
        <f t="shared" si="16"/>
        <v>-2.0405848508218867</v>
      </c>
      <c r="AQ332" s="147"/>
      <c r="AR332" s="8">
        <f>SelectedInputs!AR25</f>
        <v>-0.51327238821612908</v>
      </c>
      <c r="AS332" s="8">
        <f>SelectedInputs!AS25</f>
        <v>-0.48067864782745201</v>
      </c>
      <c r="AT332" s="8">
        <f>SelectedInputs!AT25</f>
        <v>-0.47459129093457303</v>
      </c>
      <c r="AU332" s="8">
        <f>SelectedInputs!AU25</f>
        <v>-0.34645371949343501</v>
      </c>
      <c r="AV332" s="8">
        <f>SelectedInputs!AV25</f>
        <v>-0.22558880435029777</v>
      </c>
    </row>
    <row r="333" spans="1:48" ht="15">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4.6941049406094297</v>
      </c>
      <c r="AQ333" s="147"/>
      <c r="AR333" s="8">
        <f>SelectedInputs!AR26</f>
        <v>3.8655538925684733E-2</v>
      </c>
      <c r="AS333" s="8">
        <f>SelectedInputs!AS26</f>
        <v>1.4992886198223188</v>
      </c>
      <c r="AT333" s="8">
        <f>SelectedInputs!AT26</f>
        <v>1.3656189238554943</v>
      </c>
      <c r="AU333" s="8">
        <f>SelectedInputs!AU26</f>
        <v>1.1279670457958948</v>
      </c>
      <c r="AV333" s="8">
        <f>SelectedInputs!AV26</f>
        <v>0.66257481221003711</v>
      </c>
    </row>
    <row r="334" spans="1:48" ht="15">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5">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5">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5">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5">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5">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5">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210.20999999999998</v>
      </c>
      <c r="AQ340" s="147"/>
      <c r="AR340" s="8">
        <f>SelectedInputs!AR33</f>
        <v>42.9</v>
      </c>
      <c r="AS340" s="8">
        <f>SelectedInputs!AS33</f>
        <v>41.76</v>
      </c>
      <c r="AT340" s="8">
        <f>SelectedInputs!AT33</f>
        <v>42.94</v>
      </c>
      <c r="AU340" s="8">
        <f>SelectedInputs!AU33</f>
        <v>44.44</v>
      </c>
      <c r="AV340" s="8">
        <f>SelectedInputs!AV33</f>
        <v>38.17</v>
      </c>
    </row>
    <row r="341" spans="1:48" ht="15">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58.062230587946615</v>
      </c>
      <c r="AQ341" s="147"/>
      <c r="AR341" s="8">
        <f>SelectedInputs!AR34</f>
        <v>8.5455724383941298</v>
      </c>
      <c r="AS341" s="8">
        <f>SelectedInputs!AS34</f>
        <v>9.84027912844196</v>
      </c>
      <c r="AT341" s="8">
        <f>SelectedInputs!AT34</f>
        <v>11.705443284265716</v>
      </c>
      <c r="AU341" s="8">
        <f>SelectedInputs!AU34</f>
        <v>13.072761555908192</v>
      </c>
      <c r="AV341" s="8">
        <f>SelectedInputs!AV34</f>
        <v>14.898174180936619</v>
      </c>
    </row>
    <row r="342" spans="1:48" ht="15">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14.994305205339558</v>
      </c>
      <c r="AQ342" s="147"/>
      <c r="AR342" s="8">
        <f>SelectedInputs!AR35</f>
        <v>1.3710002841727427</v>
      </c>
      <c r="AS342" s="8">
        <f>SelectedInputs!AS35</f>
        <v>1.6297545641704736</v>
      </c>
      <c r="AT342" s="8">
        <f>SelectedInputs!AT35</f>
        <v>3.366001141639718</v>
      </c>
      <c r="AU342" s="8">
        <f>SelectedInputs!AU35</f>
        <v>4.0784126764400792</v>
      </c>
      <c r="AV342" s="8">
        <f>SelectedInputs!AV35</f>
        <v>4.5491365389165441</v>
      </c>
    </row>
    <row r="343" spans="1:48" ht="15">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0</v>
      </c>
      <c r="AQ343" s="147"/>
      <c r="AR343" s="8">
        <f>SelectedInputs!AR36</f>
        <v>0</v>
      </c>
      <c r="AS343" s="8">
        <f>SelectedInputs!AS36</f>
        <v>0</v>
      </c>
      <c r="AT343" s="8">
        <f>SelectedInputs!AT36</f>
        <v>0</v>
      </c>
      <c r="AU343" s="8">
        <f>SelectedInputs!AU36</f>
        <v>0</v>
      </c>
      <c r="AV343" s="8">
        <f>SelectedInputs!AV36</f>
        <v>0</v>
      </c>
    </row>
    <row r="344" spans="1:48" ht="15">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5">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2.520276</v>
      </c>
      <c r="AQ345" s="147"/>
      <c r="AR345" s="8">
        <f>SelectedInputs!AR38</f>
        <v>1.050786</v>
      </c>
      <c r="AS345" s="8">
        <f>SelectedInputs!AS38</f>
        <v>0.66831600000000002</v>
      </c>
      <c r="AT345" s="8">
        <f>SelectedInputs!AT38</f>
        <v>0.80117400000000005</v>
      </c>
      <c r="AU345" s="8">
        <f>SelectedInputs!AU38</f>
        <v>0</v>
      </c>
      <c r="AV345" s="8">
        <f>SelectedInputs!AV38</f>
        <v>0</v>
      </c>
    </row>
    <row r="346" spans="1:48" ht="15">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2.9554203918022135</v>
      </c>
      <c r="AQ346" s="147"/>
      <c r="AR346" s="8">
        <f>SelectedInputs!AR39</f>
        <v>3.5763852270955049E-2</v>
      </c>
      <c r="AS346" s="8">
        <f>SelectedInputs!AS39</f>
        <v>4.6149449365236787E-2</v>
      </c>
      <c r="AT346" s="8">
        <f>SelectedInputs!AT39</f>
        <v>0.3791265634310545</v>
      </c>
      <c r="AU346" s="8">
        <f>SelectedInputs!AU39</f>
        <v>1.2471902633674836</v>
      </c>
      <c r="AV346" s="8">
        <f>SelectedInputs!AV39</f>
        <v>1.2471902633674836</v>
      </c>
    </row>
    <row r="347" spans="1:48" ht="15">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8.2372233951166347</v>
      </c>
      <c r="AQ347" s="147"/>
      <c r="AR347" s="8">
        <f>SelectedInputs!AR40</f>
        <v>3.1034621653496659</v>
      </c>
      <c r="AS347" s="8">
        <f>SelectedInputs!AS40</f>
        <v>2.0089245467286276</v>
      </c>
      <c r="AT347" s="8">
        <f>SelectedInputs!AT40</f>
        <v>1.1151059525955953</v>
      </c>
      <c r="AU347" s="8">
        <f>SelectedInputs!AU40</f>
        <v>1.039571798592406</v>
      </c>
      <c r="AV347" s="8">
        <f>SelectedInputs!AV40</f>
        <v>0.97015893185033941</v>
      </c>
    </row>
    <row r="348" spans="1:48" ht="15">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7.3250704454696605</v>
      </c>
      <c r="AQ348" s="147"/>
      <c r="AR348" s="8">
        <f>SelectedInputs!AR41</f>
        <v>1.4002319597997397</v>
      </c>
      <c r="AS348" s="8">
        <f>SelectedInputs!AS41</f>
        <v>1.8389639218214433</v>
      </c>
      <c r="AT348" s="8">
        <f>SelectedInputs!AT41</f>
        <v>2.2725562583236494</v>
      </c>
      <c r="AU348" s="8">
        <f>SelectedInputs!AU41</f>
        <v>0.72826287597536055</v>
      </c>
      <c r="AV348" s="8">
        <f>SelectedInputs!AV41</f>
        <v>1.0850554295494679</v>
      </c>
    </row>
    <row r="349" spans="1:48" ht="15">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0.2061702552161879</v>
      </c>
      <c r="AQ349" s="147"/>
      <c r="AR349" s="8">
        <f>SelectedInputs!AR42</f>
        <v>2.8485093021936952E-2</v>
      </c>
      <c r="AS349" s="8">
        <f>SelectedInputs!AS42</f>
        <v>2.439246106030641E-2</v>
      </c>
      <c r="AT349" s="8">
        <f>SelectedInputs!AT42</f>
        <v>5.1359657250937468E-2</v>
      </c>
      <c r="AU349" s="8">
        <f>SelectedInputs!AU42</f>
        <v>5.0846060678428097E-2</v>
      </c>
      <c r="AV349" s="8">
        <f>SelectedInputs!AV42</f>
        <v>5.108698320457896E-2</v>
      </c>
    </row>
    <row r="350" spans="1:48" ht="15">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5">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5">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5">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5">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5">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5">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5">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0.1</v>
      </c>
      <c r="AQ357" s="147"/>
      <c r="AR357" s="8">
        <f>SelectedInputs!AR50</f>
        <v>0</v>
      </c>
      <c r="AS357" s="8">
        <f>SelectedInputs!AS50</f>
        <v>0</v>
      </c>
      <c r="AT357" s="8">
        <f>SelectedInputs!AT50</f>
        <v>0</v>
      </c>
      <c r="AU357" s="8">
        <f>SelectedInputs!AU50</f>
        <v>6.1382006607393597E-2</v>
      </c>
      <c r="AV357" s="8">
        <f>SelectedInputs!AV50</f>
        <v>3.8617993392606409E-2</v>
      </c>
    </row>
    <row r="358" spans="1:48" ht="15">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5">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16.966508457668354</v>
      </c>
      <c r="AQ359" s="147"/>
      <c r="AR359" s="8">
        <f>SelectedInputs!AR52</f>
        <v>4.8355080562754909</v>
      </c>
      <c r="AS359" s="8">
        <f>SelectedInputs!AS52</f>
        <v>3.7561813897566596</v>
      </c>
      <c r="AT359" s="8">
        <f>SelectedInputs!AT52</f>
        <v>3.4953015985853675</v>
      </c>
      <c r="AU359" s="8">
        <f>SelectedInputs!AU52</f>
        <v>2.4980970214981175</v>
      </c>
      <c r="AV359" s="8">
        <f>SelectedInputs!AV52</f>
        <v>2.3814203915527199</v>
      </c>
    </row>
    <row r="360" spans="1:48" ht="15">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5">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7.890105865674907</v>
      </c>
      <c r="AQ361" s="147"/>
      <c r="AR361" s="8">
        <f>SelectedInputs!AR54</f>
        <v>1.0709898540372222</v>
      </c>
      <c r="AS361" s="8">
        <f>SelectedInputs!AS54</f>
        <v>1.2387636388021428</v>
      </c>
      <c r="AT361" s="8">
        <f>SelectedInputs!AT54</f>
        <v>1.6277159979977869</v>
      </c>
      <c r="AU361" s="8">
        <f>SelectedInputs!AU54</f>
        <v>1.8523268170936134</v>
      </c>
      <c r="AV361" s="8">
        <f>SelectedInputs!AV54</f>
        <v>2.1003095577441417</v>
      </c>
    </row>
    <row r="362" spans="1:48" ht="15">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5">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4.18</v>
      </c>
      <c r="AQ363" s="147"/>
      <c r="AR363" s="8">
        <f>SelectedInputs!AR56</f>
        <v>0.28999999999999998</v>
      </c>
      <c r="AS363" s="8">
        <f>SelectedInputs!AS56</f>
        <v>0.99</v>
      </c>
      <c r="AT363" s="8">
        <f>SelectedInputs!AT56</f>
        <v>2.56</v>
      </c>
      <c r="AU363" s="8">
        <f>SelectedInputs!AU56</f>
        <v>0.34</v>
      </c>
      <c r="AV363" s="8">
        <f>SelectedInputs!AV56</f>
        <v>0</v>
      </c>
    </row>
    <row r="364" spans="1:48" ht="15">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5">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3.1555454630745814</v>
      </c>
      <c r="AQ365" s="147"/>
      <c r="AR365" s="8">
        <f>SelectedInputs!AR58</f>
        <v>0</v>
      </c>
      <c r="AS365" s="8">
        <f>SelectedInputs!AS58</f>
        <v>0.12430966</v>
      </c>
      <c r="AT365" s="8">
        <f>SelectedInputs!AT58</f>
        <v>0.98808162392144649</v>
      </c>
      <c r="AU365" s="8">
        <f>SelectedInputs!AU58</f>
        <v>0.98808162392144649</v>
      </c>
      <c r="AV365" s="8">
        <f>SelectedInputs!AV58</f>
        <v>1.0550725552316882</v>
      </c>
    </row>
    <row r="366" spans="1:48" ht="15">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5">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5">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5">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SelectedInputs!AR62</f>
        <v>0</v>
      </c>
      <c r="AS369" s="8">
        <f>SelectedInputs!AS62</f>
        <v>0</v>
      </c>
      <c r="AT369" s="8">
        <f>SelectedInputs!AT62</f>
        <v>0</v>
      </c>
      <c r="AU369" s="8">
        <f>SelectedInputs!AU62</f>
        <v>0</v>
      </c>
      <c r="AV369" s="8">
        <f>SelectedInputs!AV62</f>
        <v>0</v>
      </c>
    </row>
    <row r="370" spans="1:48" ht="15">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5">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5">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5">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5">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5">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5">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5">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5">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5">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47.803439047659403</v>
      </c>
      <c r="AS379" s="431">
        <f>SUM(AS331:AS378)</f>
        <v>51.314914537056914</v>
      </c>
      <c r="AT379" s="431">
        <f>SUM(AT331:AT378)</f>
        <v>62.501394525151888</v>
      </c>
      <c r="AU379" s="431">
        <f>SUM(AU331:AU378)</f>
        <v>64.784789116219173</v>
      </c>
      <c r="AV379" s="431">
        <f>SUM(AV331:AV378)</f>
        <v>63.550750513454446</v>
      </c>
    </row>
    <row r="380" spans="1:48" ht="15.75">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5">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5">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0">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5.75">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0.13193072357727217</v>
      </c>
      <c r="AP384" s="287">
        <f>SelectedInputs!AP74</f>
        <v>0.25948768019910678</v>
      </c>
      <c r="AQ384" s="287">
        <f>SelectedInputs!AQ74</f>
        <v>0.10697462484376781</v>
      </c>
      <c r="AR384" s="287">
        <f>SelectedInputs!AR74</f>
        <v>9.4867189292905302E-2</v>
      </c>
      <c r="AS384" s="287">
        <f>SelectedInputs!AS74</f>
        <v>2.8457089630118827E-2</v>
      </c>
      <c r="AT384" s="287">
        <f>SelectedInputs!AT74</f>
        <v>4.8571510172727074E-2</v>
      </c>
      <c r="AU384" s="287">
        <f>SelectedInputs!AU74</f>
        <v>0.32971118228410196</v>
      </c>
      <c r="AV384" s="521"/>
    </row>
    <row r="385" spans="1:48" ht="15.75">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0.96665278753894346</v>
      </c>
      <c r="AP385" s="287">
        <f>SelectedInputs!AP75</f>
        <v>3.3347212461056576E-2</v>
      </c>
      <c r="AQ385" s="287">
        <f>SelectedInputs!AQ75</f>
        <v>0</v>
      </c>
      <c r="AR385" s="287">
        <f>SelectedInputs!AR75</f>
        <v>0</v>
      </c>
      <c r="AS385" s="287">
        <f>SelectedInputs!AS75</f>
        <v>0</v>
      </c>
      <c r="AT385" s="287">
        <f>SelectedInputs!AT75</f>
        <v>0</v>
      </c>
      <c r="AU385" s="287">
        <f>SelectedInputs!AU75</f>
        <v>0</v>
      </c>
      <c r="AV385" s="521"/>
    </row>
    <row r="386" spans="1:48" ht="15.75">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5.75">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5.75">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5.75">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5.75">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5.75">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5.75">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5.75">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5.75">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5.75">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5.75">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5.75">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5.75">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5.75">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5.75">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5.75">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5.75">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5.75">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5.75">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5.75">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5.75">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5.75">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5.75">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5.75">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5.75">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5.75">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5.75">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5.75">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5.75">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5.75">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5.75">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5.75">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5.75">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5.75">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5.75">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5.75">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5.75">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5.75">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5.75">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5.75">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5.75">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5.75">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5.75">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5.75">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5.75">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5.75">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5.75">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5">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5">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5">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4.2047154411977095E-2</v>
      </c>
      <c r="AS435" s="492">
        <f>SelectedInputs!AS295</f>
        <v>2.2425103522724154E-2</v>
      </c>
      <c r="AT435" s="492">
        <f>SelectedInputs!AT295</f>
        <v>1.7384109584575886E-2</v>
      </c>
      <c r="AU435" s="492">
        <f>SelectedInputs!AU295</f>
        <v>1.7384109584575886E-2</v>
      </c>
      <c r="AV435" s="492">
        <f>SelectedInputs!AV295</f>
        <v>1.7384109584575886E-2</v>
      </c>
    </row>
    <row r="436" spans="1:48" ht="15">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1.9408577120148588E-3</v>
      </c>
      <c r="AS436" s="132">
        <f>SelectedInputs!AS296</f>
        <v>9.9812714432781068E-4</v>
      </c>
      <c r="AT436" s="132">
        <f>SelectedInputs!AT296</f>
        <v>5.5660080708516716E-3</v>
      </c>
      <c r="AU436" s="132">
        <f>SelectedInputs!AU296</f>
        <v>5.5660080708516716E-3</v>
      </c>
      <c r="AV436" s="132">
        <f>SelectedInputs!AV296</f>
        <v>5.5660080708516716E-3</v>
      </c>
    </row>
    <row r="437" spans="1:48" ht="15">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0.86188057090291159</v>
      </c>
      <c r="AS437" s="132">
        <f>SelectedInputs!AS297</f>
        <v>0.90138784129211191</v>
      </c>
      <c r="AT437" s="132">
        <f>SelectedInputs!AT297</f>
        <v>0.91082935844954416</v>
      </c>
      <c r="AU437" s="132">
        <f>SelectedInputs!AU297</f>
        <v>0.91082935844954416</v>
      </c>
      <c r="AV437" s="132">
        <f>SelectedInputs!AV297</f>
        <v>0.91082935844954416</v>
      </c>
    </row>
    <row r="438" spans="1:48" ht="15">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5">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5">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5">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2.746307009450932E-2</v>
      </c>
      <c r="AS441" s="493">
        <f>SelectedInputs!AS301</f>
        <v>2.6376157304411396E-2</v>
      </c>
      <c r="AT441" s="493">
        <f>SelectedInputs!AT301</f>
        <v>3.0497500698497167E-2</v>
      </c>
      <c r="AU441" s="493">
        <f>SelectedInputs!AU301</f>
        <v>3.0497500698497167E-2</v>
      </c>
      <c r="AV441" s="493">
        <f>SelectedInputs!AV301</f>
        <v>3.0497500698497167E-2</v>
      </c>
    </row>
    <row r="442" spans="1:48" ht="15">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0.95795284558802285</v>
      </c>
      <c r="AS442" s="132">
        <f>SelectedInputs!AS302</f>
        <v>0.97757489647727591</v>
      </c>
      <c r="AT442" s="132">
        <f>SelectedInputs!AT302</f>
        <v>0.981489767083633</v>
      </c>
      <c r="AU442" s="132">
        <f>SelectedInputs!AU302</f>
        <v>0.981489767083633</v>
      </c>
      <c r="AV442" s="132">
        <f>SelectedInputs!AV302</f>
        <v>0.981489767083633</v>
      </c>
    </row>
    <row r="443" spans="1:48" ht="15">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0.26803452593409416</v>
      </c>
      <c r="AS443" s="132">
        <f>SelectedInputs!AS303</f>
        <v>0.29036422228579778</v>
      </c>
      <c r="AT443" s="132">
        <f>SelectedInputs!AT303</f>
        <v>0.34918525307829523</v>
      </c>
      <c r="AU443" s="132">
        <f>SelectedInputs!AU303</f>
        <v>0.34918525307829523</v>
      </c>
      <c r="AV443" s="132">
        <f>SelectedInputs!AV303</f>
        <v>0.34918525307829523</v>
      </c>
    </row>
    <row r="444" spans="1:48" ht="15">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8.8386410102834309E-2</v>
      </c>
      <c r="AS444" s="132">
        <f>SelectedInputs!AS304</f>
        <v>6.6635532756656429E-2</v>
      </c>
      <c r="AT444" s="132">
        <f>SelectedInputs!AT304</f>
        <v>5.9998774399250394E-2</v>
      </c>
      <c r="AU444" s="132">
        <f>SelectedInputs!AU304</f>
        <v>5.9998774399250394E-2</v>
      </c>
      <c r="AV444" s="132">
        <f>SelectedInputs!AV304</f>
        <v>5.9998774399250394E-2</v>
      </c>
    </row>
    <row r="445" spans="1:48" ht="15">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5">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5">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5">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0.15423881256656921</v>
      </c>
      <c r="AS448" s="132">
        <f>SelectedInputs!AS308</f>
        <v>0.15655091762294118</v>
      </c>
      <c r="AT448" s="132">
        <f>SelectedInputs!AT308</f>
        <v>0.1788765314918597</v>
      </c>
      <c r="AU448" s="132">
        <f>SelectedInputs!AU308</f>
        <v>0.1788765314918597</v>
      </c>
      <c r="AV448" s="132">
        <f>SelectedInputs!AV308</f>
        <v>0.1788765314918597</v>
      </c>
    </row>
    <row r="449" spans="1:48" ht="15">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0</v>
      </c>
      <c r="AS449" s="492">
        <f>SelectedInputs!AS309</f>
        <v>0</v>
      </c>
      <c r="AT449" s="492">
        <f>SelectedInputs!AT309</f>
        <v>2.351261729028163E-4</v>
      </c>
      <c r="AU449" s="492">
        <f>SelectedInputs!AU309</f>
        <v>2.351261729028163E-4</v>
      </c>
      <c r="AV449" s="492">
        <f>SelectedInputs!AV309</f>
        <v>2.351261729028163E-4</v>
      </c>
    </row>
    <row r="450" spans="1:48" ht="15">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0.68311188935813949</v>
      </c>
      <c r="AS450" s="132">
        <f>SelectedInputs!AS310</f>
        <v>0.680401034485423</v>
      </c>
      <c r="AT450" s="132">
        <f>SelectedInputs!AT310</f>
        <v>0.62744773107513019</v>
      </c>
      <c r="AU450" s="132">
        <f>SelectedInputs!AU310</f>
        <v>0.62744773107513019</v>
      </c>
      <c r="AV450" s="132">
        <f>SelectedInputs!AV310</f>
        <v>0.62744773107513019</v>
      </c>
    </row>
    <row r="451" spans="1:48" ht="15">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3.6583412757573222E-2</v>
      </c>
      <c r="AS451" s="132">
        <f>SelectedInputs!AS311</f>
        <v>1.1258657915556886E-2</v>
      </c>
      <c r="AT451" s="132">
        <f>SelectedInputs!AT311</f>
        <v>1.2401765561391878E-2</v>
      </c>
      <c r="AU451" s="132">
        <f>SelectedInputs!AU311</f>
        <v>1.2401765561391878E-2</v>
      </c>
      <c r="AV451" s="132">
        <f>SelectedInputs!AV311</f>
        <v>1.2401765561391878E-2</v>
      </c>
    </row>
    <row r="452" spans="1:48" ht="15">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0.79999999999999993</v>
      </c>
      <c r="AS452" s="132">
        <f>SelectedInputs!AS312</f>
        <v>0.8</v>
      </c>
      <c r="AT452" s="132">
        <f>SelectedInputs!AT312</f>
        <v>0.8</v>
      </c>
      <c r="AU452" s="132">
        <f>SelectedInputs!AU312</f>
        <v>0.8</v>
      </c>
      <c r="AV452" s="132">
        <f>SelectedInputs!AV312</f>
        <v>0.8</v>
      </c>
    </row>
    <row r="453" spans="1:48" ht="15">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5">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5">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0.36103670354643264</v>
      </c>
      <c r="AS455" s="493">
        <f>SelectedInputs!AS315</f>
        <v>0.36742589262461656</v>
      </c>
      <c r="AT455" s="493">
        <f>SelectedInputs!AT315</f>
        <v>0.34734219326414245</v>
      </c>
      <c r="AU455" s="493">
        <f>SelectedInputs!AU315</f>
        <v>0.34734219326414245</v>
      </c>
      <c r="AV455" s="493">
        <f>SelectedInputs!AV315</f>
        <v>0.34734219326414245</v>
      </c>
    </row>
    <row r="456" spans="1:48" ht="15">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0</v>
      </c>
      <c r="AT456" s="492">
        <f>SelectedInputs!AT316</f>
        <v>5.8624852811540703E-4</v>
      </c>
      <c r="AU456" s="492">
        <f>SelectedInputs!AU316</f>
        <v>5.8624852811540703E-4</v>
      </c>
      <c r="AV456" s="492">
        <f>SelectedInputs!AV316</f>
        <v>5.8624852811540703E-4</v>
      </c>
    </row>
    <row r="457" spans="1:48" ht="15">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0</v>
      </c>
      <c r="AT457" s="132">
        <f>SelectedInputs!AT317</f>
        <v>6.2784609062053413E-3</v>
      </c>
      <c r="AU457" s="132">
        <f>SelectedInputs!AU317</f>
        <v>6.2784609062053413E-3</v>
      </c>
      <c r="AV457" s="132">
        <f>SelectedInputs!AV317</f>
        <v>6.2784609062053413E-3</v>
      </c>
    </row>
    <row r="458" spans="1:48" ht="15">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0</v>
      </c>
      <c r="AT458" s="132">
        <f>SelectedInputs!AT318</f>
        <v>8.5493579818529631E-4</v>
      </c>
      <c r="AU458" s="132">
        <f>SelectedInputs!AU318</f>
        <v>8.5493579818529631E-4</v>
      </c>
      <c r="AV458" s="132">
        <f>SelectedInputs!AV318</f>
        <v>8.5493579818529631E-4</v>
      </c>
    </row>
    <row r="459" spans="1:48" ht="15">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5">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5">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5">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5">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5">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5">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5">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0.19999999999999996</v>
      </c>
      <c r="AT466" s="132">
        <f>SelectedInputs!AT326</f>
        <v>0.19999999999999996</v>
      </c>
      <c r="AU466" s="132">
        <f>SelectedInputs!AU326</f>
        <v>0.19999999999999996</v>
      </c>
      <c r="AV466" s="132">
        <f>SelectedInputs!AV326</f>
        <v>0.19999999999999996</v>
      </c>
    </row>
    <row r="467" spans="1:48" ht="15">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5">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5">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0.45714353815706082</v>
      </c>
      <c r="AS469" s="132">
        <f>SelectedInputs!AS329</f>
        <v>0.44958558069396326</v>
      </c>
      <c r="AT469" s="132">
        <f>SelectedInputs!AT329</f>
        <v>0.44320683332845295</v>
      </c>
      <c r="AU469" s="132">
        <f>SelectedInputs!AU329</f>
        <v>0.44320683332845295</v>
      </c>
      <c r="AV469" s="132">
        <f>SelectedInputs!AV329</f>
        <v>0.44320683332845295</v>
      </c>
    </row>
    <row r="470" spans="1:48" ht="15">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0</v>
      </c>
      <c r="AT470" s="492">
        <f>SelectedInputs!AT330</f>
        <v>3.047486307729562E-4</v>
      </c>
      <c r="AU470" s="492">
        <f>SelectedInputs!AU330</f>
        <v>3.047486307729562E-4</v>
      </c>
      <c r="AV470" s="492">
        <f>SelectedInputs!AV330</f>
        <v>3.047486307729562E-4</v>
      </c>
    </row>
    <row r="471" spans="1:48" ht="15">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4.6912726995751483E-2</v>
      </c>
      <c r="AS471" s="132">
        <f>SelectedInputs!AS331</f>
        <v>2.8236616084451487E-2</v>
      </c>
      <c r="AT471" s="132">
        <f>SelectedInputs!AT331</f>
        <v>1.1522546869517722E-2</v>
      </c>
      <c r="AU471" s="132">
        <f>SelectedInputs!AU331</f>
        <v>1.1522546869517722E-2</v>
      </c>
      <c r="AV471" s="132">
        <f>SelectedInputs!AV331</f>
        <v>1.1522546869517722E-2</v>
      </c>
    </row>
    <row r="472" spans="1:48" ht="15">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1.31496062366809E-2</v>
      </c>
      <c r="AS472" s="132">
        <f>SelectedInputs!AS332</f>
        <v>2.0717968035674751E-2</v>
      </c>
      <c r="AT472" s="132">
        <f>SelectedInputs!AT332</f>
        <v>1.5915165791628296E-2</v>
      </c>
      <c r="AU472" s="132">
        <f>SelectedInputs!AU332</f>
        <v>1.5915165791628296E-2</v>
      </c>
      <c r="AV472" s="132">
        <f>SelectedInputs!AV332</f>
        <v>1.5915165791628296E-2</v>
      </c>
    </row>
    <row r="473" spans="1:48" ht="15">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5">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5">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5">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1.1787563542802092E-4</v>
      </c>
      <c r="AS476" s="493">
        <f>SelectedInputs!AS336</f>
        <v>6.145175406768845E-5</v>
      </c>
      <c r="AT476" s="493">
        <f>SelectedInputs!AT336</f>
        <v>7.6941217047797115E-5</v>
      </c>
      <c r="AU476" s="493">
        <f>SelectedInputs!AU336</f>
        <v>7.6941217047797115E-5</v>
      </c>
      <c r="AV476" s="493">
        <f>SelectedInputs!AV336</f>
        <v>7.6941217047797115E-5</v>
      </c>
    </row>
    <row r="477" spans="1:48" ht="15">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5">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5">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5">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441" priority="15" operator="equal">
      <formula>FALSE()</formula>
    </cfRule>
  </conditionalFormatting>
  <conditionalFormatting sqref="K16:AV18 K101:BA114 AW246:BA258 K277:AP278 AR277:BA278">
    <cfRule type="cellIs" dxfId="440" priority="24" operator="equal">
      <formula>FALSE()</formula>
    </cfRule>
  </conditionalFormatting>
  <conditionalFormatting sqref="AM3">
    <cfRule type="expression" dxfId="439"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54" ht="19.5">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5">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5">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5">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5">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5">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5">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5">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5">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1.321792585589326</v>
      </c>
      <c r="AT12" s="121">
        <f>InputSummary!AT194</f>
        <v>1.3743827621199309</v>
      </c>
      <c r="AU12" s="121">
        <f>InputSummary!AU194</f>
        <v>1.4066722012363251</v>
      </c>
      <c r="AV12" s="121">
        <f>InputSummary!AV194</f>
        <v>1.4352422149476913</v>
      </c>
      <c r="AW12" s="184"/>
      <c r="AX12" s="184"/>
      <c r="AY12" s="184"/>
      <c r="AZ12" s="184"/>
      <c r="BA12" s="184"/>
      <c r="BB12" s="82"/>
    </row>
    <row r="13" spans="1:54" ht="16.5">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1.5891583485338787</v>
      </c>
      <c r="AT13" s="121">
        <f t="shared" si="0"/>
        <v>1.6523862096942736</v>
      </c>
      <c r="AU13" s="121">
        <f t="shared" si="0"/>
        <v>1.6912069992044645</v>
      </c>
      <c r="AV13" s="121">
        <f t="shared" si="0"/>
        <v>1.7255560160639456</v>
      </c>
      <c r="AW13" s="184"/>
      <c r="AX13" s="184"/>
      <c r="AY13" s="184"/>
      <c r="AZ13" s="184"/>
      <c r="BA13" s="184"/>
      <c r="BB13" s="82"/>
    </row>
    <row r="14" spans="1:54" ht="15">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5">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3.9373577600000001E-2</v>
      </c>
      <c r="AS15" s="212">
        <f>InputSummary!AS182</f>
        <v>4.1010183200000001E-2</v>
      </c>
      <c r="AT15" s="212">
        <f>InputSummary!AT182</f>
        <v>4.05701584E-2</v>
      </c>
      <c r="AU15" s="212">
        <f>InputSummary!AU182</f>
        <v>4.1508818000000003E-2</v>
      </c>
      <c r="AV15" s="212">
        <f>InputSummary!AV182</f>
        <v>4.09487932E-2</v>
      </c>
      <c r="AW15" s="184"/>
      <c r="AX15" s="184"/>
      <c r="AY15" s="184"/>
      <c r="AZ15" s="184"/>
      <c r="BA15" s="184"/>
      <c r="BB15" s="82"/>
    </row>
    <row r="16" spans="1:54" ht="16.5">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1.0393735775999999</v>
      </c>
      <c r="AS16" s="425">
        <f t="shared" si="1"/>
        <v>1.0410101832</v>
      </c>
      <c r="AT16" s="425">
        <f t="shared" si="1"/>
        <v>1.0405701584</v>
      </c>
      <c r="AU16" s="425">
        <f t="shared" si="1"/>
        <v>1.0415088180000001</v>
      </c>
      <c r="AV16" s="425">
        <f t="shared" si="1"/>
        <v>1.0409487932000001</v>
      </c>
      <c r="AW16" s="184"/>
      <c r="AX16" s="184"/>
      <c r="AY16" s="184"/>
      <c r="AZ16" s="184"/>
      <c r="BA16" s="184"/>
      <c r="BB16" s="82"/>
    </row>
    <row r="17" spans="1:54" ht="15">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5">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5">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5">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4.5292297097548468</v>
      </c>
      <c r="AS20" s="30"/>
      <c r="AT20" s="30"/>
      <c r="AU20" s="30"/>
      <c r="AV20" s="30"/>
      <c r="AW20" s="184"/>
      <c r="AX20" s="184"/>
      <c r="AY20" s="184"/>
      <c r="AZ20" s="184"/>
      <c r="BA20" s="184"/>
      <c r="BB20" s="82"/>
    </row>
    <row r="21" spans="1:54" ht="15">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5">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0.90584594195096935</v>
      </c>
      <c r="AS22" s="13">
        <f>$AR20/5</f>
        <v>0.90584594195096935</v>
      </c>
      <c r="AT22" s="13">
        <f>$AR20/5</f>
        <v>0.90584594195096935</v>
      </c>
      <c r="AU22" s="13">
        <f>$AR20/5</f>
        <v>0.90584594195096935</v>
      </c>
      <c r="AV22" s="13">
        <f>$AR20/5</f>
        <v>0.90584594195096935</v>
      </c>
      <c r="AW22" s="184"/>
      <c r="AX22" s="184"/>
      <c r="AY22" s="184"/>
      <c r="AZ22" s="184"/>
      <c r="BA22" s="184"/>
      <c r="BB22" s="82"/>
    </row>
    <row r="23" spans="1:54" ht="15">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3.9373577600000001E-2</v>
      </c>
      <c r="AS23" s="212">
        <f>AS15</f>
        <v>4.1010183200000001E-2</v>
      </c>
      <c r="AT23" s="212">
        <f>AT15</f>
        <v>4.05701584E-2</v>
      </c>
      <c r="AU23" s="212">
        <f>AU15</f>
        <v>4.1508818000000003E-2</v>
      </c>
      <c r="AV23" s="212">
        <f>AV15</f>
        <v>4.09487932E-2</v>
      </c>
      <c r="AW23" s="184"/>
      <c r="AX23" s="184"/>
      <c r="AY23" s="184"/>
      <c r="AZ23" s="184"/>
      <c r="BA23" s="184"/>
      <c r="BB23" s="82"/>
    </row>
    <row r="24" spans="1:54" ht="15">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1.0393735775999999</v>
      </c>
      <c r="AT24" s="13" cm="1">
        <f t="array" ref="AT24">PRODUCT(1+$AR23:AS$23)</f>
        <v>1.0819984784306154</v>
      </c>
      <c r="AU24" s="13" cm="1">
        <f t="array" ref="AU24">PRODUCT(1+$AR23:AT$23)</f>
        <v>1.1258953280891044</v>
      </c>
      <c r="AV24" s="13" cm="1">
        <f t="array" ref="AV24">PRODUCT(1+$AR23:AU$23)</f>
        <v>1.1726299123498054</v>
      </c>
      <c r="AW24" s="184"/>
      <c r="AX24" s="184"/>
      <c r="AY24" s="184"/>
      <c r="AZ24" s="184"/>
      <c r="BA24" s="184"/>
      <c r="BB24" s="82"/>
    </row>
    <row r="25" spans="1:54" ht="15">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0.90584594195096935</v>
      </c>
      <c r="AS25" s="13">
        <f>AS22*AS24</f>
        <v>0.94151233744002083</v>
      </c>
      <c r="AT25" s="13">
        <f>AT22*AT24</f>
        <v>0.98012393088349636</v>
      </c>
      <c r="AU25" s="13">
        <f>AU22*AU24</f>
        <v>1.0198877140110705</v>
      </c>
      <c r="AV25" s="13">
        <f>AV22*AV24</f>
        <v>1.062222047512392</v>
      </c>
      <c r="AW25" s="184"/>
      <c r="AX25" s="184"/>
      <c r="AY25" s="184"/>
      <c r="AZ25" s="184"/>
      <c r="BA25" s="184"/>
      <c r="BB25" s="82"/>
    </row>
    <row r="26" spans="1:54" ht="15">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1.3946954727682772</v>
      </c>
      <c r="AS26" s="13">
        <f>AS25*AS13</f>
        <v>1.4962121912904554</v>
      </c>
      <c r="AT26" s="13">
        <f>AT25*AT13</f>
        <v>1.6195432671832328</v>
      </c>
      <c r="AU26" s="13">
        <f>AU25*AU13</f>
        <v>1.7248412403381637</v>
      </c>
      <c r="AV26" s="13">
        <f>AV25*AV13</f>
        <v>1.8329236444807704</v>
      </c>
      <c r="AW26" s="184"/>
      <c r="AX26" s="184"/>
      <c r="AY26" s="184"/>
      <c r="AZ26" s="184"/>
      <c r="BA26" s="184"/>
      <c r="BB26" s="82"/>
    </row>
    <row r="27" spans="1:54" ht="15">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5">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5">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5">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5">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5">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399.10770482154794</v>
      </c>
      <c r="AQ32" s="9">
        <f>SelectedInputs!AQ351</f>
        <v>377.20968760553592</v>
      </c>
      <c r="AR32" s="30"/>
      <c r="AS32" s="30"/>
      <c r="AT32" s="30"/>
      <c r="AU32" s="30"/>
      <c r="AV32" s="30"/>
      <c r="AW32" s="184"/>
      <c r="AX32" s="184"/>
      <c r="AY32" s="184"/>
      <c r="AZ32" s="184"/>
      <c r="BA32" s="184"/>
      <c r="BB32" s="82"/>
    </row>
    <row r="33" spans="1:54" ht="15">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17.156716073349525</v>
      </c>
      <c r="AS33" s="30">
        <f>IFERROR(((AQ$13-AQ10)/AQ$13) * AQ$32 * AQ$16 * AR$16*AS13,0)</f>
        <v>50.911548126811404</v>
      </c>
      <c r="AT33" s="30"/>
      <c r="AU33" s="30"/>
      <c r="AV33" s="30"/>
      <c r="AW33" s="184"/>
      <c r="AX33" s="184"/>
      <c r="AY33" s="184"/>
      <c r="AZ33" s="184"/>
      <c r="BA33" s="184"/>
      <c r="BB33" s="82"/>
    </row>
    <row r="34" spans="1:54" ht="15">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5">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5">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437.17081265000007</v>
      </c>
      <c r="AK36" s="8">
        <f>SelectedInputs!AK354</f>
        <v>481.8225587199999</v>
      </c>
      <c r="AL36" s="8">
        <f>SelectedInputs!AL354</f>
        <v>466.14544891000003</v>
      </c>
      <c r="AM36" s="8">
        <f>SelectedInputs!AM354</f>
        <v>483.27203402999999</v>
      </c>
      <c r="AN36" s="8">
        <f>SelectedInputs!AN354</f>
        <v>502.02997776999996</v>
      </c>
      <c r="AO36" s="8">
        <f>SelectedInputs!AO354</f>
        <v>480.6161768169132</v>
      </c>
      <c r="AP36" s="8">
        <f>SelectedInputs!AP354</f>
        <v>528.85150836999992</v>
      </c>
      <c r="AQ36" s="9">
        <f>SelectedInputs!AQ354</f>
        <v>623.07913960999997</v>
      </c>
      <c r="AR36" s="8"/>
      <c r="AS36" s="30"/>
      <c r="AT36" s="30"/>
      <c r="AU36" s="30"/>
      <c r="AV36" s="30"/>
      <c r="AW36" s="184"/>
      <c r="AX36" s="184"/>
      <c r="AY36" s="184"/>
      <c r="AZ36" s="184"/>
      <c r="BA36" s="184"/>
      <c r="BB36" s="82"/>
    </row>
    <row r="37" spans="1:54" ht="15">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436.50423033893748</v>
      </c>
      <c r="AK37" s="8">
        <f>SelectedInputs!AK355</f>
        <v>475.11450238225547</v>
      </c>
      <c r="AL37" s="8">
        <f>SelectedInputs!AL355</f>
        <v>467.30257016776852</v>
      </c>
      <c r="AM37" s="8">
        <f>SelectedInputs!AM355</f>
        <v>483.95431810041595</v>
      </c>
      <c r="AN37" s="8">
        <f>SelectedInputs!AN355</f>
        <v>511.20975386073508</v>
      </c>
      <c r="AO37" s="8">
        <f>SelectedInputs!AO355</f>
        <v>506.63050026905017</v>
      </c>
      <c r="AP37" s="8">
        <f>SelectedInputs!AP355</f>
        <v>512.07286394383993</v>
      </c>
      <c r="AQ37" s="9">
        <f>SelectedInputs!AQ355</f>
        <v>621.07936740432899</v>
      </c>
      <c r="AR37" s="8"/>
      <c r="AS37" s="30"/>
      <c r="AT37" s="30"/>
      <c r="AU37" s="30"/>
      <c r="AV37" s="30"/>
      <c r="AW37" s="184"/>
      <c r="AX37" s="184"/>
      <c r="AY37" s="184"/>
      <c r="AZ37" s="184"/>
      <c r="BA37" s="184"/>
      <c r="BB37" s="82"/>
    </row>
    <row r="38" spans="1:54" ht="15">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0.66658231106259791</v>
      </c>
      <c r="AK38" s="7">
        <f t="shared" si="2"/>
        <v>6.7080563377444378</v>
      </c>
      <c r="AL38" s="7">
        <f t="shared" si="2"/>
        <v>-1.1571212577684946</v>
      </c>
      <c r="AM38" s="7">
        <f t="shared" si="2"/>
        <v>-0.68228407041596029</v>
      </c>
      <c r="AN38" s="7">
        <f t="shared" si="2"/>
        <v>-9.1797760907351176</v>
      </c>
      <c r="AO38" s="7">
        <f t="shared" si="2"/>
        <v>-26.014323452136978</v>
      </c>
      <c r="AP38" s="7">
        <f t="shared" si="2"/>
        <v>16.778644426159985</v>
      </c>
      <c r="AQ38" s="65">
        <f t="shared" si="2"/>
        <v>1.999772205670979</v>
      </c>
      <c r="AR38" s="8"/>
      <c r="AS38" s="30"/>
      <c r="AT38" s="30"/>
      <c r="AU38" s="30"/>
      <c r="AV38" s="30"/>
      <c r="AW38" s="184"/>
      <c r="AX38" s="184"/>
      <c r="AY38" s="184"/>
      <c r="AZ38" s="184"/>
      <c r="BA38" s="184"/>
      <c r="BB38" s="82"/>
    </row>
    <row r="39" spans="1:54" ht="15">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5">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0</v>
      </c>
      <c r="AQ40" s="9">
        <f>SelectedInputs!AQ357</f>
        <v>0</v>
      </c>
      <c r="AR40" s="8"/>
      <c r="AS40" s="30"/>
      <c r="AT40" s="30"/>
      <c r="AU40" s="30"/>
      <c r="AV40" s="30"/>
      <c r="AW40" s="184"/>
      <c r="AX40" s="184"/>
      <c r="AY40" s="184"/>
      <c r="AZ40" s="184"/>
      <c r="BA40" s="184"/>
      <c r="BB40" s="82"/>
    </row>
    <row r="41" spans="1:54" ht="15">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5">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0.69239456965043011</v>
      </c>
      <c r="AM42" s="7">
        <f t="shared" si="4"/>
        <v>6.9577547031466196</v>
      </c>
      <c r="AN42" s="7">
        <f t="shared" si="4"/>
        <v>-1.2040844001186075</v>
      </c>
      <c r="AO42" s="7">
        <f t="shared" si="4"/>
        <v>-0.71250741101322446</v>
      </c>
      <c r="AP42" s="7">
        <f t="shared" si="4"/>
        <v>-9.5333295988088729</v>
      </c>
      <c r="AQ42" s="65">
        <f t="shared" si="4"/>
        <v>-26.877989297739731</v>
      </c>
      <c r="AR42" s="7">
        <f t="shared" si="4"/>
        <v>17.711652604094262</v>
      </c>
      <c r="AS42" s="7"/>
      <c r="AT42" s="7"/>
      <c r="AU42" s="30"/>
      <c r="AV42" s="30"/>
      <c r="AW42" s="184"/>
      <c r="AX42" s="184"/>
      <c r="AY42" s="184"/>
      <c r="AZ42" s="184"/>
      <c r="BA42" s="184"/>
      <c r="BB42" s="82"/>
    </row>
    <row r="43" spans="1:54" ht="15">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-0.69239456965043011</v>
      </c>
      <c r="AM43" s="7">
        <f t="shared" si="5"/>
        <v>-6.9577547031466196</v>
      </c>
      <c r="AN43" s="7">
        <f t="shared" si="5"/>
        <v>1.2040844001186075</v>
      </c>
      <c r="AO43" s="7">
        <f t="shared" si="5"/>
        <v>0.71250741101322446</v>
      </c>
      <c r="AP43" s="7">
        <f t="shared" si="5"/>
        <v>9.5333295988088729</v>
      </c>
      <c r="AQ43" s="65">
        <f t="shared" si="5"/>
        <v>26.877989297739731</v>
      </c>
      <c r="AR43" s="30">
        <f t="shared" si="5"/>
        <v>-17.711652604094262</v>
      </c>
      <c r="AS43" s="30"/>
      <c r="AT43" s="30"/>
      <c r="AU43" s="30"/>
      <c r="AV43" s="30"/>
      <c r="AW43" s="184"/>
      <c r="AX43" s="184"/>
      <c r="AY43" s="184"/>
      <c r="AZ43" s="184"/>
      <c r="BA43" s="184"/>
      <c r="BB43" s="82"/>
    </row>
    <row r="44" spans="1:54" ht="15">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5">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5">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2.6688400000000001E-2</v>
      </c>
      <c r="AS46" s="8">
        <f>SelectedInputs!AS359</f>
        <v>0</v>
      </c>
      <c r="AT46" s="8">
        <f>SelectedInputs!AT359</f>
        <v>0</v>
      </c>
      <c r="AU46" s="8">
        <f>SelectedInputs!AU359</f>
        <v>0</v>
      </c>
      <c r="AV46" s="8">
        <f>SelectedInputs!AV359</f>
        <v>0</v>
      </c>
      <c r="AW46" s="184"/>
      <c r="AX46" s="184"/>
      <c r="AY46" s="184"/>
      <c r="AZ46" s="184"/>
      <c r="BA46" s="184"/>
      <c r="BB46" s="82"/>
    </row>
    <row r="47" spans="1:54" ht="15">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5">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2.6688400000000001E-2</v>
      </c>
      <c r="AS48" s="514">
        <f>AS46-AS47</f>
        <v>0</v>
      </c>
      <c r="AT48" s="514">
        <f>AT46-AT47</f>
        <v>0</v>
      </c>
      <c r="AU48" s="514">
        <f>AU46-AU47</f>
        <v>0</v>
      </c>
      <c r="AV48" s="514">
        <f>AV46-AV47</f>
        <v>0</v>
      </c>
      <c r="AW48" s="184"/>
      <c r="AX48" s="184"/>
      <c r="AY48" s="184"/>
      <c r="AZ48" s="184"/>
      <c r="BA48" s="184"/>
      <c r="BB48" s="82"/>
    </row>
    <row r="49" spans="1:54" ht="15">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5">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5">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5">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5">
      <c r="A53" s="82"/>
      <c r="B53" s="82"/>
      <c r="C53" s="82"/>
      <c r="D53" s="82"/>
      <c r="E53" s="318" t="s">
        <v>433</v>
      </c>
      <c r="F53" s="82"/>
      <c r="G53" s="82" t="s">
        <v>679</v>
      </c>
      <c r="H53" s="82" t="s">
        <v>704</v>
      </c>
      <c r="I53" s="260">
        <f>SelectedInputs!I363</f>
        <v>54.8</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5">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5">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5">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5">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5">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5">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3.6802468274757247</v>
      </c>
      <c r="AQ59" s="9">
        <f>SelectedInputs!AQ367</f>
        <v>4</v>
      </c>
      <c r="AR59" s="30"/>
      <c r="AS59" s="30"/>
      <c r="AT59" s="30"/>
      <c r="AU59" s="30"/>
      <c r="AV59" s="30"/>
      <c r="AW59" s="184"/>
      <c r="AX59" s="184"/>
      <c r="AY59" s="184"/>
      <c r="AZ59" s="184"/>
      <c r="BA59" s="184"/>
      <c r="BB59" s="82"/>
    </row>
    <row r="60" spans="1:54" ht="15">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5">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0.53999999999999992</v>
      </c>
      <c r="AQ61" s="9">
        <f>SelectedInputs!AQ369</f>
        <v>0.99600000000000011</v>
      </c>
      <c r="AR61" s="30"/>
      <c r="AS61" s="30"/>
      <c r="AT61" s="30"/>
      <c r="AU61" s="30"/>
      <c r="AV61" s="30"/>
      <c r="AW61" s="184"/>
      <c r="AX61" s="184"/>
      <c r="AY61" s="184"/>
      <c r="AZ61" s="184"/>
      <c r="BA61" s="184"/>
      <c r="BB61" s="82"/>
    </row>
    <row r="62" spans="1:54" ht="15">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5.3669764752943037</v>
      </c>
      <c r="AS62" s="30">
        <f>SUM(AQ59:AQ61)*AQ$13</f>
        <v>7.1714660944790722</v>
      </c>
      <c r="AT62" s="30"/>
      <c r="AU62" s="30"/>
      <c r="AV62" s="30"/>
      <c r="AW62" s="184"/>
      <c r="AX62" s="184"/>
      <c r="AY62" s="184"/>
      <c r="AZ62" s="184"/>
      <c r="BA62" s="184"/>
      <c r="BB62" s="82"/>
    </row>
    <row r="63" spans="1:54" ht="15">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5">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5">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16.066143697331345</v>
      </c>
      <c r="AQ65" s="9">
        <f>SelectedInputs!AQ371</f>
        <v>17.035259513751821</v>
      </c>
      <c r="AR65" s="30"/>
      <c r="AS65" s="30"/>
      <c r="AT65" s="30"/>
      <c r="AU65" s="30"/>
      <c r="AV65" s="30"/>
      <c r="AW65" s="184"/>
      <c r="AX65" s="184"/>
      <c r="AY65" s="184"/>
      <c r="AZ65" s="184"/>
      <c r="BA65" s="184"/>
      <c r="BB65" s="82"/>
    </row>
    <row r="66" spans="1:54" ht="15">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5">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5">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26.046370677532522</v>
      </c>
      <c r="AS68" s="30">
        <f>SUM(AQ65:AQ67) * AQ$16 * AR$16 * AS$13</f>
        <v>28.839247477967056</v>
      </c>
      <c r="AT68" s="30"/>
      <c r="AU68" s="30"/>
      <c r="AV68" s="30"/>
      <c r="AW68" s="184"/>
      <c r="AX68" s="184"/>
      <c r="AY68" s="184"/>
      <c r="AZ68" s="184"/>
      <c r="BA68" s="184"/>
      <c r="BB68" s="82"/>
    </row>
    <row r="69" spans="1:54" ht="15">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5">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5">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5">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5">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5">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5">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0.4</v>
      </c>
      <c r="AQ75" s="9">
        <f>SelectedInputs!AQ377</f>
        <v>0.4</v>
      </c>
      <c r="AR75" s="30"/>
      <c r="AS75" s="30"/>
      <c r="AT75" s="30"/>
      <c r="AU75" s="30"/>
      <c r="AV75" s="30"/>
      <c r="AW75" s="184"/>
      <c r="AX75" s="184"/>
      <c r="AY75" s="184"/>
      <c r="AZ75" s="184"/>
      <c r="BA75" s="184"/>
      <c r="BB75" s="82"/>
    </row>
    <row r="76" spans="1:54" ht="15">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0.4</v>
      </c>
      <c r="AQ76" s="9">
        <f>SelectedInputs!AQ378</f>
        <v>0.4</v>
      </c>
      <c r="AR76" s="30"/>
      <c r="AS76" s="30"/>
      <c r="AT76" s="30"/>
      <c r="AU76" s="30"/>
      <c r="AV76" s="30"/>
      <c r="AW76" s="184"/>
      <c r="AX76" s="184"/>
      <c r="AY76" s="184"/>
      <c r="AZ76" s="184"/>
      <c r="BA76" s="184"/>
      <c r="BB76" s="82"/>
    </row>
    <row r="77" spans="1:54" ht="15">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0.27177214945678763</v>
      </c>
      <c r="AQ77" s="9">
        <f>SelectedInputs!AQ379</f>
        <v>0.30996115038757399</v>
      </c>
      <c r="AR77" s="30"/>
      <c r="AS77" s="30"/>
      <c r="AT77" s="30"/>
      <c r="AU77" s="30"/>
      <c r="AV77" s="30"/>
      <c r="AW77" s="184"/>
      <c r="AX77" s="184"/>
      <c r="AY77" s="184"/>
      <c r="AZ77" s="184"/>
      <c r="BA77" s="184"/>
      <c r="BB77" s="82"/>
    </row>
    <row r="78" spans="1:54" ht="15">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0.24821063345031713</v>
      </c>
      <c r="AQ78" s="9">
        <f>SelectedInputs!AQ380</f>
        <v>0.32083241804199136</v>
      </c>
      <c r="AR78" s="30"/>
      <c r="AS78" s="30"/>
      <c r="AT78" s="30"/>
      <c r="AU78" s="30"/>
      <c r="AV78" s="30"/>
      <c r="AW78" s="184"/>
      <c r="AX78" s="184"/>
      <c r="AY78" s="184"/>
      <c r="AZ78" s="184"/>
      <c r="BA78" s="184"/>
      <c r="BB78" s="82"/>
    </row>
    <row r="79" spans="1:54" ht="15">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1.6786498120284858</v>
      </c>
      <c r="AS79" s="30">
        <f>SUM(AQ75:AQ78)*AQ$13</f>
        <v>2.053820569293705</v>
      </c>
      <c r="AT79" s="30"/>
      <c r="AU79" s="30"/>
      <c r="AV79" s="30"/>
      <c r="AW79" s="184"/>
      <c r="AX79" s="184"/>
      <c r="AY79" s="184"/>
      <c r="AZ79" s="184"/>
      <c r="BA79" s="184"/>
      <c r="BB79" s="82"/>
    </row>
    <row r="80" spans="1:54" ht="15">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5">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5">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5">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2.6482000000000001</v>
      </c>
      <c r="AQ83" s="9">
        <f>SelectedInputs!AQ384</f>
        <v>2.7511000000000001</v>
      </c>
      <c r="AR83" s="30"/>
      <c r="AS83" s="30"/>
      <c r="AT83" s="30"/>
      <c r="AU83" s="30"/>
      <c r="AV83" s="30"/>
      <c r="AW83" s="184"/>
      <c r="AX83" s="184"/>
      <c r="AY83" s="184"/>
      <c r="AZ83" s="184"/>
      <c r="BA83" s="184"/>
      <c r="BB83" s="82"/>
    </row>
    <row r="84" spans="1:54" ht="15">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1.3</v>
      </c>
      <c r="AQ84" s="9">
        <f>SelectedInputs!AQ385</f>
        <v>1.3</v>
      </c>
      <c r="AR84" s="30"/>
      <c r="AS84" s="30"/>
      <c r="AT84" s="30"/>
      <c r="AU84" s="30"/>
      <c r="AV84" s="30"/>
      <c r="AW84" s="184"/>
      <c r="AX84" s="184"/>
      <c r="AY84" s="184"/>
      <c r="AZ84" s="184"/>
      <c r="BA84" s="184"/>
      <c r="BB84" s="82"/>
    </row>
    <row r="85" spans="1:54" ht="15">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1.2683833591340747</v>
      </c>
      <c r="AS85" s="30">
        <f>(AQ83/AQ$13 - AQ84) * AQ$16 * AR$16 * AS$13</f>
        <v>1.0437720376795794</v>
      </c>
      <c r="AT85" s="30"/>
      <c r="AU85" s="30"/>
      <c r="AV85" s="30"/>
      <c r="AW85" s="184"/>
      <c r="AX85" s="184"/>
      <c r="AY85" s="184"/>
      <c r="AZ85" s="184"/>
      <c r="BA85" s="184"/>
      <c r="BB85" s="82"/>
    </row>
    <row r="86" spans="1:54" ht="15">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5">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5">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31.508600000000001</v>
      </c>
      <c r="AQ88" s="9">
        <f>SelectedInputs!AQ387</f>
        <v>29.905899999999999</v>
      </c>
      <c r="AR88" s="30"/>
      <c r="AS88" s="30"/>
      <c r="AT88" s="30"/>
      <c r="AU88" s="30"/>
      <c r="AV88" s="30"/>
      <c r="AW88" s="184"/>
      <c r="AX88" s="184"/>
      <c r="AY88" s="184"/>
      <c r="AZ88" s="184"/>
      <c r="BA88" s="184"/>
      <c r="BB88" s="82"/>
    </row>
    <row r="89" spans="1:54" ht="15">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52.9</v>
      </c>
      <c r="AQ89" s="9">
        <f>SelectedInputs!AQ388</f>
        <v>52.9</v>
      </c>
      <c r="AR89" s="30"/>
      <c r="AS89" s="30"/>
      <c r="AT89" s="30"/>
      <c r="AU89" s="30"/>
      <c r="AV89" s="30"/>
      <c r="AW89" s="184"/>
      <c r="AX89" s="184"/>
      <c r="AY89" s="184"/>
      <c r="AZ89" s="184"/>
      <c r="BA89" s="184"/>
      <c r="BB89" s="82"/>
    </row>
    <row r="90" spans="1:54" ht="15">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-45.593959311469973</v>
      </c>
      <c r="AS90" s="30">
        <f>(AQ88/AQ$13 - AQ89) * AQ$16 * AR$16 * AS$13</f>
        <v>-54.285120301092746</v>
      </c>
      <c r="AT90" s="30"/>
      <c r="AU90" s="30"/>
      <c r="AV90" s="30"/>
      <c r="AW90" s="184"/>
      <c r="AX90" s="184"/>
      <c r="AY90" s="184"/>
      <c r="AZ90" s="184"/>
      <c r="BA90" s="184"/>
      <c r="BB90" s="82"/>
    </row>
    <row r="91" spans="1:54" ht="15">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5">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5">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9.0512999999999995</v>
      </c>
      <c r="AQ93" s="9">
        <f>SelectedInputs!AQ390</f>
        <v>8.6135999999999999</v>
      </c>
      <c r="AR93" s="30"/>
      <c r="AS93" s="30"/>
      <c r="AT93" s="30"/>
      <c r="AU93" s="30"/>
      <c r="AV93" s="30"/>
      <c r="AW93" s="184"/>
      <c r="AX93" s="184"/>
      <c r="AY93" s="184"/>
      <c r="AZ93" s="184"/>
      <c r="BA93" s="184"/>
      <c r="BB93" s="82"/>
    </row>
    <row r="94" spans="1:54" ht="15">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12.6</v>
      </c>
      <c r="AQ94" s="9">
        <f>SelectedInputs!AQ391</f>
        <v>13.8</v>
      </c>
      <c r="AR94" s="30"/>
      <c r="AS94" s="30"/>
      <c r="AT94" s="30"/>
      <c r="AU94" s="30"/>
      <c r="AV94" s="30"/>
      <c r="AW94" s="184"/>
      <c r="AX94" s="184"/>
      <c r="AY94" s="184"/>
      <c r="AZ94" s="184"/>
      <c r="BA94" s="184"/>
      <c r="BB94" s="82"/>
    </row>
    <row r="95" spans="1:54" ht="15">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-8.8884300251489243</v>
      </c>
      <c r="AS95" s="30">
        <f>(AQ93/AQ$13 - AQ94) * AQ$16 * AR$16 * AS$13</f>
        <v>-13.203616442819088</v>
      </c>
      <c r="AT95" s="30"/>
      <c r="AU95" s="30"/>
      <c r="AV95" s="30"/>
      <c r="AW95" s="184"/>
      <c r="AX95" s="184"/>
      <c r="AY95" s="184"/>
      <c r="AZ95" s="184"/>
      <c r="BA95" s="184"/>
      <c r="BB95" s="82"/>
    </row>
    <row r="96" spans="1:54" ht="15">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5">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5">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2.8382000000000001</v>
      </c>
      <c r="AQ98" s="9">
        <f>SelectedInputs!AQ393</f>
        <v>3.1320999999999999</v>
      </c>
      <c r="AR98" s="30"/>
      <c r="AS98" s="30"/>
      <c r="AT98" s="30"/>
      <c r="AU98" s="30"/>
      <c r="AV98" s="30"/>
      <c r="AW98" s="184"/>
      <c r="AX98" s="184"/>
      <c r="AY98" s="184"/>
      <c r="AZ98" s="184"/>
      <c r="BA98" s="184"/>
      <c r="BB98" s="82"/>
    </row>
    <row r="99" spans="1:54" ht="15">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5">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3.6181513185152254</v>
      </c>
      <c r="AS100" s="30">
        <f>(AQ98/AQ$13 - AQ99) * AQ$16 * AR$16 * AS$13</f>
        <v>3.6939011520651333</v>
      </c>
      <c r="AT100" s="30"/>
      <c r="AU100" s="30"/>
      <c r="AV100" s="30"/>
      <c r="AW100" s="184"/>
      <c r="AX100" s="184"/>
      <c r="AY100" s="184"/>
      <c r="AZ100" s="184"/>
      <c r="BA100" s="184"/>
      <c r="BB100" s="82"/>
    </row>
    <row r="101" spans="1:54" ht="15">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5">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5">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0.39589999999999997</v>
      </c>
      <c r="AQ103" s="9">
        <f>SelectedInputs!AQ396</f>
        <v>0.35970000000000002</v>
      </c>
      <c r="AR103" s="30"/>
      <c r="AS103" s="30"/>
      <c r="AT103" s="30"/>
      <c r="AU103" s="30"/>
      <c r="AV103" s="30"/>
      <c r="AW103" s="184"/>
      <c r="AX103" s="184"/>
      <c r="AY103" s="184"/>
      <c r="AZ103" s="184"/>
      <c r="BA103" s="184"/>
      <c r="BB103" s="82"/>
    </row>
    <row r="104" spans="1:54" ht="15">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5">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0.5046952670707413</v>
      </c>
      <c r="AS105" s="30">
        <f>(AQ103/AQ$13 - AQ104) * AQ$16 * AR$16 * AS$13</f>
        <v>0.4242189727013278</v>
      </c>
      <c r="AT105" s="30"/>
      <c r="AU105" s="30"/>
      <c r="AV105" s="30"/>
      <c r="AW105" s="184"/>
      <c r="AX105" s="184"/>
      <c r="AY105" s="184"/>
      <c r="AZ105" s="184"/>
      <c r="BA105" s="184"/>
      <c r="BB105" s="82"/>
    </row>
    <row r="106" spans="1:54" ht="15">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5">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5">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4.4699999999999997E-2</v>
      </c>
      <c r="AQ108" s="9">
        <f>SelectedInputs!AQ399</f>
        <v>4.41E-2</v>
      </c>
      <c r="AR108" s="30"/>
      <c r="AS108" s="30"/>
      <c r="AT108" s="30"/>
      <c r="AU108" s="30"/>
      <c r="AV108" s="30"/>
      <c r="AW108" s="184"/>
      <c r="AX108" s="184"/>
      <c r="AY108" s="184"/>
      <c r="AZ108" s="184"/>
      <c r="BA108" s="184"/>
      <c r="BB108" s="82"/>
    </row>
    <row r="109" spans="1:54" ht="15">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5">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5.6983779838499955E-2</v>
      </c>
      <c r="AS110" s="30">
        <f>(AQ108/AQ$13 - AQ109) * AQ$16 * AR$16 * AS$13</f>
        <v>5.2010165960880053E-2</v>
      </c>
      <c r="AT110" s="30"/>
      <c r="AU110" s="30"/>
      <c r="AV110" s="30"/>
      <c r="AW110" s="184"/>
      <c r="AX110" s="184"/>
      <c r="AY110" s="184"/>
      <c r="AZ110" s="184"/>
      <c r="BA110" s="184"/>
      <c r="BB110" s="82"/>
    </row>
    <row r="111" spans="1:54" ht="15">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5">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5">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5">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5">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5">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5">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5">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5">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5">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5">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5">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5">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5">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5">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5">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5">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5">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0.99719999999999998</v>
      </c>
      <c r="AQ128" s="9">
        <f>SelectedInputs!AQ411</f>
        <v>1.9113338783333333</v>
      </c>
      <c r="AR128" s="7"/>
      <c r="AS128" s="30"/>
      <c r="AT128" s="30"/>
      <c r="AU128" s="30"/>
      <c r="AV128" s="30"/>
      <c r="AW128" s="184"/>
      <c r="AX128" s="184"/>
      <c r="AY128" s="184"/>
      <c r="AZ128" s="184"/>
      <c r="BA128" s="184"/>
      <c r="BB128" s="82"/>
    </row>
    <row r="129" spans="1:54" ht="15">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5">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1.2712354643166031</v>
      </c>
      <c r="AS130" s="30">
        <f>(AQ128/AQ$13) * AQ$16 * AR$16 * AS$13 + AS129</f>
        <v>2.2541676240083715</v>
      </c>
      <c r="AT130" s="30"/>
      <c r="AU130" s="30"/>
      <c r="AV130" s="30"/>
      <c r="AW130" s="184"/>
      <c r="AX130" s="184"/>
      <c r="AY130" s="184"/>
      <c r="AZ130" s="184"/>
      <c r="BA130" s="184"/>
      <c r="BB130" s="82"/>
    </row>
    <row r="131" spans="1:54" ht="15">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5">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5">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1.80173231</v>
      </c>
      <c r="AP133" s="8">
        <f>SelectedInputs!AP413</f>
        <v>3.5762999999999998</v>
      </c>
      <c r="AQ133" s="9">
        <f>SelectedInputs!AQ413</f>
        <v>-0.20945539999999999</v>
      </c>
      <c r="AR133" s="30"/>
      <c r="AS133" s="30"/>
      <c r="AT133" s="30"/>
      <c r="AU133" s="30"/>
      <c r="AV133" s="30"/>
      <c r="AW133" s="184"/>
      <c r="AX133" s="184"/>
      <c r="AY133" s="184"/>
      <c r="AZ133" s="184"/>
      <c r="BA133" s="184"/>
      <c r="BB133" s="82"/>
    </row>
    <row r="134" spans="1:54" ht="15">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5">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2.5011630110187557</v>
      </c>
      <c r="AS135" s="30">
        <f>((AP133-AP134))/AP$13*AP$16*AQ$16*AR$16*AS$13</f>
        <v>4.8909302674314485</v>
      </c>
      <c r="AT135" s="30">
        <f>((AQ133-AQ134))/AQ$13*AQ$16*AR$16*AS$16*AT$13</f>
        <v>-0.26738717781833882</v>
      </c>
      <c r="AU135" s="30"/>
      <c r="AV135" s="30"/>
      <c r="AW135" s="184"/>
      <c r="AX135" s="184"/>
      <c r="AY135" s="184"/>
      <c r="AZ135" s="184"/>
      <c r="BA135" s="184"/>
      <c r="BB135" s="82"/>
    </row>
    <row r="136" spans="1:54" ht="15">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5">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5">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5">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5">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5">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5">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5">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5">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5">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5">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1.3946954727682772</v>
      </c>
      <c r="AS146" s="30">
        <f>AS26</f>
        <v>1.4962121912904554</v>
      </c>
      <c r="AT146" s="30">
        <f>AT26</f>
        <v>1.6195432671832328</v>
      </c>
      <c r="AU146" s="30">
        <f>AU26</f>
        <v>1.7248412403381637</v>
      </c>
      <c r="AV146" s="30">
        <f>AV26</f>
        <v>1.8329236444807704</v>
      </c>
      <c r="AW146" s="184"/>
      <c r="AX146" s="184"/>
      <c r="AY146" s="184"/>
      <c r="AZ146" s="184"/>
      <c r="BA146" s="184"/>
      <c r="BB146" s="82"/>
    </row>
    <row r="147" spans="1:54" ht="15">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17.156716073349525</v>
      </c>
      <c r="AS147" s="30">
        <f>AS33</f>
        <v>50.911548126811404</v>
      </c>
      <c r="AT147" s="30"/>
      <c r="AU147" s="30"/>
      <c r="AV147" s="30"/>
      <c r="AW147" s="184"/>
      <c r="AX147" s="184"/>
      <c r="AY147" s="184"/>
      <c r="AZ147" s="184"/>
      <c r="BA147" s="184"/>
      <c r="BB147" s="82"/>
    </row>
    <row r="148" spans="1:54" ht="15">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-17.711652604094262</v>
      </c>
      <c r="AS148" s="30"/>
      <c r="AT148" s="30"/>
      <c r="AU148" s="30"/>
      <c r="AV148" s="30"/>
      <c r="AW148" s="184"/>
      <c r="AX148" s="184"/>
      <c r="AY148" s="184"/>
      <c r="AZ148" s="184"/>
      <c r="BA148" s="184"/>
      <c r="BB148" s="82"/>
    </row>
    <row r="149" spans="1:54" ht="15">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5">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5">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5.3669764752943037</v>
      </c>
      <c r="AS151" s="30">
        <f>AS62</f>
        <v>7.1714660944790722</v>
      </c>
      <c r="AT151" s="30"/>
      <c r="AU151" s="30"/>
      <c r="AV151" s="30"/>
      <c r="AW151" s="184"/>
      <c r="AX151" s="184"/>
      <c r="AY151" s="184"/>
      <c r="AZ151" s="184"/>
      <c r="BA151" s="184"/>
      <c r="BB151" s="82"/>
    </row>
    <row r="152" spans="1:54" ht="15">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26.046370677532522</v>
      </c>
      <c r="AS152" s="30">
        <f>AS68</f>
        <v>28.839247477967056</v>
      </c>
      <c r="AT152" s="30"/>
      <c r="AU152" s="30"/>
      <c r="AV152" s="30"/>
      <c r="AW152" s="184"/>
      <c r="AX152" s="184"/>
      <c r="AY152" s="184"/>
      <c r="AZ152" s="184"/>
      <c r="BA152" s="184"/>
      <c r="BB152" s="82"/>
    </row>
    <row r="153" spans="1:54" ht="15">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5">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1.6786498120284858</v>
      </c>
      <c r="AS154" s="30">
        <f>AS79</f>
        <v>2.053820569293705</v>
      </c>
      <c r="AT154" s="30"/>
      <c r="AU154" s="30"/>
      <c r="AV154" s="30"/>
      <c r="AW154" s="184"/>
      <c r="AX154" s="184"/>
      <c r="AY154" s="184"/>
      <c r="AZ154" s="184"/>
      <c r="BA154" s="184"/>
      <c r="BB154" s="82"/>
    </row>
    <row r="155" spans="1:54" ht="15">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5">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1.2683833591340747</v>
      </c>
      <c r="AS156" s="30">
        <f>AS85</f>
        <v>1.0437720376795794</v>
      </c>
      <c r="AT156" s="30"/>
      <c r="AU156" s="30"/>
      <c r="AV156" s="30"/>
      <c r="AW156" s="184"/>
      <c r="AX156" s="184"/>
      <c r="AY156" s="184"/>
      <c r="AZ156" s="184"/>
      <c r="BA156" s="184"/>
      <c r="BB156" s="82"/>
    </row>
    <row r="157" spans="1:54" ht="15">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-45.593959311469973</v>
      </c>
      <c r="AS157" s="30">
        <f>AS90</f>
        <v>-54.285120301092746</v>
      </c>
      <c r="AT157" s="30"/>
      <c r="AU157" s="30"/>
      <c r="AV157" s="30"/>
      <c r="AW157" s="184"/>
      <c r="AX157" s="184"/>
      <c r="AY157" s="184"/>
      <c r="AZ157" s="184"/>
      <c r="BA157" s="184"/>
      <c r="BB157" s="82"/>
    </row>
    <row r="158" spans="1:54" ht="15">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-8.8884300251489243</v>
      </c>
      <c r="AS158" s="30">
        <f>AS95</f>
        <v>-13.203616442819088</v>
      </c>
      <c r="AT158" s="30"/>
      <c r="AU158" s="30"/>
      <c r="AV158" s="30"/>
      <c r="AW158" s="184"/>
      <c r="AX158" s="184"/>
      <c r="AY158" s="184"/>
      <c r="AZ158" s="184"/>
      <c r="BA158" s="184"/>
      <c r="BB158" s="82"/>
    </row>
    <row r="159" spans="1:54" ht="15">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3.6181513185152254</v>
      </c>
      <c r="AS159" s="30">
        <f>AS100</f>
        <v>3.6939011520651333</v>
      </c>
      <c r="AT159" s="30"/>
      <c r="AU159" s="30"/>
      <c r="AV159" s="30"/>
      <c r="AW159" s="184"/>
      <c r="AX159" s="184"/>
      <c r="AY159" s="184"/>
      <c r="AZ159" s="184"/>
      <c r="BA159" s="184"/>
      <c r="BB159" s="82"/>
    </row>
    <row r="160" spans="1:54" ht="15">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0.5046952670707413</v>
      </c>
      <c r="AS160" s="30">
        <f>AS105</f>
        <v>0.4242189727013278</v>
      </c>
      <c r="AT160" s="30"/>
      <c r="AU160" s="30"/>
      <c r="AV160" s="30"/>
      <c r="AW160" s="184"/>
      <c r="AX160" s="184"/>
      <c r="AY160" s="184"/>
      <c r="AZ160" s="184"/>
      <c r="BA160" s="184"/>
      <c r="BB160" s="82"/>
    </row>
    <row r="161" spans="1:54" ht="15">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5.6983779838499955E-2</v>
      </c>
      <c r="AS161" s="30">
        <f>AS110</f>
        <v>5.2010165960880053E-2</v>
      </c>
      <c r="AT161" s="30"/>
      <c r="AU161" s="30"/>
      <c r="AV161" s="30"/>
      <c r="AW161" s="184"/>
      <c r="AX161" s="184"/>
      <c r="AY161" s="184"/>
      <c r="AZ161" s="184"/>
      <c r="BA161" s="184"/>
      <c r="BB161" s="82"/>
    </row>
    <row r="162" spans="1:54" ht="15">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5">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5">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5">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1.2712354643166031</v>
      </c>
      <c r="AS165" s="30">
        <f>AS130</f>
        <v>2.2541676240083715</v>
      </c>
      <c r="AT165" s="30"/>
      <c r="AU165" s="30"/>
      <c r="AV165" s="30"/>
      <c r="AW165" s="184"/>
      <c r="AX165" s="184"/>
      <c r="AY165" s="184"/>
      <c r="AZ165" s="184"/>
      <c r="BA165" s="184"/>
      <c r="BB165" s="82"/>
    </row>
    <row r="166" spans="1:54" ht="15">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2.5011630110187557</v>
      </c>
      <c r="AS166" s="30">
        <f>AS135</f>
        <v>4.8909302674314485</v>
      </c>
      <c r="AT166" s="30">
        <f>AT135</f>
        <v>-0.26738717781833882</v>
      </c>
      <c r="AU166" s="30"/>
      <c r="AV166" s="30"/>
      <c r="AW166" s="184"/>
      <c r="AX166" s="184"/>
      <c r="AY166" s="184"/>
      <c r="AZ166" s="184"/>
      <c r="BA166" s="184"/>
      <c r="BB166" s="82"/>
    </row>
    <row r="167" spans="1:54" ht="15">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5">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5">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438" priority="4" operator="equal">
      <formula>FALSE()</formula>
    </cfRule>
  </conditionalFormatting>
  <conditionalFormatting sqref="AM3">
    <cfRule type="expression" dxfId="437" priority="12">
      <formula>$AM$3="OK"</formula>
    </cfRule>
  </conditionalFormatting>
  <conditionalFormatting sqref="AW6:BA6">
    <cfRule type="cellIs" dxfId="436" priority="2" operator="equal">
      <formula>FALSE()</formula>
    </cfRule>
  </conditionalFormatting>
  <conditionalFormatting sqref="AW8:BA167">
    <cfRule type="cellIs" dxfId="435"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50.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5">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5">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55.992438746428</v>
      </c>
      <c r="AS12" s="8">
        <f>(InputSummary!AS31 + InputSummary!AS41)</f>
        <v>52.671819833199464</v>
      </c>
      <c r="AT12" s="8">
        <f>(InputSummary!AT31 + InputSummary!AT41)</f>
        <v>35.231393499871459</v>
      </c>
      <c r="AU12" s="8">
        <f>(InputSummary!AU31 + InputSummary!AU41)</f>
        <v>37.496480217536998</v>
      </c>
      <c r="AV12" s="8">
        <f>(InputSummary!AV31 + InputSummary!AV41)</f>
        <v>27.147153290173588</v>
      </c>
      <c r="AW12" s="2"/>
    </row>
    <row r="13" spans="1:49" ht="15">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81.786404957114001</v>
      </c>
      <c r="AS13" s="8">
        <f>(InputSummary!AS32 + InputSummary!AS42)</f>
        <v>81.433252929937723</v>
      </c>
      <c r="AT13" s="8">
        <f>(InputSummary!AT32 + InputSummary!AT42)</f>
        <v>84.215175358630319</v>
      </c>
      <c r="AU13" s="8">
        <f>(InputSummary!AU32 + InputSummary!AU42)</f>
        <v>84.060924800392087</v>
      </c>
      <c r="AV13" s="8">
        <f>(InputSummary!AV32 + InputSummary!AV42)</f>
        <v>78.669319353123768</v>
      </c>
      <c r="AW13" s="2"/>
    </row>
    <row r="14" spans="1:49" ht="15">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32.86979040914288</v>
      </c>
      <c r="AS14" s="8">
        <f>(InputSummary!AS33 + InputSummary!AS43)</f>
        <v>35.177038721752893</v>
      </c>
      <c r="AT14" s="8">
        <f>(InputSummary!AT33 + InputSummary!AT43)</f>
        <v>39.39748802645412</v>
      </c>
      <c r="AU14" s="8">
        <f>(InputSummary!AU33 + InputSummary!AU43)</f>
        <v>32.94418501922253</v>
      </c>
      <c r="AV14" s="8">
        <f>(InputSummary!AV33 + InputSummary!AV43)</f>
        <v>31.758781247520353</v>
      </c>
      <c r="AW14" s="2"/>
    </row>
    <row r="15" spans="1:49" ht="15">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30.298566290673229</v>
      </c>
      <c r="AS15" s="8">
        <f>(InputSummary!AS34 + InputSummary!AS44)</f>
        <v>30.306985805571664</v>
      </c>
      <c r="AT15" s="8">
        <f>(InputSummary!AT34 + InputSummary!AT44)</f>
        <v>29.980594712210539</v>
      </c>
      <c r="AU15" s="8">
        <f>(InputSummary!AU34 + InputSummary!AU44)</f>
        <v>29.903451739629407</v>
      </c>
      <c r="AV15" s="8">
        <f>(InputSummary!AV34 + InputSummary!AV44)</f>
        <v>29.464372326802181</v>
      </c>
      <c r="AW15" s="2"/>
    </row>
    <row r="16" spans="1:49" ht="15">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9.2046200467140693</v>
      </c>
      <c r="AS16" s="8">
        <f>(InputSummary!AS35 + InputSummary!AS45)</f>
        <v>9.7621375462041353</v>
      </c>
      <c r="AT16" s="8">
        <f>(InputSummary!AT35 + InputSummary!AT45)</f>
        <v>8.6642081390200261</v>
      </c>
      <c r="AU16" s="8">
        <f>(InputSummary!AU35 + InputSummary!AU45)</f>
        <v>8.7480551322431825</v>
      </c>
      <c r="AV16" s="8">
        <f>(InputSummary!AV35 + InputSummary!AV45)</f>
        <v>8.6023222259318004</v>
      </c>
      <c r="AW16" s="2"/>
    </row>
    <row r="17" spans="1:49" ht="15">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15.73567396634663</v>
      </c>
      <c r="AS17" s="8">
        <f>(InputSummary!AS36 + InputSummary!AS46)</f>
        <v>15.687983421177915</v>
      </c>
      <c r="AT17" s="8">
        <f>(InputSummary!AT36 + InputSummary!AT46)</f>
        <v>15.129269248708894</v>
      </c>
      <c r="AU17" s="8">
        <f>(InputSummary!AU36 + InputSummary!AU46)</f>
        <v>15.199450428346953</v>
      </c>
      <c r="AV17" s="8">
        <f>(InputSummary!AV36 + InputSummary!AV46)</f>
        <v>15.0232803157853</v>
      </c>
      <c r="AW17" s="2"/>
    </row>
    <row r="18" spans="1:49" ht="15">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107.23349585110526</v>
      </c>
      <c r="AS18" s="8">
        <f>(InputSummary!AS37 + InputSummary!AS47)</f>
        <v>105.56230693292193</v>
      </c>
      <c r="AT18" s="8">
        <f>(InputSummary!AT37 + InputSummary!AT47)</f>
        <v>102.19990594393633</v>
      </c>
      <c r="AU18" s="8">
        <f>(InputSummary!AU37 + InputSummary!AU47)</f>
        <v>103.08003684252841</v>
      </c>
      <c r="AV18" s="8">
        <f>(InputSummary!AV37 + InputSummary!AV47)</f>
        <v>103.08970050067467</v>
      </c>
      <c r="AW18" s="2"/>
    </row>
    <row r="19" spans="1:49" ht="15">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333.12099026752406</v>
      </c>
      <c r="AS19" s="431">
        <f t="shared" si="0"/>
        <v>330.6015251907657</v>
      </c>
      <c r="AT19" s="431">
        <f t="shared" si="0"/>
        <v>314.81803492883171</v>
      </c>
      <c r="AU19" s="431">
        <f t="shared" si="0"/>
        <v>311.43258417989961</v>
      </c>
      <c r="AV19" s="431">
        <f t="shared" si="0"/>
        <v>293.75492926001169</v>
      </c>
      <c r="AW19" s="2"/>
    </row>
    <row r="20" spans="1:49" ht="15">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5">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5">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5">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9.420416537730981</v>
      </c>
      <c r="AS23" s="8">
        <f>InputSummary!AS51</f>
        <v>11.005384337779578</v>
      </c>
      <c r="AT23" s="8">
        <f>InputSummary!AT51</f>
        <v>14.612679431581823</v>
      </c>
      <c r="AU23" s="8">
        <f>InputSummary!AU51</f>
        <v>16.816273778646707</v>
      </c>
      <c r="AV23" s="8">
        <f>InputSummary!AV51</f>
        <v>19.229244673290371</v>
      </c>
      <c r="AW23" s="2"/>
    </row>
    <row r="24" spans="1:49" ht="15">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1.0723253355454476</v>
      </c>
      <c r="AS24" s="8">
        <f>InputSummary!AS52</f>
        <v>2.1515753268277233</v>
      </c>
      <c r="AT24" s="8">
        <f>InputSummary!AT52</f>
        <v>2.1509666272445322</v>
      </c>
      <c r="AU24" s="8">
        <f>InputSummary!AU52</f>
        <v>1.1164137800040239</v>
      </c>
      <c r="AV24" s="8">
        <f>InputSummary!AV52</f>
        <v>0.655052054422532</v>
      </c>
      <c r="AW24" s="2"/>
    </row>
    <row r="25" spans="1:49" ht="15">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1.4002319597997397</v>
      </c>
      <c r="AS25" s="8">
        <f>InputSummary!AS53</f>
        <v>1.8389639218214433</v>
      </c>
      <c r="AT25" s="8">
        <f>InputSummary!AT53</f>
        <v>2.2725562583236494</v>
      </c>
      <c r="AU25" s="8">
        <f>InputSummary!AU53</f>
        <v>0.72826287597536055</v>
      </c>
      <c r="AV25" s="8">
        <f>InputSummary!AV53</f>
        <v>1.0850554295494679</v>
      </c>
      <c r="AW25" s="2"/>
    </row>
    <row r="26" spans="1:49" ht="15">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0.12430966</v>
      </c>
      <c r="AT26" s="8">
        <f>InputSummary!AT54</f>
        <v>0.98808162392144649</v>
      </c>
      <c r="AU26" s="8">
        <f>InputSummary!AU54</f>
        <v>0.98808162392144649</v>
      </c>
      <c r="AV26" s="8">
        <f>InputSummary!AV54</f>
        <v>1.0550725552316882</v>
      </c>
      <c r="AW26" s="2"/>
    </row>
    <row r="27" spans="1:49" ht="15">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5">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5">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1.0994749470591592</v>
      </c>
      <c r="AS29" s="8">
        <f>InputSummary!AS57</f>
        <v>1.2631560998624491</v>
      </c>
      <c r="AT29" s="8">
        <f>InputSummary!AT57</f>
        <v>1.6790756552487243</v>
      </c>
      <c r="AU29" s="8">
        <f>InputSummary!AU57</f>
        <v>1.9031728777720414</v>
      </c>
      <c r="AV29" s="8">
        <f>InputSummary!AV57</f>
        <v>2.1513965409487206</v>
      </c>
      <c r="AW29" s="2"/>
    </row>
    <row r="30" spans="1:49" ht="15">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12.992448780135328</v>
      </c>
      <c r="AS30" s="431">
        <f t="shared" si="1"/>
        <v>16.383389346291192</v>
      </c>
      <c r="AT30" s="431">
        <f t="shared" si="1"/>
        <v>21.703359596320173</v>
      </c>
      <c r="AU30" s="431">
        <f t="shared" si="1"/>
        <v>21.552204936319576</v>
      </c>
      <c r="AV30" s="431">
        <f t="shared" si="1"/>
        <v>24.175821253442781</v>
      </c>
      <c r="AW30" s="2"/>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5">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65.412855284158979</v>
      </c>
      <c r="AS34" s="2">
        <f t="shared" ref="AS34:AV34" si="2">AS12 + AS23</f>
        <v>63.677204170979039</v>
      </c>
      <c r="AT34" s="2">
        <f t="shared" si="2"/>
        <v>49.844072931453283</v>
      </c>
      <c r="AU34" s="2">
        <f t="shared" si="2"/>
        <v>54.312753996183702</v>
      </c>
      <c r="AV34" s="2">
        <f t="shared" si="2"/>
        <v>46.376397963463958</v>
      </c>
      <c r="AW34" s="2"/>
    </row>
    <row r="35" spans="1:49" ht="15">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82.858730292659445</v>
      </c>
      <c r="AS35" s="2">
        <f t="shared" ref="AS35:AV35" si="4">AS13 + AS24</f>
        <v>83.584828256765448</v>
      </c>
      <c r="AT35" s="2">
        <f t="shared" si="4"/>
        <v>86.366141985874847</v>
      </c>
      <c r="AU35" s="2">
        <f t="shared" si="4"/>
        <v>85.177338580396111</v>
      </c>
      <c r="AV35" s="2">
        <f t="shared" si="4"/>
        <v>79.324371407546295</v>
      </c>
      <c r="AW35" s="2"/>
    </row>
    <row r="36" spans="1:49" ht="15">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34.27002236894262</v>
      </c>
      <c r="AS36" s="2">
        <f t="shared" ref="AS36:AV36" si="6">AS14 + AS25</f>
        <v>37.016002643574339</v>
      </c>
      <c r="AT36" s="2">
        <f t="shared" si="6"/>
        <v>41.670044284777767</v>
      </c>
      <c r="AU36" s="2">
        <f t="shared" si="6"/>
        <v>33.672447895197891</v>
      </c>
      <c r="AV36" s="2">
        <f t="shared" si="6"/>
        <v>32.843836677069824</v>
      </c>
      <c r="AW36" s="2"/>
    </row>
    <row r="37" spans="1:49" ht="15">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30.298566290673229</v>
      </c>
      <c r="AS37" s="2">
        <f t="shared" ref="AS37:AV37" si="8">AS15 + AS26</f>
        <v>30.431295465571665</v>
      </c>
      <c r="AT37" s="2">
        <f t="shared" si="8"/>
        <v>30.968676336131985</v>
      </c>
      <c r="AU37" s="2">
        <f t="shared" si="8"/>
        <v>30.891533363550852</v>
      </c>
      <c r="AV37" s="2">
        <f t="shared" si="8"/>
        <v>30.51944488203387</v>
      </c>
      <c r="AW37" s="2"/>
    </row>
    <row r="38" spans="1:49" ht="15">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9.2046200467140693</v>
      </c>
      <c r="AS38" s="2">
        <f t="shared" ref="AS38:AV38" si="10">AS16 + AS27</f>
        <v>9.7621375462041353</v>
      </c>
      <c r="AT38" s="2">
        <f t="shared" si="10"/>
        <v>8.6642081390200261</v>
      </c>
      <c r="AU38" s="2">
        <f t="shared" si="10"/>
        <v>8.7480551322431825</v>
      </c>
      <c r="AV38" s="2">
        <f t="shared" si="10"/>
        <v>8.6023222259318004</v>
      </c>
      <c r="AW38" s="2"/>
    </row>
    <row r="39" spans="1:49" ht="15">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15.73567396634663</v>
      </c>
      <c r="AS39" s="2">
        <f t="shared" ref="AS39:AV39" si="12">AS17 + AS28</f>
        <v>15.687983421177915</v>
      </c>
      <c r="AT39" s="2">
        <f t="shared" si="12"/>
        <v>15.129269248708894</v>
      </c>
      <c r="AU39" s="2">
        <f t="shared" si="12"/>
        <v>15.199450428346953</v>
      </c>
      <c r="AV39" s="2">
        <f t="shared" si="12"/>
        <v>15.0232803157853</v>
      </c>
      <c r="AW39" s="2"/>
    </row>
    <row r="40" spans="1:49" ht="15">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108.33297079816442</v>
      </c>
      <c r="AS40" s="2">
        <f t="shared" ref="AS40:AV40" si="14">AS18 + AS29</f>
        <v>106.82546303278437</v>
      </c>
      <c r="AT40" s="2">
        <f t="shared" si="14"/>
        <v>103.87898159918505</v>
      </c>
      <c r="AU40" s="2">
        <f t="shared" si="14"/>
        <v>104.98320972030045</v>
      </c>
      <c r="AV40" s="2">
        <f t="shared" si="14"/>
        <v>105.24109704162339</v>
      </c>
      <c r="AW40" s="2"/>
    </row>
    <row r="41" spans="1:49" ht="15">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346.11343904765943</v>
      </c>
      <c r="AS41" s="432">
        <f t="shared" ref="AS41:AV41" si="16">SUM(AS34:AS40)</f>
        <v>346.98491453705691</v>
      </c>
      <c r="AT41" s="432">
        <f t="shared" si="16"/>
        <v>336.52139452515183</v>
      </c>
      <c r="AU41" s="432">
        <f t="shared" si="16"/>
        <v>332.98478911621913</v>
      </c>
      <c r="AV41" s="432">
        <f t="shared" si="16"/>
        <v>317.93075051345443</v>
      </c>
      <c r="AW41" s="2"/>
    </row>
    <row r="42" spans="1:49" ht="15">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5">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5">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5">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5">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5">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5">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5">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5">
      <c r="E51" s="7" t="s">
        <v>125</v>
      </c>
      <c r="G51" s="2" t="s">
        <v>101</v>
      </c>
      <c r="AJ51" s="8"/>
      <c r="AK51" s="8"/>
      <c r="AL51" s="8"/>
      <c r="AM51" s="8"/>
      <c r="AN51" s="8"/>
      <c r="AO51" s="8"/>
      <c r="AP51" s="8"/>
      <c r="AQ51" s="9"/>
      <c r="AR51" s="8">
        <f>(InputSummary!AR61 *  AR$49 + AR12 *  (1-AR$49))</f>
        <v>31.236637819878418</v>
      </c>
      <c r="AS51" s="8">
        <f>(InputSummary!AS61 *  AS$49 + AS12 *  (1-AS$49))</f>
        <v>29.635922015249285</v>
      </c>
      <c r="AT51" s="8">
        <f>(InputSummary!AT61 *  AT$49 + AT12 *  (1-AT$49))</f>
        <v>36.587630807426294</v>
      </c>
      <c r="AU51" s="8">
        <f>(InputSummary!AU61 *  AU$49 + AU12 *  (1-AU$49))</f>
        <v>56.69662204742685</v>
      </c>
      <c r="AV51" s="8">
        <f>(InputSummary!AV61 *  AV$49 + AV12 *  (1-AV$49))</f>
        <v>51.664853729825033</v>
      </c>
    </row>
    <row r="52" spans="1:49" ht="15">
      <c r="E52" s="7" t="s">
        <v>127</v>
      </c>
      <c r="G52" s="2" t="s">
        <v>101</v>
      </c>
      <c r="AJ52" s="8"/>
      <c r="AK52" s="8"/>
      <c r="AL52" s="8"/>
      <c r="AM52" s="8"/>
      <c r="AN52" s="8"/>
      <c r="AO52" s="8"/>
      <c r="AP52" s="8"/>
      <c r="AQ52" s="9"/>
      <c r="AR52" s="8">
        <f>(InputSummary!AR62 *  AR$49 + AR13 *  (1-AR$49))</f>
        <v>72.335022153224955</v>
      </c>
      <c r="AS52" s="8">
        <f>(InputSummary!AS62 *  AS$49 + AS13 *  (1-AS$49))</f>
        <v>85.543382757655152</v>
      </c>
      <c r="AT52" s="8">
        <f>(InputSummary!AT62 *  AT$49 + AT13 *  (1-AT$49))</f>
        <v>87.616010802072608</v>
      </c>
      <c r="AU52" s="8">
        <f>(InputSummary!AU62 *  AU$49 + AU13 *  (1-AU$49))</f>
        <v>71.60824308700802</v>
      </c>
      <c r="AV52" s="8">
        <f>(InputSummary!AV62 *  AV$49 + AV13 *  (1-AV$49))</f>
        <v>54.950773498392557</v>
      </c>
    </row>
    <row r="53" spans="1:49" ht="15">
      <c r="E53" s="7" t="s">
        <v>129</v>
      </c>
      <c r="G53" s="2" t="s">
        <v>101</v>
      </c>
      <c r="AJ53" s="8"/>
      <c r="AK53" s="8"/>
      <c r="AL53" s="8"/>
      <c r="AM53" s="8"/>
      <c r="AN53" s="8"/>
      <c r="AO53" s="8"/>
      <c r="AP53" s="8"/>
      <c r="AQ53" s="9"/>
      <c r="AR53" s="8">
        <f>(InputSummary!AR63 *  AR$49 + AR14 *  (1-AR$49))</f>
        <v>19.88546090503149</v>
      </c>
      <c r="AS53" s="8">
        <f>(InputSummary!AS63 *  AS$49 + AS14 *  (1-AS$49))</f>
        <v>24.404737844552834</v>
      </c>
      <c r="AT53" s="8">
        <f>(InputSummary!AT63 *  AT$49 + AT14 *  (1-AT$49))</f>
        <v>38.270994741636599</v>
      </c>
      <c r="AU53" s="8">
        <f>(InputSummary!AU63 *  AU$49 + AU14 *  (1-AU$49))</f>
        <v>40.761394349118603</v>
      </c>
      <c r="AV53" s="8">
        <f>(InputSummary!AV63 *  AV$49 + AV14 *  (1-AV$49))</f>
        <v>34.422945364641564</v>
      </c>
    </row>
    <row r="54" spans="1:49" ht="15">
      <c r="E54" s="7" t="s">
        <v>131</v>
      </c>
      <c r="G54" s="2" t="s">
        <v>101</v>
      </c>
      <c r="AJ54" s="8"/>
      <c r="AK54" s="8"/>
      <c r="AL54" s="8"/>
      <c r="AM54" s="8"/>
      <c r="AN54" s="8"/>
      <c r="AO54" s="8"/>
      <c r="AP54" s="8"/>
      <c r="AQ54" s="9"/>
      <c r="AR54" s="8">
        <f>(InputSummary!AR64 *  AR$49 + AR15 *  (1-AR$49))</f>
        <v>36.06113658135861</v>
      </c>
      <c r="AS54" s="8">
        <f>(InputSummary!AS64 *  AS$49 + AS15 *  (1-AS$49))</f>
        <v>34.078615314716693</v>
      </c>
      <c r="AT54" s="8">
        <f>(InputSummary!AT64 *  AT$49 + AT15 *  (1-AT$49))</f>
        <v>30.69124844900864</v>
      </c>
      <c r="AU54" s="8">
        <f>(InputSummary!AU64 *  AU$49 + AU15 *  (1-AU$49))</f>
        <v>31.090644296999137</v>
      </c>
      <c r="AV54" s="8">
        <f>(InputSummary!AV64 *  AV$49 + AV15 *  (1-AV$49))</f>
        <v>31.088531643694072</v>
      </c>
    </row>
    <row r="55" spans="1:49" ht="15">
      <c r="E55" s="7" t="s">
        <v>133</v>
      </c>
      <c r="G55" s="2" t="s">
        <v>101</v>
      </c>
      <c r="AJ55" s="8"/>
      <c r="AK55" s="8"/>
      <c r="AL55" s="8"/>
      <c r="AM55" s="8"/>
      <c r="AN55" s="8"/>
      <c r="AO55" s="8"/>
      <c r="AP55" s="8"/>
      <c r="AQ55" s="9"/>
      <c r="AR55" s="8">
        <f>(InputSummary!AR65 *  AR$49 + AR16 *  (1-AR$49))</f>
        <v>10.049595231118609</v>
      </c>
      <c r="AS55" s="8">
        <f>(InputSummary!AS65 *  AS$49 + AS16 *  (1-AS$49))</f>
        <v>8.2284214767958339</v>
      </c>
      <c r="AT55" s="8">
        <f>(InputSummary!AT65 *  AT$49 + AT16 *  (1-AT$49))</f>
        <v>8.8650134193047538</v>
      </c>
      <c r="AU55" s="8">
        <f>(InputSummary!AU65 *  AU$49 + AU16 *  (1-AU$49))</f>
        <v>8.08202755824375</v>
      </c>
      <c r="AV55" s="8">
        <f>(InputSummary!AV65 *  AV$49 + AV16 *  (1-AV$49))</f>
        <v>7.6415943309170267</v>
      </c>
    </row>
    <row r="56" spans="1:49" ht="15">
      <c r="E56" s="7" t="s">
        <v>135</v>
      </c>
      <c r="G56" s="2" t="s">
        <v>101</v>
      </c>
      <c r="AJ56" s="8"/>
      <c r="AK56" s="8"/>
      <c r="AL56" s="8"/>
      <c r="AM56" s="8"/>
      <c r="AN56" s="8"/>
      <c r="AO56" s="8"/>
      <c r="AP56" s="8"/>
      <c r="AQ56" s="9"/>
      <c r="AR56" s="8">
        <f>(InputSummary!AR66 *  AR$49 + AR17 *  (1-AR$49))</f>
        <v>15.219918426431777</v>
      </c>
      <c r="AS56" s="8">
        <f>(InputSummary!AS66 *  AS$49 + AS17 *  (1-AS$49))</f>
        <v>16.362155466046204</v>
      </c>
      <c r="AT56" s="8">
        <f>(InputSummary!AT66 *  AT$49 + AT17 *  (1-AT$49))</f>
        <v>15.925880824661924</v>
      </c>
      <c r="AU56" s="8">
        <f>(InputSummary!AU66 *  AU$49 + AU17 *  (1-AU$49))</f>
        <v>14.680257351433436</v>
      </c>
      <c r="AV56" s="8">
        <f>(InputSummary!AV66 *  AV$49 + AV17 *  (1-AV$49))</f>
        <v>14.358105203328142</v>
      </c>
    </row>
    <row r="57" spans="1:49" ht="15">
      <c r="E57" s="7" t="s">
        <v>137</v>
      </c>
      <c r="G57" s="2" t="s">
        <v>101</v>
      </c>
      <c r="AJ57" s="8"/>
      <c r="AK57" s="8"/>
      <c r="AL57" s="8"/>
      <c r="AM57" s="8"/>
      <c r="AN57" s="8"/>
      <c r="AO57" s="8"/>
      <c r="AP57" s="8"/>
      <c r="AQ57" s="9"/>
      <c r="AR57" s="8">
        <f>(InputSummary!AR67 *  AR$49 + AR18 *  (1-AR$49))</f>
        <v>103.85668480214409</v>
      </c>
      <c r="AS57" s="8">
        <f>(InputSummary!AS67 *  AS$49 + AS18 *  (1-AS$49))</f>
        <v>110.96361749446942</v>
      </c>
      <c r="AT57" s="8">
        <f>(InputSummary!AT67 *  AT$49 + AT18 *  (1-AT$49))</f>
        <v>103.91376710279079</v>
      </c>
      <c r="AU57" s="8">
        <f>(InputSummary!AU67 *  AU$49 + AU18 *  (1-AU$49))</f>
        <v>98.295684351086408</v>
      </c>
      <c r="AV57" s="8">
        <f>(InputSummary!AV67 *  AV$49 + AV18 *  (1-AV$49))</f>
        <v>100.18498305463616</v>
      </c>
    </row>
    <row r="58" spans="1:49" ht="15">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288.64445591918798</v>
      </c>
      <c r="AS58" s="431">
        <f t="shared" si="17"/>
        <v>309.21685236948542</v>
      </c>
      <c r="AT58" s="431">
        <f t="shared" si="17"/>
        <v>321.87054614690157</v>
      </c>
      <c r="AU58" s="431">
        <f t="shared" si="17"/>
        <v>321.2148730413162</v>
      </c>
      <c r="AV58" s="431">
        <f t="shared" si="17"/>
        <v>294.31178682543458</v>
      </c>
      <c r="AW58" s="2"/>
    </row>
    <row r="59" spans="1:49" ht="15">
      <c r="E59" s="13"/>
      <c r="G59" s="2"/>
      <c r="AJ59" s="8"/>
      <c r="AK59" s="8"/>
      <c r="AL59" s="8"/>
      <c r="AM59" s="8"/>
      <c r="AN59" s="8"/>
      <c r="AO59" s="8"/>
      <c r="AP59" s="8"/>
      <c r="AQ59" s="9"/>
      <c r="AR59" s="379"/>
      <c r="AS59" s="379"/>
      <c r="AT59" s="379"/>
      <c r="AU59" s="379"/>
      <c r="AV59" s="379"/>
    </row>
    <row r="60" spans="1:49" ht="15">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5">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5">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5">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5">
      <c r="E64" s="7" t="s">
        <v>125</v>
      </c>
      <c r="G64" s="2" t="s">
        <v>101</v>
      </c>
      <c r="AJ64" s="8"/>
      <c r="AK64" s="8"/>
      <c r="AL64" s="8"/>
      <c r="AM64" s="8"/>
      <c r="AN64" s="8"/>
      <c r="AO64" s="8"/>
      <c r="AP64" s="8"/>
      <c r="AQ64" s="9"/>
      <c r="AR64" s="8">
        <f>((InputSummary!AR72)*  AR$62 + AR23 *  (1-AR$62))</f>
        <v>6.63755233785092</v>
      </c>
      <c r="AS64" s="8">
        <f>((InputSummary!AS72)*  AS$62 + AS23 *  (1-AS$62))</f>
        <v>7.7770900760626978</v>
      </c>
      <c r="AT64" s="8">
        <f>((InputSummary!AT72)*  AT$62 + AT23 *  (1-AT$62))</f>
        <v>12.745360405610239</v>
      </c>
      <c r="AU64" s="8">
        <f>((InputSummary!AU72)*  AU$62 + AU23 *  (1-AU$62))</f>
        <v>15.111970675332337</v>
      </c>
      <c r="AV64" s="8">
        <f>((InputSummary!AV72)*  AV$62 + AV23 *  (1-AV$62))</f>
        <v>17.119268176362233</v>
      </c>
    </row>
    <row r="65" spans="1:49" ht="15">
      <c r="E65" s="7" t="s">
        <v>127</v>
      </c>
      <c r="G65" s="2" t="s">
        <v>101</v>
      </c>
      <c r="AJ65" s="8"/>
      <c r="AK65" s="8"/>
      <c r="AL65" s="8"/>
      <c r="AM65" s="8"/>
      <c r="AN65" s="8"/>
      <c r="AO65" s="8"/>
      <c r="AP65" s="8"/>
      <c r="AQ65" s="9"/>
      <c r="AR65" s="8">
        <f>((InputSummary!AR73)*  AR$62 + AR24 *  (1-AR$62))</f>
        <v>1.9036369813958665</v>
      </c>
      <c r="AS65" s="8">
        <f>((InputSummary!AS73)*  AS$62 + AS24 *  (1-AS$62))</f>
        <v>1.1014507573536851</v>
      </c>
      <c r="AT65" s="8">
        <f>((InputSummary!AT73)*  AT$62 + AT24 *  (1-AT$62))</f>
        <v>4.2569191861587621</v>
      </c>
      <c r="AU65" s="8">
        <f>((InputSummary!AU73)*  AU$62 + AU24 *  (1-AU$62))</f>
        <v>2.6268348904316512</v>
      </c>
      <c r="AV65" s="8">
        <f>((InputSummary!AV73)*  AV$62 + AV24 *  (1-AV$62))</f>
        <v>1.7049314874453665</v>
      </c>
    </row>
    <row r="66" spans="1:49" ht="15">
      <c r="E66" s="7" t="s">
        <v>129</v>
      </c>
      <c r="G66" s="2" t="s">
        <v>101</v>
      </c>
      <c r="AJ66" s="8"/>
      <c r="AK66" s="8"/>
      <c r="AL66" s="8"/>
      <c r="AM66" s="8"/>
      <c r="AN66" s="8"/>
      <c r="AO66" s="8"/>
      <c r="AP66" s="8"/>
      <c r="AQ66" s="9"/>
      <c r="AR66" s="8">
        <f>((InputSummary!AR74)*  AR$62 + AR25 *  (1-AR$62))</f>
        <v>1.0037625801144436</v>
      </c>
      <c r="AS66" s="8">
        <f>((InputSummary!AS74)*  AS$62 + AS25 *  (1-AS$62))</f>
        <v>1.1908635693937715</v>
      </c>
      <c r="AT66" s="8">
        <f>((InputSummary!AT74)*  AT$62 + AT25 *  (1-AT$62))</f>
        <v>2.5444395151318777</v>
      </c>
      <c r="AU66" s="8">
        <f>((InputSummary!AU74)*  AU$62 + AU25 *  (1-AU$62))</f>
        <v>1.5972744321571826</v>
      </c>
      <c r="AV66" s="8">
        <f>((InputSummary!AV74)*  AV$62 + AV25 *  (1-AV$62))</f>
        <v>0.98481182187139571</v>
      </c>
    </row>
    <row r="67" spans="1:49" ht="15">
      <c r="E67" s="7" t="s">
        <v>131</v>
      </c>
      <c r="G67" s="2" t="s">
        <v>101</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5">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5">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5">
      <c r="E70" s="7" t="s">
        <v>137</v>
      </c>
      <c r="G70" s="2" t="s">
        <v>101</v>
      </c>
      <c r="AJ70" s="8"/>
      <c r="AK70" s="8"/>
      <c r="AL70" s="8"/>
      <c r="AM70" s="8"/>
      <c r="AN70" s="8"/>
      <c r="AO70" s="8"/>
      <c r="AP70" s="8"/>
      <c r="AQ70" s="9"/>
      <c r="AR70" s="8">
        <f>((InputSummary!AR78)*  AR$62 + AR29 *  (1-AR$62))</f>
        <v>1.107547719808528</v>
      </c>
      <c r="AS70" s="8">
        <f>((InputSummary!AS78)*  AS$62 + AS29 *  (1-AS$62))</f>
        <v>1.2722234740096301</v>
      </c>
      <c r="AT70" s="8">
        <f>((InputSummary!AT78)*  AT$62 + AT29 *  (1-AT$62))</f>
        <v>1.8604541326000643</v>
      </c>
      <c r="AU70" s="8">
        <f>((InputSummary!AU78)*  AU$62 + AU29 *  (1-AU$62))</f>
        <v>2.0525269440807827</v>
      </c>
      <c r="AV70" s="8">
        <f>((InputSummary!AV78)*  AV$62 + AV29 *  (1-AV$62))</f>
        <v>2.2899387640702318</v>
      </c>
    </row>
    <row r="71" spans="1:49" ht="15">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10.652499619169758</v>
      </c>
      <c r="AS71" s="431">
        <f t="shared" si="18"/>
        <v>11.341627876819784</v>
      </c>
      <c r="AT71" s="431">
        <f t="shared" si="18"/>
        <v>21.407173239500942</v>
      </c>
      <c r="AU71" s="431">
        <f t="shared" si="18"/>
        <v>21.388606942001953</v>
      </c>
      <c r="AV71" s="431">
        <f t="shared" si="18"/>
        <v>22.09895024974923</v>
      </c>
      <c r="AW71" s="2"/>
    </row>
    <row r="72" spans="1:49" ht="15">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5">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5">
      <c r="E74" s="13"/>
      <c r="G74" s="2"/>
      <c r="AJ74" s="8"/>
      <c r="AK74" s="8"/>
      <c r="AL74" s="8"/>
      <c r="AM74" s="8"/>
      <c r="AN74" s="8"/>
      <c r="AO74" s="8"/>
      <c r="AP74" s="8"/>
      <c r="AQ74" s="9"/>
      <c r="AR74" s="8"/>
      <c r="AS74" s="8"/>
      <c r="AT74" s="8"/>
      <c r="AU74" s="8"/>
      <c r="AV74" s="8"/>
    </row>
    <row r="75" spans="1:49" ht="15">
      <c r="E75" s="7" t="s">
        <v>815</v>
      </c>
      <c r="G75" s="2" t="s">
        <v>101</v>
      </c>
      <c r="AJ75" s="7"/>
      <c r="AK75" s="7"/>
      <c r="AL75" s="7"/>
      <c r="AM75" s="7"/>
      <c r="AN75" s="7"/>
      <c r="AO75" s="7"/>
      <c r="AP75" s="7"/>
      <c r="AQ75" s="65"/>
      <c r="AR75" s="7">
        <f>AR51+AR64</f>
        <v>37.874190157729338</v>
      </c>
      <c r="AS75" s="7">
        <f t="shared" ref="AS75:AV75" si="19">AS51+AS64</f>
        <v>37.413012091311984</v>
      </c>
      <c r="AT75" s="7">
        <f t="shared" si="19"/>
        <v>49.332991213036536</v>
      </c>
      <c r="AU75" s="7">
        <f t="shared" si="19"/>
        <v>71.808592722759187</v>
      </c>
      <c r="AV75" s="7">
        <f t="shared" si="19"/>
        <v>68.784121906187266</v>
      </c>
    </row>
    <row r="76" spans="1:49" ht="15">
      <c r="E76" s="7" t="s">
        <v>816</v>
      </c>
      <c r="G76" s="2" t="s">
        <v>101</v>
      </c>
      <c r="AJ76" s="7"/>
      <c r="AK76" s="7"/>
      <c r="AL76" s="7"/>
      <c r="AM76" s="7"/>
      <c r="AN76" s="7"/>
      <c r="AO76" s="7"/>
      <c r="AP76" s="7"/>
      <c r="AQ76" s="65"/>
      <c r="AR76" s="7">
        <f t="shared" ref="AR76" si="20">AR52+AR65</f>
        <v>74.238659134620818</v>
      </c>
      <c r="AS76" s="7">
        <f t="shared" ref="AS76:AV76" si="21">AS52+AS65</f>
        <v>86.644833515008841</v>
      </c>
      <c r="AT76" s="7">
        <f t="shared" si="21"/>
        <v>91.872929988231377</v>
      </c>
      <c r="AU76" s="7">
        <f t="shared" si="21"/>
        <v>74.235077977439673</v>
      </c>
      <c r="AV76" s="7">
        <f t="shared" si="21"/>
        <v>56.655704985837922</v>
      </c>
    </row>
    <row r="77" spans="1:49" ht="15">
      <c r="E77" s="7" t="s">
        <v>817</v>
      </c>
      <c r="G77" s="2" t="s">
        <v>101</v>
      </c>
      <c r="AJ77" s="7"/>
      <c r="AK77" s="7"/>
      <c r="AL77" s="7"/>
      <c r="AM77" s="7"/>
      <c r="AN77" s="7"/>
      <c r="AO77" s="7"/>
      <c r="AP77" s="7"/>
      <c r="AQ77" s="65"/>
      <c r="AR77" s="7">
        <f t="shared" ref="AR77" si="22">AR53+AR66</f>
        <v>20.889223485145934</v>
      </c>
      <c r="AS77" s="7">
        <f t="shared" ref="AS77:AV77" si="23">AS53+AS66</f>
        <v>25.595601413946603</v>
      </c>
      <c r="AT77" s="7">
        <f t="shared" si="23"/>
        <v>40.815434256768476</v>
      </c>
      <c r="AU77" s="7">
        <f t="shared" si="23"/>
        <v>42.358668781275789</v>
      </c>
      <c r="AV77" s="7">
        <f t="shared" si="23"/>
        <v>35.40775718651296</v>
      </c>
    </row>
    <row r="78" spans="1:49" ht="15">
      <c r="E78" s="7" t="s">
        <v>818</v>
      </c>
      <c r="G78" s="2" t="s">
        <v>101</v>
      </c>
      <c r="AJ78" s="7"/>
      <c r="AK78" s="7"/>
      <c r="AL78" s="7"/>
      <c r="AM78" s="7"/>
      <c r="AN78" s="7"/>
      <c r="AO78" s="7"/>
      <c r="AP78" s="7"/>
      <c r="AQ78" s="65"/>
      <c r="AR78" s="7">
        <f t="shared" ref="AR78" si="24">AR54+AR67</f>
        <v>36.06113658135861</v>
      </c>
      <c r="AS78" s="7">
        <f t="shared" ref="AS78:AV78" si="25">AS54+AS67</f>
        <v>34.078615314716693</v>
      </c>
      <c r="AT78" s="7">
        <f t="shared" si="25"/>
        <v>30.69124844900864</v>
      </c>
      <c r="AU78" s="7">
        <f t="shared" si="25"/>
        <v>31.090644296999137</v>
      </c>
      <c r="AV78" s="7">
        <f t="shared" si="25"/>
        <v>31.088531643694072</v>
      </c>
    </row>
    <row r="79" spans="1:49" ht="15">
      <c r="E79" s="7" t="s">
        <v>819</v>
      </c>
      <c r="G79" s="2" t="s">
        <v>101</v>
      </c>
      <c r="AJ79" s="7"/>
      <c r="AK79" s="7"/>
      <c r="AL79" s="7"/>
      <c r="AM79" s="7"/>
      <c r="AN79" s="7"/>
      <c r="AO79" s="7"/>
      <c r="AP79" s="7"/>
      <c r="AQ79" s="65"/>
      <c r="AR79" s="7">
        <f t="shared" ref="AR79" si="26">AR55+AR68</f>
        <v>10.049595231118609</v>
      </c>
      <c r="AS79" s="7">
        <f t="shared" ref="AS79:AV79" si="27">AS55+AS68</f>
        <v>8.2284214767958339</v>
      </c>
      <c r="AT79" s="7">
        <f t="shared" si="27"/>
        <v>8.8650134193047538</v>
      </c>
      <c r="AU79" s="7">
        <f t="shared" si="27"/>
        <v>8.08202755824375</v>
      </c>
      <c r="AV79" s="7">
        <f t="shared" si="27"/>
        <v>7.6415943309170267</v>
      </c>
    </row>
    <row r="80" spans="1:49" ht="15">
      <c r="E80" s="7" t="s">
        <v>820</v>
      </c>
      <c r="G80" s="2" t="s">
        <v>101</v>
      </c>
      <c r="AJ80" s="7"/>
      <c r="AK80" s="7"/>
      <c r="AL80" s="7"/>
      <c r="AM80" s="7"/>
      <c r="AN80" s="7"/>
      <c r="AO80" s="7"/>
      <c r="AP80" s="7"/>
      <c r="AQ80" s="65"/>
      <c r="AR80" s="7">
        <f t="shared" ref="AR80" si="28">AR56+AR69</f>
        <v>15.219918426431777</v>
      </c>
      <c r="AS80" s="7">
        <f t="shared" ref="AS80:AV80" si="29">AS56+AS69</f>
        <v>16.362155466046204</v>
      </c>
      <c r="AT80" s="7">
        <f t="shared" si="29"/>
        <v>15.925880824661924</v>
      </c>
      <c r="AU80" s="7">
        <f t="shared" si="29"/>
        <v>14.680257351433436</v>
      </c>
      <c r="AV80" s="7">
        <f t="shared" si="29"/>
        <v>14.358105203328142</v>
      </c>
    </row>
    <row r="81" spans="2:49" ht="15">
      <c r="E81" s="7" t="s">
        <v>821</v>
      </c>
      <c r="G81" s="2" t="s">
        <v>101</v>
      </c>
      <c r="AJ81" s="7"/>
      <c r="AK81" s="7"/>
      <c r="AL81" s="7"/>
      <c r="AM81" s="7"/>
      <c r="AN81" s="7"/>
      <c r="AO81" s="7"/>
      <c r="AP81" s="7"/>
      <c r="AQ81" s="65"/>
      <c r="AR81" s="7">
        <f t="shared" ref="AR81" si="30">AR57+AR70</f>
        <v>104.96423252195261</v>
      </c>
      <c r="AS81" s="7">
        <f t="shared" ref="AS81:AV81" si="31">AS57+AS70</f>
        <v>112.23584096847905</v>
      </c>
      <c r="AT81" s="7">
        <f t="shared" si="31"/>
        <v>105.77422123539085</v>
      </c>
      <c r="AU81" s="7">
        <f t="shared" si="31"/>
        <v>100.34821129516719</v>
      </c>
      <c r="AV81" s="7">
        <f t="shared" si="31"/>
        <v>102.47492181870639</v>
      </c>
    </row>
    <row r="82" spans="2:49" ht="15">
      <c r="E82" s="13" t="s">
        <v>822</v>
      </c>
      <c r="G82" s="2" t="s">
        <v>101</v>
      </c>
      <c r="AJ82" s="432"/>
      <c r="AK82" s="432"/>
      <c r="AL82" s="432"/>
      <c r="AM82" s="432"/>
      <c r="AN82" s="432"/>
      <c r="AO82" s="432"/>
      <c r="AP82" s="432"/>
      <c r="AQ82" s="534"/>
      <c r="AR82" s="432">
        <f t="shared" ref="AR82" si="32">SUM(AR75:AR81)</f>
        <v>299.29695553835768</v>
      </c>
      <c r="AS82" s="432">
        <f t="shared" ref="AS82:AV82" si="33">SUM(AS75:AS81)</f>
        <v>320.55848024630524</v>
      </c>
      <c r="AT82" s="432">
        <f t="shared" si="33"/>
        <v>343.27771938640257</v>
      </c>
      <c r="AU82" s="432">
        <f t="shared" si="33"/>
        <v>342.6034799833181</v>
      </c>
      <c r="AV82" s="432">
        <f t="shared" si="33"/>
        <v>316.41073707518376</v>
      </c>
    </row>
    <row r="83" spans="2:49" ht="15">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5">
      <c r="E84" s="13"/>
      <c r="AJ84" s="7"/>
      <c r="AK84" s="7"/>
      <c r="AL84" s="7"/>
      <c r="AM84" s="7"/>
      <c r="AN84" s="7"/>
      <c r="AO84" s="7"/>
      <c r="AP84" s="7"/>
      <c r="AQ84" s="7"/>
      <c r="AR84" s="7"/>
      <c r="AS84" s="7"/>
      <c r="AT84" s="7"/>
      <c r="AU84" s="7"/>
      <c r="AV84" s="7"/>
      <c r="AW84" s="7"/>
    </row>
    <row r="85" spans="2:49" ht="15">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434" priority="6" operator="equal">
      <formula>FALSE()</formula>
    </cfRule>
  </conditionalFormatting>
  <conditionalFormatting sqref="AM3">
    <cfRule type="expression" dxfId="433"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142875</xdr:colOff>
                    <xdr:row>0</xdr:row>
                    <xdr:rowOff>28575</xdr:rowOff>
                  </from>
                  <to>
                    <xdr:col>7</xdr:col>
                    <xdr:colOff>161925</xdr:colOff>
                    <xdr:row>0</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49" activePane="bottomRight" state="frozen"/>
      <selection pane="topRight" activeCell="K1" sqref="K1"/>
      <selection pane="bottomLeft" activeCell="A5" sqref="A5"/>
      <selection pane="bottomRight" activeCell="I24" sqref="I24"/>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6"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5">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5">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288.64445591918798</v>
      </c>
      <c r="AS13" s="8">
        <f>Totex!AS58</f>
        <v>309.21685236948542</v>
      </c>
      <c r="AT13" s="8">
        <f>Totex!AT58</f>
        <v>321.87054614690157</v>
      </c>
      <c r="AU13" s="8">
        <f>Totex!AU58</f>
        <v>321.2148730413162</v>
      </c>
      <c r="AV13" s="8">
        <f>Totex!AV58</f>
        <v>294.31178682543458</v>
      </c>
      <c r="AW13" s="2"/>
    </row>
    <row r="14" spans="1:49" ht="15">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-333.12099026752406</v>
      </c>
      <c r="AS14" s="8">
        <f>- Totex!AS19</f>
        <v>-330.6015251907657</v>
      </c>
      <c r="AT14" s="8">
        <f>- Totex!AT19</f>
        <v>-314.81803492883171</v>
      </c>
      <c r="AU14" s="8">
        <f>- Totex!AU19</f>
        <v>-311.43258417989961</v>
      </c>
      <c r="AV14" s="8">
        <f>- Totex!AV19</f>
        <v>-293.75492926001169</v>
      </c>
      <c r="AW14" s="2"/>
    </row>
    <row r="15" spans="1:49" ht="15">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-44.476534348336088</v>
      </c>
      <c r="AS15" s="432">
        <f t="shared" si="0"/>
        <v>-21.384672821280276</v>
      </c>
      <c r="AT15" s="432">
        <f t="shared" si="0"/>
        <v>7.052511218069867</v>
      </c>
      <c r="AU15" s="432">
        <f t="shared" si="0"/>
        <v>9.782288861416589</v>
      </c>
      <c r="AV15" s="432">
        <f t="shared" si="0"/>
        <v>0.556857565422888</v>
      </c>
      <c r="AW15" s="2"/>
    </row>
    <row r="16" spans="1:49" ht="15">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5">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5">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-22.238267174168044</v>
      </c>
      <c r="AS19" s="464">
        <f t="shared" si="2"/>
        <v>-10.692336410640138</v>
      </c>
      <c r="AT19" s="464">
        <f t="shared" si="2"/>
        <v>3.5262556090349335</v>
      </c>
      <c r="AU19" s="464">
        <f t="shared" si="2"/>
        <v>4.8911444307082945</v>
      </c>
      <c r="AV19" s="464">
        <f t="shared" si="2"/>
        <v>0.278428782711444</v>
      </c>
      <c r="AW19" s="2"/>
    </row>
    <row r="20" spans="1:49" ht="15">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5">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5">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5">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5">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10.652499619169758</v>
      </c>
      <c r="AS26" s="8">
        <f>Totex!AS71</f>
        <v>11.341627876819784</v>
      </c>
      <c r="AT26" s="8">
        <f>Totex!AT71</f>
        <v>21.407173239500942</v>
      </c>
      <c r="AU26" s="8">
        <f>Totex!AU71</f>
        <v>21.388606942001953</v>
      </c>
      <c r="AV26" s="8">
        <f>Totex!AV71</f>
        <v>22.09895024974923</v>
      </c>
      <c r="AW26" s="2"/>
    </row>
    <row r="27" spans="1:49" ht="15">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-12.992448780135328</v>
      </c>
      <c r="AS27" s="8">
        <f>- Totex!AS30</f>
        <v>-16.383389346291192</v>
      </c>
      <c r="AT27" s="8">
        <f>- Totex!AT30</f>
        <v>-21.703359596320173</v>
      </c>
      <c r="AU27" s="8">
        <f>- Totex!AU30</f>
        <v>-21.552204936319576</v>
      </c>
      <c r="AV27" s="8">
        <f>- Totex!AV30</f>
        <v>-24.175821253442781</v>
      </c>
      <c r="AW27" s="2"/>
    </row>
    <row r="28" spans="1:49" ht="15">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-2.3399491609655705</v>
      </c>
      <c r="AS28" s="432">
        <f t="shared" si="3"/>
        <v>-5.0417614694714086</v>
      </c>
      <c r="AT28" s="432">
        <f t="shared" si="3"/>
        <v>-0.29618635681923067</v>
      </c>
      <c r="AU28" s="432">
        <f t="shared" si="3"/>
        <v>-0.16359799431762312</v>
      </c>
      <c r="AV28" s="432">
        <f t="shared" si="3"/>
        <v>-2.0768710036935509</v>
      </c>
      <c r="AW28" s="2"/>
    </row>
    <row r="29" spans="1:49" ht="15">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5">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5">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5">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-1.1699745804827852</v>
      </c>
      <c r="AS32" s="537">
        <f t="shared" si="5"/>
        <v>-2.5208807347357043</v>
      </c>
      <c r="AT32" s="537">
        <f t="shared" si="5"/>
        <v>-0.14809317840961533</v>
      </c>
      <c r="AU32" s="537">
        <f t="shared" si="5"/>
        <v>-8.1798997158811559E-2</v>
      </c>
      <c r="AV32" s="537">
        <f t="shared" si="5"/>
        <v>-1.0384355018467755</v>
      </c>
      <c r="AW32" s="2"/>
    </row>
    <row r="33" spans="1:49" ht="15">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5">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5">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5">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333.12099026752406</v>
      </c>
      <c r="AS38" s="2">
        <f>-AS14</f>
        <v>330.6015251907657</v>
      </c>
      <c r="AT38" s="2">
        <f>-AT14</f>
        <v>314.81803492883171</v>
      </c>
      <c r="AU38" s="2">
        <f>-AU14</f>
        <v>311.43258417989961</v>
      </c>
      <c r="AV38" s="2">
        <f>-AV14</f>
        <v>293.75492926001169</v>
      </c>
      <c r="AW38" s="2"/>
    </row>
    <row r="39" spans="1:49" ht="15">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-22.238267174168044</v>
      </c>
      <c r="AS39" s="2">
        <f>AS19</f>
        <v>-10.692336410640138</v>
      </c>
      <c r="AT39" s="2">
        <f>AT19</f>
        <v>3.5262556090349335</v>
      </c>
      <c r="AU39" s="2">
        <f>AU19</f>
        <v>4.8911444307082945</v>
      </c>
      <c r="AV39" s="2">
        <f>AV19</f>
        <v>0.278428782711444</v>
      </c>
      <c r="AW39" s="2"/>
    </row>
    <row r="40" spans="1:49" ht="15">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310.88272309335605</v>
      </c>
      <c r="AS40" s="432">
        <f t="shared" si="6"/>
        <v>319.90918878012553</v>
      </c>
      <c r="AT40" s="432">
        <f t="shared" si="6"/>
        <v>318.34429053786664</v>
      </c>
      <c r="AU40" s="432">
        <f t="shared" si="6"/>
        <v>316.32372861060787</v>
      </c>
      <c r="AV40" s="432">
        <f t="shared" si="6"/>
        <v>294.03335804272314</v>
      </c>
      <c r="AW40" s="2"/>
    </row>
    <row r="41" spans="1:49" ht="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5">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5">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12.992448780135328</v>
      </c>
      <c r="AS44" s="2">
        <f>-AS27</f>
        <v>16.383389346291192</v>
      </c>
      <c r="AT44" s="2">
        <f>-AT27</f>
        <v>21.703359596320173</v>
      </c>
      <c r="AU44" s="2">
        <f>-AU27</f>
        <v>21.552204936319576</v>
      </c>
      <c r="AV44" s="2">
        <f>-AV27</f>
        <v>24.175821253442781</v>
      </c>
      <c r="AW44" s="2"/>
    </row>
    <row r="45" spans="1:49" ht="15">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-1.1699745804827852</v>
      </c>
      <c r="AS45" s="2">
        <f>AS32</f>
        <v>-2.5208807347357043</v>
      </c>
      <c r="AT45" s="2">
        <f>AT32</f>
        <v>-0.14809317840961533</v>
      </c>
      <c r="AU45" s="2">
        <f>AU32</f>
        <v>-8.1798997158811559E-2</v>
      </c>
      <c r="AV45" s="2">
        <f>AV32</f>
        <v>-1.0384355018467755</v>
      </c>
      <c r="AW45" s="2"/>
    </row>
    <row r="46" spans="1:49" ht="15">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11.822474199652543</v>
      </c>
      <c r="AS46" s="432">
        <f t="shared" si="7"/>
        <v>13.862508611555487</v>
      </c>
      <c r="AT46" s="432">
        <f t="shared" si="7"/>
        <v>21.555266417910559</v>
      </c>
      <c r="AU46" s="432">
        <f t="shared" si="7"/>
        <v>21.470405939160763</v>
      </c>
      <c r="AV46" s="432">
        <f t="shared" si="7"/>
        <v>23.137385751596007</v>
      </c>
      <c r="AW46" s="2"/>
    </row>
    <row r="47" spans="1:49" ht="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5">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5">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5">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310.88272309335605</v>
      </c>
      <c r="AS52" s="2">
        <f>AS40</f>
        <v>319.90918878012553</v>
      </c>
      <c r="AT52" s="2">
        <f>AT40</f>
        <v>318.34429053786664</v>
      </c>
      <c r="AU52" s="2">
        <f>AU40</f>
        <v>316.32372861060787</v>
      </c>
      <c r="AV52" s="2">
        <f>AV40</f>
        <v>294.03335804272314</v>
      </c>
      <c r="AW52" s="2"/>
    </row>
    <row r="53" spans="1:49" ht="15">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0.78</v>
      </c>
      <c r="AS53" s="201">
        <f>InputSummary!AS209</f>
        <v>0.78</v>
      </c>
      <c r="AT53" s="201">
        <f>InputSummary!AT209</f>
        <v>0.78</v>
      </c>
      <c r="AU53" s="201">
        <f>InputSummary!AU209</f>
        <v>0.78</v>
      </c>
      <c r="AV53" s="201">
        <f>InputSummary!AV209</f>
        <v>0.78</v>
      </c>
      <c r="AW53" s="2"/>
    </row>
    <row r="54" spans="1:49" ht="15">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68.394199080538328</v>
      </c>
      <c r="AS54" s="432">
        <f t="shared" si="8"/>
        <v>70.380021531627605</v>
      </c>
      <c r="AT54" s="432">
        <f t="shared" si="8"/>
        <v>70.035743918330652</v>
      </c>
      <c r="AU54" s="432">
        <f t="shared" si="8"/>
        <v>69.591220294333723</v>
      </c>
      <c r="AV54" s="432">
        <f t="shared" si="8"/>
        <v>64.687338769399076</v>
      </c>
      <c r="AW54" s="2"/>
    </row>
    <row r="55" spans="1:49" ht="15">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242.48852401281772</v>
      </c>
      <c r="AS55" s="2">
        <f t="shared" si="9"/>
        <v>249.52916724849791</v>
      </c>
      <c r="AT55" s="2">
        <f t="shared" si="9"/>
        <v>248.30854661953597</v>
      </c>
      <c r="AU55" s="2">
        <f t="shared" si="9"/>
        <v>246.73250831627414</v>
      </c>
      <c r="AV55" s="2">
        <f t="shared" si="9"/>
        <v>229.34601927332406</v>
      </c>
      <c r="AW55" s="2"/>
    </row>
    <row r="56" spans="1:49" ht="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5">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5">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11.822474199652543</v>
      </c>
      <c r="AS59" s="2">
        <f>AS46</f>
        <v>13.862508611555487</v>
      </c>
      <c r="AT59" s="2">
        <f>AT46</f>
        <v>21.555266417910559</v>
      </c>
      <c r="AU59" s="2">
        <f>AU46</f>
        <v>21.470405939160763</v>
      </c>
      <c r="AV59" s="2">
        <f>AV46</f>
        <v>23.137385751596007</v>
      </c>
      <c r="AW59" s="2"/>
    </row>
    <row r="60" spans="1:49" ht="15">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5">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1.7733711299478818</v>
      </c>
      <c r="AS61" s="432">
        <f t="shared" si="10"/>
        <v>2.0793762917333232</v>
      </c>
      <c r="AT61" s="432">
        <f t="shared" si="10"/>
        <v>3.2332899626865843</v>
      </c>
      <c r="AU61" s="432">
        <f t="shared" si="10"/>
        <v>3.2205608908741148</v>
      </c>
      <c r="AV61" s="432">
        <f t="shared" si="10"/>
        <v>3.4706078627394015</v>
      </c>
      <c r="AW61" s="2"/>
    </row>
    <row r="62" spans="1:49" ht="15">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10.049103069704662</v>
      </c>
      <c r="AS62" s="2">
        <f t="shared" si="11"/>
        <v>11.783132319822164</v>
      </c>
      <c r="AT62" s="2">
        <f t="shared" si="11"/>
        <v>18.321976455223975</v>
      </c>
      <c r="AU62" s="2">
        <f t="shared" si="11"/>
        <v>18.249845048286648</v>
      </c>
      <c r="AV62" s="2">
        <f t="shared" si="11"/>
        <v>19.666777888856604</v>
      </c>
      <c r="AW62" s="2"/>
    </row>
    <row r="63" spans="1:49" ht="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5">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5">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70.167570210486204</v>
      </c>
      <c r="AS66" s="538">
        <f t="shared" ref="AS66:AV66" si="12">AS54+AS61</f>
        <v>72.459397823360931</v>
      </c>
      <c r="AT66" s="538">
        <f t="shared" si="12"/>
        <v>73.269033881017236</v>
      </c>
      <c r="AU66" s="538">
        <f t="shared" si="12"/>
        <v>72.811781185207835</v>
      </c>
      <c r="AV66" s="538">
        <f t="shared" si="12"/>
        <v>68.157946632138476</v>
      </c>
    </row>
    <row r="67" spans="1:49">
      <c r="AQ67" s="220"/>
    </row>
    <row r="68" spans="1:49" ht="15">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252.53762708252239</v>
      </c>
      <c r="AS68" s="538">
        <f t="shared" ref="AS68:AV68" si="13">AS55+AS62</f>
        <v>261.3122995683201</v>
      </c>
      <c r="AT68" s="538">
        <f t="shared" si="13"/>
        <v>266.63052307475994</v>
      </c>
      <c r="AU68" s="538">
        <f t="shared" si="13"/>
        <v>264.98235336456077</v>
      </c>
      <c r="AV68" s="538">
        <f t="shared" si="13"/>
        <v>249.01279716218068</v>
      </c>
    </row>
    <row r="69" spans="1:49" ht="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5">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0.78256448672323131</v>
      </c>
      <c r="AS70" s="304">
        <f t="shared" si="14"/>
        <v>0.782907303436427</v>
      </c>
      <c r="AT70" s="304">
        <f t="shared" si="14"/>
        <v>0.78443916038834405</v>
      </c>
      <c r="AU70" s="304">
        <f t="shared" si="14"/>
        <v>0.78444924367246471</v>
      </c>
      <c r="AV70" s="304">
        <f t="shared" si="14"/>
        <v>0.78510645144390123</v>
      </c>
      <c r="AW70" s="72"/>
    </row>
    <row r="71" spans="1:49" ht="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5">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5">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5">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5">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1.38</v>
      </c>
      <c r="AS76" s="30">
        <f>InputSummary!AS113</f>
        <v>0</v>
      </c>
      <c r="AT76" s="30">
        <f>InputSummary!AT113</f>
        <v>0</v>
      </c>
      <c r="AU76" s="30">
        <f>InputSummary!AU113</f>
        <v>0</v>
      </c>
      <c r="AV76" s="30">
        <f>InputSummary!AV113</f>
        <v>0</v>
      </c>
      <c r="AW76" s="7"/>
    </row>
    <row r="77" spans="1:49" ht="1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5">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5">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43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Row="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0" width="9.625" hidden="1" customWidth="1" outlineLevel="1"/>
    <col min="31" max="31" width="12.625" hidden="1" customWidth="1" outlineLevel="1"/>
    <col min="32" max="35" width="9.625" hidden="1" customWidth="1" outlineLevel="1"/>
    <col min="36" max="48" width="9.625" customWidth="1"/>
    <col min="49" max="49" width="3" customWidth="1"/>
    <col min="50" max="53" width="9" hidden="1" customWidth="1"/>
    <col min="54" max="54" width="10.75" hidden="1" customWidth="1"/>
    <col min="55" max="99" width="0" hidden="1" customWidth="1"/>
    <col min="100" max="103" width="9" hidden="1" customWidth="1"/>
    <col min="104" max="104" width="10.75" hidden="1" customWidth="1"/>
    <col min="105" max="16384" width="9" hidden="1"/>
  </cols>
  <sheetData>
    <row r="1" spans="1:49" ht="19.5">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5">
      <c r="A11" s="2"/>
      <c r="B11" s="2"/>
      <c r="C11" s="2"/>
      <c r="D11" s="2"/>
      <c r="E11" s="2" t="s">
        <v>277</v>
      </c>
      <c r="F11" s="2"/>
      <c r="G11" s="2" t="s">
        <v>278</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5">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5">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5">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5">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5">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5">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5">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5">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5">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56" t="s">
        <v>853</v>
      </c>
      <c r="F24" s="7"/>
      <c r="G24" s="2" t="s">
        <v>101</v>
      </c>
      <c r="H24" s="7"/>
      <c r="I24" s="7"/>
      <c r="J24" s="2"/>
      <c r="K24" s="8">
        <f>InputSummary!K229 + InputSummary!K231</f>
        <v>48.901715904916827</v>
      </c>
      <c r="L24" s="8">
        <f>InputSummary!L229 + InputSummary!L231</f>
        <v>162.07955082122055</v>
      </c>
      <c r="M24" s="8">
        <f>InputSummary!M229 + InputSummary!M231</f>
        <v>158.74534291861255</v>
      </c>
      <c r="N24" s="8">
        <f>InputSummary!N229 + InputSummary!N231</f>
        <v>174.86068111455111</v>
      </c>
      <c r="O24" s="8">
        <f>InputSummary!O229 + InputSummary!O231</f>
        <v>104.65708138741668</v>
      </c>
      <c r="P24" s="8">
        <f>InputSummary!P229 + InputSummary!P231</f>
        <v>107.62082174529043</v>
      </c>
      <c r="Q24" s="8">
        <f>InputSummary!Q229 + InputSummary!Q231</f>
        <v>116.32680904654455</v>
      </c>
      <c r="R24" s="8">
        <f>InputSummary!R229 + InputSummary!R231</f>
        <v>139.11056304769897</v>
      </c>
      <c r="S24" s="8">
        <f>InputSummary!S229 + InputSummary!S231</f>
        <v>135.05514025886723</v>
      </c>
      <c r="T24" s="8">
        <f>InputSummary!T229 + InputSummary!T231</f>
        <v>134.39535116721777</v>
      </c>
      <c r="U24" s="8">
        <f>InputSummary!U229 + InputSummary!U231</f>
        <v>164.49751921393135</v>
      </c>
      <c r="V24" s="8">
        <f>InputSummary!V229 + InputSummary!V231</f>
        <v>101.17133956386293</v>
      </c>
      <c r="W24" s="8">
        <f>InputSummary!W229 + InputSummary!W231</f>
        <v>120.63821117601886</v>
      </c>
      <c r="X24" s="8">
        <f>InputSummary!X229 + InputSummary!X231</f>
        <v>133.80371740421066</v>
      </c>
      <c r="Y24" s="8">
        <f>InputSummary!Y229 + InputSummary!Y231</f>
        <v>127.56180274321524</v>
      </c>
      <c r="Z24" s="8">
        <f>InputSummary!Z229 + InputSummary!Z231</f>
        <v>163.60508585078944</v>
      </c>
      <c r="AA24" s="8">
        <f>InputSummary!AA229 + InputSummary!AA231</f>
        <v>171.96228106127285</v>
      </c>
      <c r="AB24" s="8">
        <f>InputSummary!AB229 + InputSummary!AB231</f>
        <v>216.89661349580709</v>
      </c>
      <c r="AC24" s="8">
        <f>InputSummary!AC229 + InputSummary!AC231</f>
        <v>241.45999844804848</v>
      </c>
      <c r="AD24" s="8">
        <f>InputSummary!AD229 + InputSummary!AD231</f>
        <v>197.02058631036226</v>
      </c>
      <c r="AE24" s="8">
        <f>InputSummary!AE229 + InputSummary!AE231</f>
        <v>203.50475801997527</v>
      </c>
      <c r="AF24" s="8">
        <f>InputSummary!AF229 + InputSummary!AF231</f>
        <v>219.29651147851237</v>
      </c>
      <c r="AG24" s="8">
        <f>InputSummary!AG229 + InputSummary!AG231</f>
        <v>277.11848278310407</v>
      </c>
      <c r="AH24" s="8">
        <f>InputSummary!AH229 + InputSummary!AH231</f>
        <v>299.82719815476685</v>
      </c>
      <c r="AI24" s="8">
        <f>InputSummary!AI229 + InputSummary!AI231</f>
        <v>337.1415659939239</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5">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275.85721384821414</v>
      </c>
      <c r="AK25" s="8">
        <f>InputSummary!AK235</f>
        <v>272.70181302214843</v>
      </c>
      <c r="AL25" s="8">
        <f>InputSummary!AL235</f>
        <v>241.01129795964931</v>
      </c>
      <c r="AM25" s="8">
        <f>InputSummary!AM235</f>
        <v>237.25023725301742</v>
      </c>
      <c r="AN25" s="8">
        <f>InputSummary!AN235</f>
        <v>239.64874952851514</v>
      </c>
      <c r="AO25" s="8">
        <f>InputSummary!AO235</f>
        <v>246.7827966131006</v>
      </c>
      <c r="AP25" s="8">
        <f>InputSummary!AP235</f>
        <v>255.54351652286735</v>
      </c>
      <c r="AQ25" s="9">
        <f>InputSummary!AQ235</f>
        <v>254.64074687135479</v>
      </c>
      <c r="AR25" s="8">
        <f>InputSummary!AR235</f>
        <v>0</v>
      </c>
      <c r="AS25" s="8">
        <f>InputSummary!AS235</f>
        <v>0</v>
      </c>
      <c r="AT25" s="8">
        <f>InputSummary!AT235</f>
        <v>0</v>
      </c>
      <c r="AU25" s="8">
        <f>InputSummary!AU235</f>
        <v>0</v>
      </c>
      <c r="AV25" s="8">
        <f>InputSummary!AV235</f>
        <v>0</v>
      </c>
      <c r="AW25" s="2"/>
    </row>
    <row r="26" spans="1:49" ht="15">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252.53762708252239</v>
      </c>
      <c r="AS26" s="8">
        <f>TIM!AS68*AS16</f>
        <v>261.3122995683201</v>
      </c>
      <c r="AT26" s="8">
        <f>TIM!AT68*AT16</f>
        <v>266.63052307475994</v>
      </c>
      <c r="AU26" s="8">
        <f>TIM!AU68*AU16</f>
        <v>264.98235336456077</v>
      </c>
      <c r="AV26" s="8">
        <f>TIM!AV68*AV16</f>
        <v>249.01279716218068</v>
      </c>
      <c r="AW26" s="2"/>
    </row>
    <row r="27" spans="1:49" ht="15">
      <c r="A27" s="2"/>
      <c r="B27" s="2"/>
      <c r="C27" s="2"/>
      <c r="D27" s="2"/>
      <c r="E27" s="56" t="s">
        <v>856</v>
      </c>
      <c r="F27" s="7"/>
      <c r="G27" s="2" t="s">
        <v>101</v>
      </c>
      <c r="H27" s="7"/>
      <c r="I27" s="7"/>
      <c r="J27" s="2"/>
      <c r="K27" s="432">
        <f t="shared" ref="K27:L27" si="2">SUM(K24:K26)</f>
        <v>48.901715904916827</v>
      </c>
      <c r="L27" s="432">
        <f t="shared" si="2"/>
        <v>162.07955082122055</v>
      </c>
      <c r="M27" s="432">
        <f t="shared" ref="M27" si="3">SUM(M24:M26)</f>
        <v>158.74534291861255</v>
      </c>
      <c r="N27" s="432">
        <f t="shared" ref="N27" si="4">SUM(N24:N26)</f>
        <v>174.86068111455111</v>
      </c>
      <c r="O27" s="432">
        <f t="shared" ref="O27" si="5">SUM(O24:O26)</f>
        <v>104.65708138741668</v>
      </c>
      <c r="P27" s="432">
        <f t="shared" ref="P27" si="6">SUM(P24:P26)</f>
        <v>107.62082174529043</v>
      </c>
      <c r="Q27" s="432">
        <f t="shared" ref="Q27" si="7">SUM(Q24:Q26)</f>
        <v>116.32680904654455</v>
      </c>
      <c r="R27" s="432">
        <f t="shared" ref="R27" si="8">SUM(R24:R26)</f>
        <v>139.11056304769897</v>
      </c>
      <c r="S27" s="432">
        <f t="shared" ref="S27" si="9">SUM(S24:S26)</f>
        <v>135.05514025886723</v>
      </c>
      <c r="T27" s="432">
        <f t="shared" ref="T27" si="10">SUM(T24:T26)</f>
        <v>134.39535116721777</v>
      </c>
      <c r="U27" s="432">
        <f t="shared" ref="U27" si="11">SUM(U24:U26)</f>
        <v>164.49751921393135</v>
      </c>
      <c r="V27" s="432">
        <f t="shared" ref="V27" si="12">SUM(V24:V26)</f>
        <v>101.17133956386293</v>
      </c>
      <c r="W27" s="432">
        <f t="shared" ref="W27" si="13">SUM(W24:W26)</f>
        <v>120.63821117601886</v>
      </c>
      <c r="X27" s="432">
        <f t="shared" ref="X27" si="14">SUM(X24:X26)</f>
        <v>133.80371740421066</v>
      </c>
      <c r="Y27" s="432">
        <f t="shared" ref="Y27" si="15">SUM(Y24:Y26)</f>
        <v>127.56180274321524</v>
      </c>
      <c r="Z27" s="432">
        <f t="shared" ref="Z27" si="16">SUM(Z24:Z26)</f>
        <v>163.60508585078944</v>
      </c>
      <c r="AA27" s="432">
        <f t="shared" ref="AA27" si="17">SUM(AA24:AA26)</f>
        <v>171.96228106127285</v>
      </c>
      <c r="AB27" s="432">
        <f t="shared" ref="AB27" si="18">SUM(AB24:AB26)</f>
        <v>216.89661349580709</v>
      </c>
      <c r="AC27" s="432">
        <f t="shared" ref="AC27" si="19">SUM(AC24:AC26)</f>
        <v>241.45999844804848</v>
      </c>
      <c r="AD27" s="432">
        <f t="shared" ref="AD27" si="20">SUM(AD24:AD26)</f>
        <v>197.02058631036226</v>
      </c>
      <c r="AE27" s="432">
        <f t="shared" ref="AE27" si="21">SUM(AE24:AE26)</f>
        <v>203.50475801997527</v>
      </c>
      <c r="AF27" s="432">
        <f t="shared" ref="AF27" si="22">SUM(AF24:AF26)</f>
        <v>219.29651147851237</v>
      </c>
      <c r="AG27" s="432">
        <f t="shared" ref="AG27" si="23">SUM(AG24:AG26)</f>
        <v>277.11848278310407</v>
      </c>
      <c r="AH27" s="432">
        <f t="shared" ref="AH27" si="24">SUM(AH24:AH26)</f>
        <v>299.82719815476685</v>
      </c>
      <c r="AI27" s="432">
        <f t="shared" ref="AI27" si="25">SUM(AI24:AI26)</f>
        <v>337.1415659939239</v>
      </c>
      <c r="AJ27" s="432">
        <f>SUM(AJ24:AJ26)</f>
        <v>275.85721384821414</v>
      </c>
      <c r="AK27" s="432">
        <f t="shared" ref="AK27" si="26">SUM(AK24:AK26)</f>
        <v>272.70181302214843</v>
      </c>
      <c r="AL27" s="432">
        <f t="shared" ref="AL27" si="27">SUM(AL24:AL26)</f>
        <v>241.01129795964931</v>
      </c>
      <c r="AM27" s="432">
        <f t="shared" ref="AM27" si="28">SUM(AM24:AM26)</f>
        <v>237.25023725301742</v>
      </c>
      <c r="AN27" s="432">
        <f t="shared" ref="AN27" si="29">SUM(AN24:AN26)</f>
        <v>239.64874952851514</v>
      </c>
      <c r="AO27" s="432">
        <f t="shared" ref="AO27" si="30">SUM(AO24:AO26)</f>
        <v>246.7827966131006</v>
      </c>
      <c r="AP27" s="432">
        <f t="shared" ref="AP27" si="31">SUM(AP24:AP26)</f>
        <v>255.54351652286735</v>
      </c>
      <c r="AQ27" s="534">
        <f t="shared" ref="AQ27" si="32">SUM(AQ24:AQ26)</f>
        <v>254.64074687135479</v>
      </c>
      <c r="AR27" s="432">
        <f t="shared" ref="AR27" si="33">SUM(AR24:AR26)</f>
        <v>252.53762708252239</v>
      </c>
      <c r="AS27" s="432">
        <f t="shared" ref="AS27" si="34">SUM(AS24:AS26)</f>
        <v>261.3122995683201</v>
      </c>
      <c r="AT27" s="432">
        <f t="shared" ref="AT27:AV27" si="35">SUM(AT24:AT26)</f>
        <v>266.63052307475994</v>
      </c>
      <c r="AU27" s="432">
        <f t="shared" si="35"/>
        <v>264.98235336456077</v>
      </c>
      <c r="AV27" s="432">
        <f t="shared" si="35"/>
        <v>249.01279716218068</v>
      </c>
      <c r="AW27" s="2"/>
    </row>
    <row r="28" spans="1:49" ht="15">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5">
      <c r="A29" s="2"/>
      <c r="B29" s="2"/>
      <c r="C29" s="2"/>
      <c r="D29" s="2"/>
      <c r="E29" s="56" t="s">
        <v>857</v>
      </c>
      <c r="F29" s="7"/>
      <c r="G29" s="2" t="s">
        <v>101</v>
      </c>
      <c r="H29" s="7"/>
      <c r="I29" s="7"/>
      <c r="J29" s="2"/>
      <c r="K29" s="2">
        <f t="shared" ref="K29:AV29" si="36">K59</f>
        <v>0</v>
      </c>
      <c r="L29" s="2">
        <f t="shared" si="36"/>
        <v>1.4685199971446496</v>
      </c>
      <c r="M29" s="2">
        <f t="shared" si="36"/>
        <v>6.3357737755596819</v>
      </c>
      <c r="N29" s="2">
        <f t="shared" si="36"/>
        <v>11.102901190533032</v>
      </c>
      <c r="O29" s="2">
        <f t="shared" si="36"/>
        <v>16.353972695474507</v>
      </c>
      <c r="P29" s="2">
        <f t="shared" si="36"/>
        <v>19.496827992393928</v>
      </c>
      <c r="Q29" s="2">
        <f t="shared" si="36"/>
        <v>22.728684501261508</v>
      </c>
      <c r="R29" s="2">
        <f t="shared" si="36"/>
        <v>26.221982070226812</v>
      </c>
      <c r="S29" s="2">
        <f t="shared" si="36"/>
        <v>30.399476456043597</v>
      </c>
      <c r="T29" s="2">
        <f t="shared" si="36"/>
        <v>34.455186373727301</v>
      </c>
      <c r="U29" s="2">
        <f t="shared" si="36"/>
        <v>38.491082805175282</v>
      </c>
      <c r="V29" s="2">
        <f t="shared" si="36"/>
        <v>43.430948247035083</v>
      </c>
      <c r="W29" s="2">
        <f t="shared" si="36"/>
        <v>46.469126612316252</v>
      </c>
      <c r="X29" s="2">
        <f t="shared" si="36"/>
        <v>50.091895716701202</v>
      </c>
      <c r="Y29" s="2">
        <f t="shared" si="36"/>
        <v>54.110025368479299</v>
      </c>
      <c r="Z29" s="2">
        <f t="shared" si="36"/>
        <v>57.940710135542822</v>
      </c>
      <c r="AA29" s="2">
        <f t="shared" si="36"/>
        <v>125.00484205278585</v>
      </c>
      <c r="AB29" s="2">
        <f t="shared" si="36"/>
        <v>133.60295610584947</v>
      </c>
      <c r="AC29" s="2">
        <f t="shared" si="36"/>
        <v>144.44778678063983</v>
      </c>
      <c r="AD29" s="2">
        <f t="shared" si="36"/>
        <v>156.52078670304226</v>
      </c>
      <c r="AE29" s="2">
        <f t="shared" si="36"/>
        <v>166.37181601856037</v>
      </c>
      <c r="AF29" s="2">
        <f t="shared" si="36"/>
        <v>174.10196812431329</v>
      </c>
      <c r="AG29" s="2">
        <f t="shared" si="36"/>
        <v>176.96281615717783</v>
      </c>
      <c r="AH29" s="2">
        <f t="shared" si="36"/>
        <v>182.88147315040248</v>
      </c>
      <c r="AI29" s="2">
        <f>AI59</f>
        <v>189.12979900241336</v>
      </c>
      <c r="AJ29" s="2">
        <f t="shared" si="36"/>
        <v>200.75402323273869</v>
      </c>
      <c r="AK29" s="2">
        <f t="shared" si="36"/>
        <v>195.37298214547411</v>
      </c>
      <c r="AL29" s="2">
        <f t="shared" si="36"/>
        <v>189.5566416931469</v>
      </c>
      <c r="AM29" s="2">
        <f t="shared" si="36"/>
        <v>182.60111354076199</v>
      </c>
      <c r="AN29" s="2">
        <f t="shared" si="36"/>
        <v>175.84835652781857</v>
      </c>
      <c r="AO29" s="2">
        <f t="shared" si="36"/>
        <v>169.1285889694577</v>
      </c>
      <c r="AP29" s="2">
        <f t="shared" si="36"/>
        <v>140.55040762419353</v>
      </c>
      <c r="AQ29" s="57">
        <f>AQ59</f>
        <v>135.49184064600036</v>
      </c>
      <c r="AR29" s="2">
        <f>AR59</f>
        <v>129.45993008719944</v>
      </c>
      <c r="AS29" s="2">
        <f t="shared" si="36"/>
        <v>122.76974421698891</v>
      </c>
      <c r="AT29" s="2">
        <f t="shared" si="36"/>
        <v>116.39165407982813</v>
      </c>
      <c r="AU29" s="2">
        <f t="shared" si="36"/>
        <v>108.21139978728866</v>
      </c>
      <c r="AV29" s="2">
        <f t="shared" si="36"/>
        <v>99.613285734224974</v>
      </c>
      <c r="AW29" s="2"/>
    </row>
    <row r="30" spans="1:49" ht="15">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11.928960598841693</v>
      </c>
      <c r="AL30" s="2">
        <f t="shared" si="38"/>
        <v>22.317601094923539</v>
      </c>
      <c r="AM30" s="2">
        <f t="shared" si="38"/>
        <v>30.522241025464794</v>
      </c>
      <c r="AN30" s="2">
        <f t="shared" si="38"/>
        <v>37.822248325557638</v>
      </c>
      <c r="AO30" s="2">
        <f t="shared" si="38"/>
        <v>44.549230768463325</v>
      </c>
      <c r="AP30" s="2">
        <f t="shared" si="38"/>
        <v>50.917819068156241</v>
      </c>
      <c r="AQ30" s="57">
        <f t="shared" si="38"/>
        <v>57.020350806015763</v>
      </c>
      <c r="AR30" s="2">
        <f t="shared" si="38"/>
        <v>62.679034069823651</v>
      </c>
      <c r="AS30" s="2">
        <f t="shared" si="38"/>
        <v>62.679034069823651</v>
      </c>
      <c r="AT30" s="2">
        <f t="shared" si="38"/>
        <v>62.679034069823651</v>
      </c>
      <c r="AU30" s="2">
        <f t="shared" si="38"/>
        <v>62.679034069823651</v>
      </c>
      <c r="AV30" s="2">
        <f t="shared" si="38"/>
        <v>62.679034069823651</v>
      </c>
      <c r="AW30" s="2"/>
    </row>
    <row r="31" spans="1:49" ht="15">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5.6119472685004981</v>
      </c>
      <c r="AT31" s="2">
        <f t="shared" si="40"/>
        <v>11.418887258907612</v>
      </c>
      <c r="AU31" s="2">
        <f t="shared" si="40"/>
        <v>17.344009993902276</v>
      </c>
      <c r="AV31" s="2">
        <f t="shared" si="40"/>
        <v>23.232506735336962</v>
      </c>
      <c r="AW31" s="2"/>
    </row>
    <row r="32" spans="1:49" ht="15">
      <c r="A32" s="2"/>
      <c r="B32" s="2"/>
      <c r="C32" s="2"/>
      <c r="D32" s="2"/>
      <c r="E32" s="56" t="s">
        <v>860</v>
      </c>
      <c r="F32" s="7"/>
      <c r="G32" s="2" t="s">
        <v>101</v>
      </c>
      <c r="H32" s="7"/>
      <c r="I32" s="7"/>
      <c r="J32" s="2"/>
      <c r="K32" s="464">
        <f t="shared" ref="K32:AV32" si="41">SUM(K29:K31)</f>
        <v>0</v>
      </c>
      <c r="L32" s="464">
        <f t="shared" si="41"/>
        <v>1.4685199971446496</v>
      </c>
      <c r="M32" s="464">
        <f t="shared" si="41"/>
        <v>6.3357737755596819</v>
      </c>
      <c r="N32" s="464">
        <f t="shared" si="41"/>
        <v>11.102901190533032</v>
      </c>
      <c r="O32" s="464">
        <f t="shared" si="41"/>
        <v>16.353972695474507</v>
      </c>
      <c r="P32" s="464">
        <f t="shared" si="41"/>
        <v>19.496827992393928</v>
      </c>
      <c r="Q32" s="464">
        <f t="shared" si="41"/>
        <v>22.728684501261508</v>
      </c>
      <c r="R32" s="464">
        <f t="shared" si="41"/>
        <v>26.221982070226812</v>
      </c>
      <c r="S32" s="464">
        <f t="shared" si="41"/>
        <v>30.399476456043597</v>
      </c>
      <c r="T32" s="464">
        <f t="shared" si="41"/>
        <v>34.455186373727301</v>
      </c>
      <c r="U32" s="464">
        <f t="shared" si="41"/>
        <v>38.491082805175282</v>
      </c>
      <c r="V32" s="464">
        <f t="shared" si="41"/>
        <v>43.430948247035083</v>
      </c>
      <c r="W32" s="464">
        <f t="shared" si="41"/>
        <v>46.469126612316252</v>
      </c>
      <c r="X32" s="464">
        <f t="shared" si="41"/>
        <v>50.091895716701202</v>
      </c>
      <c r="Y32" s="464">
        <f t="shared" si="41"/>
        <v>54.110025368479299</v>
      </c>
      <c r="Z32" s="464">
        <f t="shared" si="41"/>
        <v>57.940710135542822</v>
      </c>
      <c r="AA32" s="464">
        <f t="shared" si="41"/>
        <v>125.00484205278585</v>
      </c>
      <c r="AB32" s="464">
        <f t="shared" si="41"/>
        <v>133.60295610584947</v>
      </c>
      <c r="AC32" s="464">
        <f t="shared" si="41"/>
        <v>144.44778678063983</v>
      </c>
      <c r="AD32" s="464">
        <f t="shared" si="41"/>
        <v>156.52078670304226</v>
      </c>
      <c r="AE32" s="464">
        <f t="shared" si="41"/>
        <v>166.37181601856037</v>
      </c>
      <c r="AF32" s="464">
        <f t="shared" si="41"/>
        <v>174.10196812431329</v>
      </c>
      <c r="AG32" s="464">
        <f t="shared" si="41"/>
        <v>176.96281615717783</v>
      </c>
      <c r="AH32" s="464">
        <f t="shared" si="41"/>
        <v>182.88147315040248</v>
      </c>
      <c r="AI32" s="464">
        <f t="shared" si="41"/>
        <v>189.12979900241336</v>
      </c>
      <c r="AJ32" s="464">
        <f t="shared" si="41"/>
        <v>200.75402323273869</v>
      </c>
      <c r="AK32" s="464">
        <f t="shared" si="41"/>
        <v>207.3019427443158</v>
      </c>
      <c r="AL32" s="464">
        <f t="shared" si="41"/>
        <v>211.87424278807043</v>
      </c>
      <c r="AM32" s="464">
        <f t="shared" si="41"/>
        <v>213.12335456622679</v>
      </c>
      <c r="AN32" s="464">
        <f t="shared" si="41"/>
        <v>213.6706048533762</v>
      </c>
      <c r="AO32" s="464">
        <f t="shared" si="41"/>
        <v>213.67781973792103</v>
      </c>
      <c r="AP32" s="464">
        <f t="shared" si="41"/>
        <v>191.46822669234976</v>
      </c>
      <c r="AQ32" s="382">
        <f t="shared" si="41"/>
        <v>192.51219145201611</v>
      </c>
      <c r="AR32" s="464">
        <f t="shared" si="41"/>
        <v>192.13896415702308</v>
      </c>
      <c r="AS32" s="464">
        <f t="shared" si="41"/>
        <v>191.06072555531307</v>
      </c>
      <c r="AT32" s="464">
        <f t="shared" si="41"/>
        <v>190.48957540855938</v>
      </c>
      <c r="AU32" s="464">
        <f t="shared" si="41"/>
        <v>188.23444385101459</v>
      </c>
      <c r="AV32" s="464">
        <f t="shared" si="41"/>
        <v>185.52482653938557</v>
      </c>
      <c r="AW32" s="2"/>
    </row>
    <row r="33" spans="1:49" ht="15">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5">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5">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5">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5">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5">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5">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5">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5">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4257.2587291101372</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5">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1908.1213580327997</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5">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5">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4257.2587291101372</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5">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1908.1213580327997</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5">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5">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5">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5">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5">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5"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5"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5"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5"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5"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5"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5">
      <c r="B59" s="34"/>
      <c r="C59" s="34"/>
      <c r="D59" s="34"/>
      <c r="E59" s="34" t="s">
        <v>875</v>
      </c>
      <c r="F59" s="34"/>
      <c r="G59" s="2" t="s">
        <v>101</v>
      </c>
      <c r="H59" s="7"/>
      <c r="I59" s="46"/>
      <c r="J59" s="34"/>
      <c r="K59" s="34">
        <f>K64 * SUM(K66:K103) + K108 * SUM(K110:K147) + SUM(K156:K193)</f>
        <v>0</v>
      </c>
      <c r="L59" s="34">
        <f t="shared" ref="L59:AV59" si="60">L64 * SUM(L66:L103) + L108 * SUM(L110:L147) + SUM(L156:L193)</f>
        <v>1.4685199971446496</v>
      </c>
      <c r="M59" s="34">
        <f t="shared" si="60"/>
        <v>6.3357737755596819</v>
      </c>
      <c r="N59" s="34">
        <f t="shared" si="60"/>
        <v>11.102901190533032</v>
      </c>
      <c r="O59" s="34">
        <f t="shared" si="60"/>
        <v>16.353972695474507</v>
      </c>
      <c r="P59" s="34">
        <f>P64 * SUM(P66:P103) + P108 * SUM(P110:P147) + SUM(P156:P193)</f>
        <v>19.496827992393928</v>
      </c>
      <c r="Q59" s="34">
        <f t="shared" si="60"/>
        <v>22.728684501261508</v>
      </c>
      <c r="R59" s="34">
        <f t="shared" si="60"/>
        <v>26.221982070226812</v>
      </c>
      <c r="S59" s="34">
        <f t="shared" si="60"/>
        <v>30.399476456043597</v>
      </c>
      <c r="T59" s="34">
        <f t="shared" si="60"/>
        <v>34.455186373727301</v>
      </c>
      <c r="U59" s="34">
        <f t="shared" si="60"/>
        <v>38.491082805175282</v>
      </c>
      <c r="V59" s="34">
        <f t="shared" si="60"/>
        <v>43.430948247035083</v>
      </c>
      <c r="W59" s="34">
        <f t="shared" si="60"/>
        <v>46.469126612316252</v>
      </c>
      <c r="X59" s="34">
        <f t="shared" si="60"/>
        <v>50.091895716701202</v>
      </c>
      <c r="Y59" s="34">
        <f t="shared" si="60"/>
        <v>54.110025368479299</v>
      </c>
      <c r="Z59" s="34">
        <f t="shared" si="60"/>
        <v>57.940710135542822</v>
      </c>
      <c r="AA59" s="34">
        <f t="shared" si="60"/>
        <v>125.00484205278585</v>
      </c>
      <c r="AB59" s="34">
        <f t="shared" si="60"/>
        <v>133.60295610584947</v>
      </c>
      <c r="AC59" s="34">
        <f t="shared" si="60"/>
        <v>144.44778678063983</v>
      </c>
      <c r="AD59" s="34">
        <f t="shared" si="60"/>
        <v>156.52078670304226</v>
      </c>
      <c r="AE59" s="34">
        <f t="shared" si="60"/>
        <v>166.37181601856037</v>
      </c>
      <c r="AF59" s="34">
        <f t="shared" si="60"/>
        <v>174.10196812431329</v>
      </c>
      <c r="AG59" s="34">
        <f t="shared" si="60"/>
        <v>176.96281615717783</v>
      </c>
      <c r="AH59" s="34">
        <f t="shared" si="60"/>
        <v>182.88147315040248</v>
      </c>
      <c r="AI59" s="34">
        <f>AI64 * SUM(AI66:AI103) + AI108 * SUM(AI110:AI147) + SUM(AI156:AI193)</f>
        <v>189.12979900241336</v>
      </c>
      <c r="AJ59" s="34">
        <f t="shared" si="60"/>
        <v>200.75402323273869</v>
      </c>
      <c r="AK59" s="34">
        <f t="shared" si="60"/>
        <v>195.37298214547411</v>
      </c>
      <c r="AL59" s="34">
        <f t="shared" si="60"/>
        <v>189.5566416931469</v>
      </c>
      <c r="AM59" s="34">
        <f t="shared" si="60"/>
        <v>182.60111354076199</v>
      </c>
      <c r="AN59" s="34">
        <f t="shared" si="60"/>
        <v>175.84835652781857</v>
      </c>
      <c r="AO59" s="34">
        <f t="shared" si="60"/>
        <v>169.1285889694577</v>
      </c>
      <c r="AP59" s="34">
        <f t="shared" si="60"/>
        <v>140.55040762419353</v>
      </c>
      <c r="AQ59" s="36">
        <f t="shared" si="60"/>
        <v>135.49184064600036</v>
      </c>
      <c r="AR59" s="34">
        <f t="shared" si="60"/>
        <v>129.45993008719944</v>
      </c>
      <c r="AS59" s="34">
        <f t="shared" si="60"/>
        <v>122.76974421698891</v>
      </c>
      <c r="AT59" s="34">
        <f t="shared" si="60"/>
        <v>116.39165407982813</v>
      </c>
      <c r="AU59" s="34">
        <f t="shared" si="60"/>
        <v>108.21139978728866</v>
      </c>
      <c r="AV59" s="34">
        <f t="shared" si="60"/>
        <v>99.613285734224974</v>
      </c>
    </row>
    <row r="60" spans="1:49">
      <c r="AQ60" s="220"/>
    </row>
    <row r="61" spans="1:49" ht="15">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5">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5"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5" outlineLevel="1">
      <c r="E66" s="44">
        <f>INDEX($K$4:$AV$4,,COUNT(E65:E$65)+1)</f>
        <v>33328</v>
      </c>
      <c r="G66" s="2" t="s">
        <v>101</v>
      </c>
      <c r="I66" s="2">
        <f t="shared" ref="I66:I103" si="62">INDEX($K$24:$AV$24,,MATCH(E66,$K$4:$AV$4,0))</f>
        <v>48.901715904916827</v>
      </c>
      <c r="K66" s="2">
        <f>IF(J$4=$E66, $I66*J$55,0) + IF(J$4&gt;$E66,MIN(J66,$I66-SUM($J66:J66)))</f>
        <v>0</v>
      </c>
      <c r="L66" s="2">
        <f>IF(K$4=$E66, $I66*K$55,0) + IF(K$4&gt;$E66,MIN(K66,$I66-SUM($J66:K66)))</f>
        <v>1.4685199971446496</v>
      </c>
      <c r="M66" s="2">
        <f>IF(L$4=$E66, $I66*L$55,0) + IF(L$4&gt;$E66,MIN(L66,$I66-SUM($J66:L66)))</f>
        <v>1.4685199971446496</v>
      </c>
      <c r="N66" s="2">
        <f>IF(M$4=$E66, $I66*M$55,0) + IF(M$4&gt;$E66,MIN(M66,$I66-SUM($J66:M66)))</f>
        <v>1.4685199971446496</v>
      </c>
      <c r="O66" s="2">
        <f>IF(N$4=$E66, $I66*N$55,0) + IF(N$4&gt;$E66,MIN(N66,$I66-SUM($J66:N66)))</f>
        <v>1.4685199971446496</v>
      </c>
      <c r="P66" s="2">
        <f>IF(O$4=$E66, $I66*O$55,0) + IF(O$4&gt;$E66,MIN(O66,$I66-SUM($J66:O66)))</f>
        <v>1.4685199971446496</v>
      </c>
      <c r="Q66" s="2">
        <f>IF(P$4=$E66, $I66*P$55,0) + IF(P$4&gt;$E66,MIN(P66,$I66-SUM($J66:P66)))</f>
        <v>1.4685199971446496</v>
      </c>
      <c r="R66" s="2">
        <f>IF(Q$4=$E66, $I66*Q$55,0) + IF(Q$4&gt;$E66,MIN(Q66,$I66-SUM($J66:Q66)))</f>
        <v>1.4685199971446496</v>
      </c>
      <c r="S66" s="2">
        <f>IF(R$4=$E66, $I66*R$55,0) + IF(R$4&gt;$E66,MIN(R66,$I66-SUM($J66:R66)))</f>
        <v>1.4685199971446496</v>
      </c>
      <c r="T66" s="2">
        <f>IF(S$4=$E66, $I66*S$55,0) + IF(S$4&gt;$E66,MIN(S66,$I66-SUM($J66:S66)))</f>
        <v>1.4685199971446496</v>
      </c>
      <c r="U66" s="2">
        <f>IF(T$4=$E66, $I66*T$55,0) + IF(T$4&gt;$E66,MIN(T66,$I66-SUM($J66:T66)))</f>
        <v>1.4685199971446496</v>
      </c>
      <c r="V66" s="2">
        <f>IF(U$4=$E66, $I66*U$55,0) + IF(U$4&gt;$E66,MIN(U66,$I66-SUM($J66:U66)))</f>
        <v>1.4685199971446496</v>
      </c>
      <c r="W66" s="2">
        <f>IF(V$4=$E66, $I66*V$55,0) + IF(V$4&gt;$E66,MIN(V66,$I66-SUM($J66:V66)))</f>
        <v>1.4685199971446496</v>
      </c>
      <c r="X66" s="2">
        <f>IF(W$4=$E66, $I66*W$55,0) + IF(W$4&gt;$E66,MIN(W66,$I66-SUM($J66:W66)))</f>
        <v>1.4685199971446496</v>
      </c>
      <c r="Y66" s="2">
        <f>IF(X$4=$E66, $I66*X$55,0) + IF(X$4&gt;$E66,MIN(X66,$I66-SUM($J66:X66)))</f>
        <v>1.4685199971446496</v>
      </c>
      <c r="Z66" s="2">
        <f>IF(Y$4=$E66, $I66*Y$55,0) + IF(Y$4&gt;$E66,MIN(Y66,$I66-SUM($J66:Y66)))</f>
        <v>1.4685199971446496</v>
      </c>
      <c r="AA66" s="2">
        <f>IF(Z$4=$E66, $I66*Z$55,0) + IF(Z$4&gt;$E66,MIN(Z66,$I66-SUM($J66:Z66)))</f>
        <v>1.4685199971446496</v>
      </c>
      <c r="AB66" s="2">
        <f>IF(AA$4=$E66, $I66*AA$55,0) + IF(AA$4&gt;$E66,MIN(AA66,$I66-SUM($J66:AA66)))</f>
        <v>1.4685199971446496</v>
      </c>
      <c r="AC66" s="2">
        <f>IF(AB$4=$E66, $I66*AB$55,0) + IF(AB$4&gt;$E66,MIN(AB66,$I66-SUM($J66:AB66)))</f>
        <v>1.4685199971446496</v>
      </c>
      <c r="AD66" s="2">
        <f>IF(AC$4=$E66, $I66*AC$55,0) + IF(AC$4&gt;$E66,MIN(AC66,$I66-SUM($J66:AC66)))</f>
        <v>1.4685199971446496</v>
      </c>
      <c r="AE66" s="2">
        <f>IF(AD$4=$E66, $I66*AD$55,0) + IF(AD$4&gt;$E66,MIN(AD66,$I66-SUM($J66:AD66)))</f>
        <v>1.4685199971446496</v>
      </c>
      <c r="AF66" s="2">
        <f>IF(AE$4=$E66, $I66*AE$55,0) + IF(AE$4&gt;$E66,MIN(AE66,$I66-SUM($J66:AE66)))</f>
        <v>1.4685199971446496</v>
      </c>
      <c r="AG66" s="2">
        <f>IF(AF$4=$E66, $I66*AF$55,0) + IF(AF$4&gt;$E66,MIN(AF66,$I66-SUM($J66:AF66)))</f>
        <v>1.4685199971446496</v>
      </c>
      <c r="AH66" s="2">
        <f>IF(AG$4=$E66, $I66*AG$55,0) + IF(AG$4&gt;$E66,MIN(AG66,$I66-SUM($J66:AG66)))</f>
        <v>1.4685199971446496</v>
      </c>
      <c r="AI66" s="2">
        <f>IF(AH$4=$E66, $I66*AH$55,0) + IF(AH$4&gt;$E66,MIN(AH66,$I66-SUM($J66:AH66)))</f>
        <v>1.4685199971446496</v>
      </c>
      <c r="AJ66" s="2">
        <f>IF(AI$4=$E66, $I66*AI$55,0) + IF(AI$4&gt;$E66,MIN(AI66,$I66-SUM($J66:AI66)))</f>
        <v>1.4685199971446496</v>
      </c>
      <c r="AK66" s="2">
        <f>IF(AJ$4=$E66, $I66*AJ$55,0) + IF(AJ$4&gt;$E66,MIN(AJ66,$I66-SUM($J66:AJ66)))</f>
        <v>1.4685199971446496</v>
      </c>
      <c r="AL66" s="2">
        <f>IF(AK$4=$E66, $I66*AK$55,0) + IF(AK$4&gt;$E66,MIN(AK66,$I66-SUM($J66:AK66)))</f>
        <v>1.4685199971446496</v>
      </c>
      <c r="AM66" s="2">
        <f>IF(AL$4=$E66, $I66*AL$55,0) + IF(AL$4&gt;$E66,MIN(AL66,$I66-SUM($J66:AL66)))</f>
        <v>1.4685199971446496</v>
      </c>
      <c r="AN66" s="2">
        <f>IF(AM$4=$E66, $I66*AM$55,0) + IF(AM$4&gt;$E66,MIN(AM66,$I66-SUM($J66:AM66)))</f>
        <v>1.4685199971446496</v>
      </c>
      <c r="AO66" s="2">
        <f>IF(AN$4=$E66, $I66*AN$55,0) + IF(AN$4&gt;$E66,MIN(AN66,$I66-SUM($J66:AN66)))</f>
        <v>1.4685199971446496</v>
      </c>
      <c r="AP66" s="2">
        <f>IF(AO$4=$E66, $I66*AO$55,0) + IF(AO$4&gt;$E66,MIN(AO66,$I66-SUM($J66:AO66)))</f>
        <v>1.4685199971446496</v>
      </c>
      <c r="AQ66" s="57">
        <f>IF(AP$4=$E66, $I66*AP$55,0) + IF(AP$4&gt;$E66,MIN(AP66,$I66-SUM($J66:AP66)))</f>
        <v>1.4685199971446496</v>
      </c>
      <c r="AR66" s="2">
        <f>IF(AQ$4=$E66, $I66*AQ$55,0) + IF(AQ$4&gt;$E66,MIN(AQ66,$I66-SUM($J66:AQ66)))</f>
        <v>1.4685199971446496</v>
      </c>
      <c r="AS66" s="2">
        <f>IF(AR$4=$E66, $I66*AR$55,0) + IF(AR$4&gt;$E66,MIN(AR66,$I66-SUM($J66:AR66)))</f>
        <v>0.44055599914342025</v>
      </c>
      <c r="AT66" s="2">
        <f>IF(AS$4=$E66, $I66*AS$55,0) + IF(AS$4&gt;$E66,MIN(AS66,$I66-SUM($J66:AS66)))</f>
        <v>0</v>
      </c>
      <c r="AU66" s="2">
        <f>IF(AT$4=$E66, $I66*AT$55,0) + IF(AT$4&gt;$E66,MIN(AT66,$I66-SUM($J66:AT66)))</f>
        <v>0</v>
      </c>
      <c r="AV66" s="2">
        <f>IF(AU$4=$E66, $I66*AU$55,0) + IF(AU$4&gt;$E66,MIN(AU66,$I66-SUM($J66:AU66)))</f>
        <v>0</v>
      </c>
      <c r="AW66" s="2"/>
    </row>
    <row r="67" spans="5:49" ht="15" outlineLevel="1">
      <c r="E67" s="44">
        <f>INDEX($K$4:$AV$4,,COUNT(E$65:E66)+1)</f>
        <v>33694</v>
      </c>
      <c r="G67" s="2" t="s">
        <v>101</v>
      </c>
      <c r="I67" s="2">
        <f t="shared" si="62"/>
        <v>162.07955082122055</v>
      </c>
      <c r="K67" s="2">
        <f>IF(J$4=$E67, $I67*J$55,0) + IF(J$4&gt;$E67,MIN(J67,$I67-SUM($J67:J67)))</f>
        <v>0</v>
      </c>
      <c r="L67" s="2">
        <f>IF(K$4=$E67, $I67*K$55,0) + IF(K$4&gt;$E67,MIN(K67,$I67-SUM($J67:K67)))</f>
        <v>0</v>
      </c>
      <c r="M67" s="2">
        <f>IF(L$4=$E67, $I67*L$55,0) + IF(L$4&gt;$E67,MIN(L67,$I67-SUM($J67:L67)))</f>
        <v>4.8672537784150318</v>
      </c>
      <c r="N67" s="2">
        <f>IF(M$4=$E67, $I67*M$55,0) + IF(M$4&gt;$E67,MIN(M67,$I67-SUM($J67:M67)))</f>
        <v>4.8672537784150318</v>
      </c>
      <c r="O67" s="2">
        <f>IF(N$4=$E67, $I67*N$55,0) + IF(N$4&gt;$E67,MIN(N67,$I67-SUM($J67:N67)))</f>
        <v>4.8672537784150318</v>
      </c>
      <c r="P67" s="2">
        <f>IF(O$4=$E67, $I67*O$55,0) + IF(O$4&gt;$E67,MIN(O67,$I67-SUM($J67:O67)))</f>
        <v>4.8672537784150318</v>
      </c>
      <c r="Q67" s="2">
        <f>IF(P$4=$E67, $I67*P$55,0) + IF(P$4&gt;$E67,MIN(P67,$I67-SUM($J67:P67)))</f>
        <v>4.8672537784150318</v>
      </c>
      <c r="R67" s="2">
        <f>IF(Q$4=$E67, $I67*Q$55,0) + IF(Q$4&gt;$E67,MIN(Q67,$I67-SUM($J67:Q67)))</f>
        <v>4.8672537784150318</v>
      </c>
      <c r="S67" s="2">
        <f>IF(R$4=$E67, $I67*R$55,0) + IF(R$4&gt;$E67,MIN(R67,$I67-SUM($J67:R67)))</f>
        <v>4.8672537784150318</v>
      </c>
      <c r="T67" s="2">
        <f>IF(S$4=$E67, $I67*S$55,0) + IF(S$4&gt;$E67,MIN(S67,$I67-SUM($J67:S67)))</f>
        <v>4.8672537784150318</v>
      </c>
      <c r="U67" s="2">
        <f>IF(T$4=$E67, $I67*T$55,0) + IF(T$4&gt;$E67,MIN(T67,$I67-SUM($J67:T67)))</f>
        <v>4.8672537784150318</v>
      </c>
      <c r="V67" s="2">
        <f>IF(U$4=$E67, $I67*U$55,0) + IF(U$4&gt;$E67,MIN(U67,$I67-SUM($J67:U67)))</f>
        <v>4.8672537784150318</v>
      </c>
      <c r="W67" s="2">
        <f>IF(V$4=$E67, $I67*V$55,0) + IF(V$4&gt;$E67,MIN(V67,$I67-SUM($J67:V67)))</f>
        <v>4.8672537784150318</v>
      </c>
      <c r="X67" s="2">
        <f>IF(W$4=$E67, $I67*W$55,0) + IF(W$4&gt;$E67,MIN(W67,$I67-SUM($J67:W67)))</f>
        <v>4.8672537784150318</v>
      </c>
      <c r="Y67" s="2">
        <f>IF(X$4=$E67, $I67*X$55,0) + IF(X$4&gt;$E67,MIN(X67,$I67-SUM($J67:X67)))</f>
        <v>4.8672537784150318</v>
      </c>
      <c r="Z67" s="2">
        <f>IF(Y$4=$E67, $I67*Y$55,0) + IF(Y$4&gt;$E67,MIN(Y67,$I67-SUM($J67:Y67)))</f>
        <v>4.8672537784150318</v>
      </c>
      <c r="AA67" s="2">
        <f>IF(Z$4=$E67, $I67*Z$55,0) + IF(Z$4&gt;$E67,MIN(Z67,$I67-SUM($J67:Z67)))</f>
        <v>4.8672537784150318</v>
      </c>
      <c r="AB67" s="2">
        <f>IF(AA$4=$E67, $I67*AA$55,0) + IF(AA$4&gt;$E67,MIN(AA67,$I67-SUM($J67:AA67)))</f>
        <v>4.8672537784150318</v>
      </c>
      <c r="AC67" s="2">
        <f>IF(AB$4=$E67, $I67*AB$55,0) + IF(AB$4&gt;$E67,MIN(AB67,$I67-SUM($J67:AB67)))</f>
        <v>4.8672537784150318</v>
      </c>
      <c r="AD67" s="2">
        <f>IF(AC$4=$E67, $I67*AC$55,0) + IF(AC$4&gt;$E67,MIN(AC67,$I67-SUM($J67:AC67)))</f>
        <v>4.8672537784150318</v>
      </c>
      <c r="AE67" s="2">
        <f>IF(AD$4=$E67, $I67*AD$55,0) + IF(AD$4&gt;$E67,MIN(AD67,$I67-SUM($J67:AD67)))</f>
        <v>4.8672537784150318</v>
      </c>
      <c r="AF67" s="2">
        <f>IF(AE$4=$E67, $I67*AE$55,0) + IF(AE$4&gt;$E67,MIN(AE67,$I67-SUM($J67:AE67)))</f>
        <v>4.8672537784150318</v>
      </c>
      <c r="AG67" s="2">
        <f>IF(AF$4=$E67, $I67*AF$55,0) + IF(AF$4&gt;$E67,MIN(AF67,$I67-SUM($J67:AF67)))</f>
        <v>4.8672537784150318</v>
      </c>
      <c r="AH67" s="2">
        <f>IF(AG$4=$E67, $I67*AG$55,0) + IF(AG$4&gt;$E67,MIN(AG67,$I67-SUM($J67:AG67)))</f>
        <v>4.8672537784150318</v>
      </c>
      <c r="AI67" s="2">
        <f>IF(AH$4=$E67, $I67*AH$55,0) + IF(AH$4&gt;$E67,MIN(AH67,$I67-SUM($J67:AH67)))</f>
        <v>4.8672537784150318</v>
      </c>
      <c r="AJ67" s="2">
        <f>IF(AI$4=$E67, $I67*AI$55,0) + IF(AI$4&gt;$E67,MIN(AI67,$I67-SUM($J67:AI67)))</f>
        <v>4.8672537784150318</v>
      </c>
      <c r="AK67" s="2">
        <f>IF(AJ$4=$E67, $I67*AJ$55,0) + IF(AJ$4&gt;$E67,MIN(AJ67,$I67-SUM($J67:AJ67)))</f>
        <v>4.8672537784150318</v>
      </c>
      <c r="AL67" s="2">
        <f>IF(AK$4=$E67, $I67*AK$55,0) + IF(AK$4&gt;$E67,MIN(AK67,$I67-SUM($J67:AK67)))</f>
        <v>4.8672537784150318</v>
      </c>
      <c r="AM67" s="2">
        <f>IF(AL$4=$E67, $I67*AL$55,0) + IF(AL$4&gt;$E67,MIN(AL67,$I67-SUM($J67:AL67)))</f>
        <v>4.8672537784150318</v>
      </c>
      <c r="AN67" s="2">
        <f>IF(AM$4=$E67, $I67*AM$55,0) + IF(AM$4&gt;$E67,MIN(AM67,$I67-SUM($J67:AM67)))</f>
        <v>4.8672537784150318</v>
      </c>
      <c r="AO67" s="2">
        <f>IF(AN$4=$E67, $I67*AN$55,0) + IF(AN$4&gt;$E67,MIN(AN67,$I67-SUM($J67:AN67)))</f>
        <v>4.8672537784150318</v>
      </c>
      <c r="AP67" s="2">
        <f>IF(AO$4=$E67, $I67*AO$55,0) + IF(AO$4&gt;$E67,MIN(AO67,$I67-SUM($J67:AO67)))</f>
        <v>4.8672537784150318</v>
      </c>
      <c r="AQ67" s="57">
        <f>IF(AP$4=$E67, $I67*AP$55,0) + IF(AP$4&gt;$E67,MIN(AP67,$I67-SUM($J67:AP67)))</f>
        <v>4.8672537784150318</v>
      </c>
      <c r="AR67" s="2">
        <f>IF(AQ$4=$E67, $I67*AQ$55,0) + IF(AQ$4&gt;$E67,MIN(AQ67,$I67-SUM($J67:AQ67)))</f>
        <v>4.8672537784150318</v>
      </c>
      <c r="AS67" s="2">
        <f>IF(AR$4=$E67, $I67*AR$55,0) + IF(AR$4&gt;$E67,MIN(AR67,$I67-SUM($J67:AR67)))</f>
        <v>4.8672537784150318</v>
      </c>
      <c r="AT67" s="2">
        <f>IF(AS$4=$E67, $I67*AS$55,0) + IF(AS$4&gt;$E67,MIN(AS67,$I67-SUM($J67:AS67)))</f>
        <v>1.4601761335244703</v>
      </c>
      <c r="AU67" s="2">
        <f>IF(AT$4=$E67, $I67*AT$55,0) + IF(AT$4&gt;$E67,MIN(AT67,$I67-SUM($J67:AT67)))</f>
        <v>0</v>
      </c>
      <c r="AV67" s="2">
        <f>IF(AU$4=$E67, $I67*AU$55,0) + IF(AU$4&gt;$E67,MIN(AU67,$I67-SUM($J67:AU67)))</f>
        <v>0</v>
      </c>
      <c r="AW67" s="2"/>
    </row>
    <row r="68" spans="5:49" ht="15" outlineLevel="1">
      <c r="E68" s="44">
        <f>INDEX($K$4:$AV$4,,COUNT(E$65:E67)+1)</f>
        <v>34059</v>
      </c>
      <c r="G68" s="2" t="s">
        <v>101</v>
      </c>
      <c r="I68" s="2">
        <f t="shared" si="62"/>
        <v>158.74534291861255</v>
      </c>
      <c r="K68" s="2">
        <f>IF(J$4=$E68, $I68*J$55,0) + IF(J$4&gt;$E68,MIN(J68,$I68-SUM($J68:J68)))</f>
        <v>0</v>
      </c>
      <c r="L68" s="2">
        <f>IF(K$4=$E68, $I68*K$55,0) + IF(K$4&gt;$E68,MIN(K68,$I68-SUM($J68:K68)))</f>
        <v>0</v>
      </c>
      <c r="M68" s="2">
        <f>IF(L$4=$E68, $I68*L$55,0) + IF(L$4&gt;$E68,MIN(L68,$I68-SUM($J68:L68)))</f>
        <v>0</v>
      </c>
      <c r="N68" s="2">
        <f>IF(M$4=$E68, $I68*M$55,0) + IF(M$4&gt;$E68,MIN(M68,$I68-SUM($J68:M68)))</f>
        <v>4.7671274149733502</v>
      </c>
      <c r="O68" s="2">
        <f>IF(N$4=$E68, $I68*N$55,0) + IF(N$4&gt;$E68,MIN(N68,$I68-SUM($J68:N68)))</f>
        <v>4.7671274149733502</v>
      </c>
      <c r="P68" s="2">
        <f>IF(O$4=$E68, $I68*O$55,0) + IF(O$4&gt;$E68,MIN(O68,$I68-SUM($J68:O68)))</f>
        <v>4.7671274149733502</v>
      </c>
      <c r="Q68" s="2">
        <f>IF(P$4=$E68, $I68*P$55,0) + IF(P$4&gt;$E68,MIN(P68,$I68-SUM($J68:P68)))</f>
        <v>4.7671274149733502</v>
      </c>
      <c r="R68" s="2">
        <f>IF(Q$4=$E68, $I68*Q$55,0) + IF(Q$4&gt;$E68,MIN(Q68,$I68-SUM($J68:Q68)))</f>
        <v>4.7671274149733502</v>
      </c>
      <c r="S68" s="2">
        <f>IF(R$4=$E68, $I68*R$55,0) + IF(R$4&gt;$E68,MIN(R68,$I68-SUM($J68:R68)))</f>
        <v>4.7671274149733502</v>
      </c>
      <c r="T68" s="2">
        <f>IF(S$4=$E68, $I68*S$55,0) + IF(S$4&gt;$E68,MIN(S68,$I68-SUM($J68:S68)))</f>
        <v>4.7671274149733502</v>
      </c>
      <c r="U68" s="2">
        <f>IF(T$4=$E68, $I68*T$55,0) + IF(T$4&gt;$E68,MIN(T68,$I68-SUM($J68:T68)))</f>
        <v>4.7671274149733502</v>
      </c>
      <c r="V68" s="2">
        <f>IF(U$4=$E68, $I68*U$55,0) + IF(U$4&gt;$E68,MIN(U68,$I68-SUM($J68:U68)))</f>
        <v>4.7671274149733502</v>
      </c>
      <c r="W68" s="2">
        <f>IF(V$4=$E68, $I68*V$55,0) + IF(V$4&gt;$E68,MIN(V68,$I68-SUM($J68:V68)))</f>
        <v>4.7671274149733502</v>
      </c>
      <c r="X68" s="2">
        <f>IF(W$4=$E68, $I68*W$55,0) + IF(W$4&gt;$E68,MIN(W68,$I68-SUM($J68:W68)))</f>
        <v>4.7671274149733502</v>
      </c>
      <c r="Y68" s="2">
        <f>IF(X$4=$E68, $I68*X$55,0) + IF(X$4&gt;$E68,MIN(X68,$I68-SUM($J68:X68)))</f>
        <v>4.7671274149733502</v>
      </c>
      <c r="Z68" s="2">
        <f>IF(Y$4=$E68, $I68*Y$55,0) + IF(Y$4&gt;$E68,MIN(Y68,$I68-SUM($J68:Y68)))</f>
        <v>4.7671274149733502</v>
      </c>
      <c r="AA68" s="2">
        <f>IF(Z$4=$E68, $I68*Z$55,0) + IF(Z$4&gt;$E68,MIN(Z68,$I68-SUM($J68:Z68)))</f>
        <v>4.7671274149733502</v>
      </c>
      <c r="AB68" s="2">
        <f>IF(AA$4=$E68, $I68*AA$55,0) + IF(AA$4&gt;$E68,MIN(AA68,$I68-SUM($J68:AA68)))</f>
        <v>4.7671274149733502</v>
      </c>
      <c r="AC68" s="2">
        <f>IF(AB$4=$E68, $I68*AB$55,0) + IF(AB$4&gt;$E68,MIN(AB68,$I68-SUM($J68:AB68)))</f>
        <v>4.7671274149733502</v>
      </c>
      <c r="AD68" s="2">
        <f>IF(AC$4=$E68, $I68*AC$55,0) + IF(AC$4&gt;$E68,MIN(AC68,$I68-SUM($J68:AC68)))</f>
        <v>4.7671274149733502</v>
      </c>
      <c r="AE68" s="2">
        <f>IF(AD$4=$E68, $I68*AD$55,0) + IF(AD$4&gt;$E68,MIN(AD68,$I68-SUM($J68:AD68)))</f>
        <v>4.7671274149733502</v>
      </c>
      <c r="AF68" s="2">
        <f>IF(AE$4=$E68, $I68*AE$55,0) + IF(AE$4&gt;$E68,MIN(AE68,$I68-SUM($J68:AE68)))</f>
        <v>4.7671274149733502</v>
      </c>
      <c r="AG68" s="2">
        <f>IF(AF$4=$E68, $I68*AF$55,0) + IF(AF$4&gt;$E68,MIN(AF68,$I68-SUM($J68:AF68)))</f>
        <v>4.7671274149733502</v>
      </c>
      <c r="AH68" s="2">
        <f>IF(AG$4=$E68, $I68*AG$55,0) + IF(AG$4&gt;$E68,MIN(AG68,$I68-SUM($J68:AG68)))</f>
        <v>4.7671274149733502</v>
      </c>
      <c r="AI68" s="2">
        <f>IF(AH$4=$E68, $I68*AH$55,0) + IF(AH$4&gt;$E68,MIN(AH68,$I68-SUM($J68:AH68)))</f>
        <v>4.7671274149733502</v>
      </c>
      <c r="AJ68" s="2">
        <f>IF(AI$4=$E68, $I68*AI$55,0) + IF(AI$4&gt;$E68,MIN(AI68,$I68-SUM($J68:AI68)))</f>
        <v>4.7671274149733502</v>
      </c>
      <c r="AK68" s="2">
        <f>IF(AJ$4=$E68, $I68*AJ$55,0) + IF(AJ$4&gt;$E68,MIN(AJ68,$I68-SUM($J68:AJ68)))</f>
        <v>4.7671274149733502</v>
      </c>
      <c r="AL68" s="2">
        <f>IF(AK$4=$E68, $I68*AK$55,0) + IF(AK$4&gt;$E68,MIN(AK68,$I68-SUM($J68:AK68)))</f>
        <v>4.7671274149733502</v>
      </c>
      <c r="AM68" s="2">
        <f>IF(AL$4=$E68, $I68*AL$55,0) + IF(AL$4&gt;$E68,MIN(AL68,$I68-SUM($J68:AL68)))</f>
        <v>4.7671274149733502</v>
      </c>
      <c r="AN68" s="2">
        <f>IF(AM$4=$E68, $I68*AM$55,0) + IF(AM$4&gt;$E68,MIN(AM68,$I68-SUM($J68:AM68)))</f>
        <v>4.7671274149733502</v>
      </c>
      <c r="AO68" s="2">
        <f>IF(AN$4=$E68, $I68*AN$55,0) + IF(AN$4&gt;$E68,MIN(AN68,$I68-SUM($J68:AN68)))</f>
        <v>4.7671274149733502</v>
      </c>
      <c r="AP68" s="2">
        <f>IF(AO$4=$E68, $I68*AO$55,0) + IF(AO$4&gt;$E68,MIN(AO68,$I68-SUM($J68:AO68)))</f>
        <v>4.7671274149733502</v>
      </c>
      <c r="AQ68" s="57">
        <f>IF(AP$4=$E68, $I68*AP$55,0) + IF(AP$4&gt;$E68,MIN(AP68,$I68-SUM($J68:AP68)))</f>
        <v>4.7671274149733502</v>
      </c>
      <c r="AR68" s="2">
        <f>IF(AQ$4=$E68, $I68*AQ$55,0) + IF(AQ$4&gt;$E68,MIN(AQ68,$I68-SUM($J68:AQ68)))</f>
        <v>4.7671274149733502</v>
      </c>
      <c r="AS68" s="2">
        <f>IF(AR$4=$E68, $I68*AR$55,0) + IF(AR$4&gt;$E68,MIN(AR68,$I68-SUM($J68:AR68)))</f>
        <v>4.7671274149733502</v>
      </c>
      <c r="AT68" s="2">
        <f>IF(AS$4=$E68, $I68*AS$55,0) + IF(AS$4&gt;$E68,MIN(AS68,$I68-SUM($J68:AS68)))</f>
        <v>4.7671274149733502</v>
      </c>
      <c r="AU68" s="2">
        <f>IF(AT$4=$E68, $I68*AT$55,0) + IF(AT$4&gt;$E68,MIN(AT68,$I68-SUM($J68:AT68)))</f>
        <v>1.4301382244920831</v>
      </c>
      <c r="AV68" s="2">
        <f>IF(AU$4=$E68, $I68*AU$55,0) + IF(AU$4&gt;$E68,MIN(AU68,$I68-SUM($J68:AU68)))</f>
        <v>0</v>
      </c>
      <c r="AW68" s="2"/>
    </row>
    <row r="69" spans="5:49" ht="15" outlineLevel="1">
      <c r="E69" s="44">
        <f>INDEX($K$4:$AV$4,,COUNT(E$65:E68)+1)</f>
        <v>34424</v>
      </c>
      <c r="G69" s="2" t="s">
        <v>101</v>
      </c>
      <c r="I69" s="2">
        <f t="shared" si="62"/>
        <v>174.86068111455111</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5.2510715049414758</v>
      </c>
      <c r="P69" s="2">
        <f>IF(O$4=$E69, $I69*O$55,0) + IF(O$4&gt;$E69,MIN(O69,$I69-SUM($J69:O69)))</f>
        <v>5.2510715049414758</v>
      </c>
      <c r="Q69" s="2">
        <f>IF(P$4=$E69, $I69*P$55,0) + IF(P$4&gt;$E69,MIN(P69,$I69-SUM($J69:P69)))</f>
        <v>5.2510715049414758</v>
      </c>
      <c r="R69" s="2">
        <f>IF(Q$4=$E69, $I69*Q$55,0) + IF(Q$4&gt;$E69,MIN(Q69,$I69-SUM($J69:Q69)))</f>
        <v>5.2510715049414758</v>
      </c>
      <c r="S69" s="2">
        <f>IF(R$4=$E69, $I69*R$55,0) + IF(R$4&gt;$E69,MIN(R69,$I69-SUM($J69:R69)))</f>
        <v>5.2510715049414758</v>
      </c>
      <c r="T69" s="2">
        <f>IF(S$4=$E69, $I69*S$55,0) + IF(S$4&gt;$E69,MIN(S69,$I69-SUM($J69:S69)))</f>
        <v>5.2510715049414758</v>
      </c>
      <c r="U69" s="2">
        <f>IF(T$4=$E69, $I69*T$55,0) + IF(T$4&gt;$E69,MIN(T69,$I69-SUM($J69:T69)))</f>
        <v>5.2510715049414758</v>
      </c>
      <c r="V69" s="2">
        <f>IF(U$4=$E69, $I69*U$55,0) + IF(U$4&gt;$E69,MIN(U69,$I69-SUM($J69:U69)))</f>
        <v>5.2510715049414758</v>
      </c>
      <c r="W69" s="2">
        <f>IF(V$4=$E69, $I69*V$55,0) + IF(V$4&gt;$E69,MIN(V69,$I69-SUM($J69:V69)))</f>
        <v>5.2510715049414758</v>
      </c>
      <c r="X69" s="2">
        <f>IF(W$4=$E69, $I69*W$55,0) + IF(W$4&gt;$E69,MIN(W69,$I69-SUM($J69:W69)))</f>
        <v>5.2510715049414758</v>
      </c>
      <c r="Y69" s="2">
        <f>IF(X$4=$E69, $I69*X$55,0) + IF(X$4&gt;$E69,MIN(X69,$I69-SUM($J69:X69)))</f>
        <v>5.2510715049414758</v>
      </c>
      <c r="Z69" s="2">
        <f>IF(Y$4=$E69, $I69*Y$55,0) + IF(Y$4&gt;$E69,MIN(Y69,$I69-SUM($J69:Y69)))</f>
        <v>5.2510715049414758</v>
      </c>
      <c r="AA69" s="2">
        <f>IF(Z$4=$E69, $I69*Z$55,0) + IF(Z$4&gt;$E69,MIN(Z69,$I69-SUM($J69:Z69)))</f>
        <v>5.2510715049414758</v>
      </c>
      <c r="AB69" s="2">
        <f>IF(AA$4=$E69, $I69*AA$55,0) + IF(AA$4&gt;$E69,MIN(AA69,$I69-SUM($J69:AA69)))</f>
        <v>5.2510715049414758</v>
      </c>
      <c r="AC69" s="2">
        <f>IF(AB$4=$E69, $I69*AB$55,0) + IF(AB$4&gt;$E69,MIN(AB69,$I69-SUM($J69:AB69)))</f>
        <v>5.2510715049414758</v>
      </c>
      <c r="AD69" s="2">
        <f>IF(AC$4=$E69, $I69*AC$55,0) + IF(AC$4&gt;$E69,MIN(AC69,$I69-SUM($J69:AC69)))</f>
        <v>5.2510715049414758</v>
      </c>
      <c r="AE69" s="2">
        <f>IF(AD$4=$E69, $I69*AD$55,0) + IF(AD$4&gt;$E69,MIN(AD69,$I69-SUM($J69:AD69)))</f>
        <v>5.2510715049414758</v>
      </c>
      <c r="AF69" s="2">
        <f>IF(AE$4=$E69, $I69*AE$55,0) + IF(AE$4&gt;$E69,MIN(AE69,$I69-SUM($J69:AE69)))</f>
        <v>5.2510715049414758</v>
      </c>
      <c r="AG69" s="2">
        <f>IF(AF$4=$E69, $I69*AF$55,0) + IF(AF$4&gt;$E69,MIN(AF69,$I69-SUM($J69:AF69)))</f>
        <v>5.2510715049414758</v>
      </c>
      <c r="AH69" s="2">
        <f>IF(AG$4=$E69, $I69*AG$55,0) + IF(AG$4&gt;$E69,MIN(AG69,$I69-SUM($J69:AG69)))</f>
        <v>5.2510715049414758</v>
      </c>
      <c r="AI69" s="2">
        <f>IF(AH$4=$E69, $I69*AH$55,0) + IF(AH$4&gt;$E69,MIN(AH69,$I69-SUM($J69:AH69)))</f>
        <v>5.2510715049414758</v>
      </c>
      <c r="AJ69" s="2">
        <f>IF(AI$4=$E69, $I69*AI$55,0) + IF(AI$4&gt;$E69,MIN(AI69,$I69-SUM($J69:AI69)))</f>
        <v>5.2510715049414758</v>
      </c>
      <c r="AK69" s="2">
        <f>IF(AJ$4=$E69, $I69*AJ$55,0) + IF(AJ$4&gt;$E69,MIN(AJ69,$I69-SUM($J69:AJ69)))</f>
        <v>5.2510715049414758</v>
      </c>
      <c r="AL69" s="2">
        <f>IF(AK$4=$E69, $I69*AK$55,0) + IF(AK$4&gt;$E69,MIN(AK69,$I69-SUM($J69:AK69)))</f>
        <v>5.2510715049414758</v>
      </c>
      <c r="AM69" s="2">
        <f>IF(AL$4=$E69, $I69*AL$55,0) + IF(AL$4&gt;$E69,MIN(AL69,$I69-SUM($J69:AL69)))</f>
        <v>5.2510715049414758</v>
      </c>
      <c r="AN69" s="2">
        <f>IF(AM$4=$E69, $I69*AM$55,0) + IF(AM$4&gt;$E69,MIN(AM69,$I69-SUM($J69:AM69)))</f>
        <v>5.2510715049414758</v>
      </c>
      <c r="AO69" s="2">
        <f>IF(AN$4=$E69, $I69*AN$55,0) + IF(AN$4&gt;$E69,MIN(AN69,$I69-SUM($J69:AN69)))</f>
        <v>5.2510715049414758</v>
      </c>
      <c r="AP69" s="2">
        <f>IF(AO$4=$E69, $I69*AO$55,0) + IF(AO$4&gt;$E69,MIN(AO69,$I69-SUM($J69:AO69)))</f>
        <v>5.2510715049414758</v>
      </c>
      <c r="AQ69" s="57">
        <f>IF(AP$4=$E69, $I69*AP$55,0) + IF(AP$4&gt;$E69,MIN(AP69,$I69-SUM($J69:AP69)))</f>
        <v>5.2510715049414758</v>
      </c>
      <c r="AR69" s="2">
        <f>IF(AQ$4=$E69, $I69*AQ$55,0) + IF(AQ$4&gt;$E69,MIN(AQ69,$I69-SUM($J69:AQ69)))</f>
        <v>5.2510715049414758</v>
      </c>
      <c r="AS69" s="2">
        <f>IF(AR$4=$E69, $I69*AR$55,0) + IF(AR$4&gt;$E69,MIN(AR69,$I69-SUM($J69:AR69)))</f>
        <v>5.2510715049414758</v>
      </c>
      <c r="AT69" s="2">
        <f>IF(AS$4=$E69, $I69*AS$55,0) + IF(AS$4&gt;$E69,MIN(AS69,$I69-SUM($J69:AS69)))</f>
        <v>5.2510715049414758</v>
      </c>
      <c r="AU69" s="2">
        <f>IF(AT$4=$E69, $I69*AT$55,0) + IF(AT$4&gt;$E69,MIN(AT69,$I69-SUM($J69:AT69)))</f>
        <v>5.2510715049414758</v>
      </c>
      <c r="AV69" s="2">
        <f>IF(AU$4=$E69, $I69*AU$55,0) + IF(AU$4&gt;$E69,MIN(AU69,$I69-SUM($J69:AU69)))</f>
        <v>1.5753214514823526</v>
      </c>
      <c r="AW69" s="2"/>
    </row>
    <row r="70" spans="5:49" ht="15" outlineLevel="1">
      <c r="E70" s="44">
        <f>INDEX($K$4:$AV$4,,COUNT(E$65:E69)+1)</f>
        <v>34789</v>
      </c>
      <c r="G70" s="2" t="s">
        <v>101</v>
      </c>
      <c r="I70" s="2">
        <f t="shared" si="62"/>
        <v>104.65708138741668</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3.1428552969194201</v>
      </c>
      <c r="Q70" s="2">
        <f>IF(P$4=$E70, $I70*P$55,0) + IF(P$4&gt;$E70,MIN(P70,$I70-SUM($J70:P70)))</f>
        <v>3.1428552969194201</v>
      </c>
      <c r="R70" s="2">
        <f>IF(Q$4=$E70, $I70*Q$55,0) + IF(Q$4&gt;$E70,MIN(Q70,$I70-SUM($J70:Q70)))</f>
        <v>3.1428552969194201</v>
      </c>
      <c r="S70" s="2">
        <f>IF(R$4=$E70, $I70*R$55,0) + IF(R$4&gt;$E70,MIN(R70,$I70-SUM($J70:R70)))</f>
        <v>3.1428552969194201</v>
      </c>
      <c r="T70" s="2">
        <f>IF(S$4=$E70, $I70*S$55,0) + IF(S$4&gt;$E70,MIN(S70,$I70-SUM($J70:S70)))</f>
        <v>3.1428552969194201</v>
      </c>
      <c r="U70" s="2">
        <f>IF(T$4=$E70, $I70*T$55,0) + IF(T$4&gt;$E70,MIN(T70,$I70-SUM($J70:T70)))</f>
        <v>3.1428552969194201</v>
      </c>
      <c r="V70" s="2">
        <f>IF(U$4=$E70, $I70*U$55,0) + IF(U$4&gt;$E70,MIN(U70,$I70-SUM($J70:U70)))</f>
        <v>3.1428552969194201</v>
      </c>
      <c r="W70" s="2">
        <f>IF(V$4=$E70, $I70*V$55,0) + IF(V$4&gt;$E70,MIN(V70,$I70-SUM($J70:V70)))</f>
        <v>3.1428552969194201</v>
      </c>
      <c r="X70" s="2">
        <f>IF(W$4=$E70, $I70*W$55,0) + IF(W$4&gt;$E70,MIN(W70,$I70-SUM($J70:W70)))</f>
        <v>3.1428552969194201</v>
      </c>
      <c r="Y70" s="2">
        <f>IF(X$4=$E70, $I70*X$55,0) + IF(X$4&gt;$E70,MIN(X70,$I70-SUM($J70:X70)))</f>
        <v>3.1428552969194201</v>
      </c>
      <c r="Z70" s="2">
        <f>IF(Y$4=$E70, $I70*Y$55,0) + IF(Y$4&gt;$E70,MIN(Y70,$I70-SUM($J70:Y70)))</f>
        <v>3.1428552969194201</v>
      </c>
      <c r="AA70" s="2">
        <f>IF(Z$4=$E70, $I70*Z$55,0) + IF(Z$4&gt;$E70,MIN(Z70,$I70-SUM($J70:Z70)))</f>
        <v>3.1428552969194201</v>
      </c>
      <c r="AB70" s="2">
        <f>IF(AA$4=$E70, $I70*AA$55,0) + IF(AA$4&gt;$E70,MIN(AA70,$I70-SUM($J70:AA70)))</f>
        <v>3.1428552969194201</v>
      </c>
      <c r="AC70" s="2">
        <f>IF(AB$4=$E70, $I70*AB$55,0) + IF(AB$4&gt;$E70,MIN(AB70,$I70-SUM($J70:AB70)))</f>
        <v>3.1428552969194201</v>
      </c>
      <c r="AD70" s="2">
        <f>IF(AC$4=$E70, $I70*AC$55,0) + IF(AC$4&gt;$E70,MIN(AC70,$I70-SUM($J70:AC70)))</f>
        <v>3.1428552969194201</v>
      </c>
      <c r="AE70" s="2">
        <f>IF(AD$4=$E70, $I70*AD$55,0) + IF(AD$4&gt;$E70,MIN(AD70,$I70-SUM($J70:AD70)))</f>
        <v>3.1428552969194201</v>
      </c>
      <c r="AF70" s="2">
        <f>IF(AE$4=$E70, $I70*AE$55,0) + IF(AE$4&gt;$E70,MIN(AE70,$I70-SUM($J70:AE70)))</f>
        <v>3.1428552969194201</v>
      </c>
      <c r="AG70" s="2">
        <f>IF(AF$4=$E70, $I70*AF$55,0) + IF(AF$4&gt;$E70,MIN(AF70,$I70-SUM($J70:AF70)))</f>
        <v>3.1428552969194201</v>
      </c>
      <c r="AH70" s="2">
        <f>IF(AG$4=$E70, $I70*AG$55,0) + IF(AG$4&gt;$E70,MIN(AG70,$I70-SUM($J70:AG70)))</f>
        <v>3.1428552969194201</v>
      </c>
      <c r="AI70" s="2">
        <f>IF(AH$4=$E70, $I70*AH$55,0) + IF(AH$4&gt;$E70,MIN(AH70,$I70-SUM($J70:AH70)))</f>
        <v>3.1428552969194201</v>
      </c>
      <c r="AJ70" s="2">
        <f>IF(AI$4=$E70, $I70*AI$55,0) + IF(AI$4&gt;$E70,MIN(AI70,$I70-SUM($J70:AI70)))</f>
        <v>3.1428552969194201</v>
      </c>
      <c r="AK70" s="2">
        <f>IF(AJ$4=$E70, $I70*AJ$55,0) + IF(AJ$4&gt;$E70,MIN(AJ70,$I70-SUM($J70:AJ70)))</f>
        <v>3.1428552969194201</v>
      </c>
      <c r="AL70" s="2">
        <f>IF(AK$4=$E70, $I70*AK$55,0) + IF(AK$4&gt;$E70,MIN(AK70,$I70-SUM($J70:AK70)))</f>
        <v>3.1428552969194201</v>
      </c>
      <c r="AM70" s="2">
        <f>IF(AL$4=$E70, $I70*AL$55,0) + IF(AL$4&gt;$E70,MIN(AL70,$I70-SUM($J70:AL70)))</f>
        <v>3.1428552969194201</v>
      </c>
      <c r="AN70" s="2">
        <f>IF(AM$4=$E70, $I70*AM$55,0) + IF(AM$4&gt;$E70,MIN(AM70,$I70-SUM($J70:AM70)))</f>
        <v>3.1428552969194201</v>
      </c>
      <c r="AO70" s="2">
        <f>IF(AN$4=$E70, $I70*AN$55,0) + IF(AN$4&gt;$E70,MIN(AN70,$I70-SUM($J70:AN70)))</f>
        <v>3.1428552969194201</v>
      </c>
      <c r="AP70" s="2">
        <f>IF(AO$4=$E70, $I70*AO$55,0) + IF(AO$4&gt;$E70,MIN(AO70,$I70-SUM($J70:AO70)))</f>
        <v>3.1428552969194201</v>
      </c>
      <c r="AQ70" s="57">
        <f>IF(AP$4=$E70, $I70*AP$55,0) + IF(AP$4&gt;$E70,MIN(AP70,$I70-SUM($J70:AP70)))</f>
        <v>3.1428552969194201</v>
      </c>
      <c r="AR70" s="2">
        <f>IF(AQ$4=$E70, $I70*AQ$55,0) + IF(AQ$4&gt;$E70,MIN(AQ70,$I70-SUM($J70:AQ70)))</f>
        <v>3.1428552969194201</v>
      </c>
      <c r="AS70" s="2">
        <f>IF(AR$4=$E70, $I70*AR$55,0) + IF(AR$4&gt;$E70,MIN(AR70,$I70-SUM($J70:AR70)))</f>
        <v>3.1428552969194201</v>
      </c>
      <c r="AT70" s="2">
        <f>IF(AS$4=$E70, $I70*AS$55,0) + IF(AS$4&gt;$E70,MIN(AS70,$I70-SUM($J70:AS70)))</f>
        <v>3.1428552969194201</v>
      </c>
      <c r="AU70" s="2">
        <f>IF(AT$4=$E70, $I70*AT$55,0) + IF(AT$4&gt;$E70,MIN(AT70,$I70-SUM($J70:AT70)))</f>
        <v>3.1428552969194201</v>
      </c>
      <c r="AV70" s="2">
        <f>IF(AU$4=$E70, $I70*AU$55,0) + IF(AU$4&gt;$E70,MIN(AU70,$I70-SUM($J70:AU70)))</f>
        <v>3.1428552969194201</v>
      </c>
      <c r="AW70" s="2"/>
    </row>
    <row r="71" spans="5:49" ht="15" outlineLevel="1">
      <c r="E71" s="44">
        <f>INDEX($K$4:$AV$4,,COUNT(E$65:E70)+1)</f>
        <v>35155</v>
      </c>
      <c r="G71" s="2" t="s">
        <v>101</v>
      </c>
      <c r="I71" s="2">
        <f t="shared" si="62"/>
        <v>107.62082174529043</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3.2318565088675806</v>
      </c>
      <c r="R71" s="2">
        <f>IF(Q$4=$E71, $I71*Q$55,0) + IF(Q$4&gt;$E71,MIN(Q71,$I71-SUM($J71:Q71)))</f>
        <v>3.2318565088675806</v>
      </c>
      <c r="S71" s="2">
        <f>IF(R$4=$E71, $I71*R$55,0) + IF(R$4&gt;$E71,MIN(R71,$I71-SUM($J71:R71)))</f>
        <v>3.2318565088675806</v>
      </c>
      <c r="T71" s="2">
        <f>IF(S$4=$E71, $I71*S$55,0) + IF(S$4&gt;$E71,MIN(S71,$I71-SUM($J71:S71)))</f>
        <v>3.2318565088675806</v>
      </c>
      <c r="U71" s="2">
        <f>IF(T$4=$E71, $I71*T$55,0) + IF(T$4&gt;$E71,MIN(T71,$I71-SUM($J71:T71)))</f>
        <v>3.2318565088675806</v>
      </c>
      <c r="V71" s="2">
        <f>IF(U$4=$E71, $I71*U$55,0) + IF(U$4&gt;$E71,MIN(U71,$I71-SUM($J71:U71)))</f>
        <v>3.2318565088675806</v>
      </c>
      <c r="W71" s="2">
        <f>IF(V$4=$E71, $I71*V$55,0) + IF(V$4&gt;$E71,MIN(V71,$I71-SUM($J71:V71)))</f>
        <v>3.2318565088675806</v>
      </c>
      <c r="X71" s="2">
        <f>IF(W$4=$E71, $I71*W$55,0) + IF(W$4&gt;$E71,MIN(W71,$I71-SUM($J71:W71)))</f>
        <v>3.2318565088675806</v>
      </c>
      <c r="Y71" s="2">
        <f>IF(X$4=$E71, $I71*X$55,0) + IF(X$4&gt;$E71,MIN(X71,$I71-SUM($J71:X71)))</f>
        <v>3.2318565088675806</v>
      </c>
      <c r="Z71" s="2">
        <f>IF(Y$4=$E71, $I71*Y$55,0) + IF(Y$4&gt;$E71,MIN(Y71,$I71-SUM($J71:Y71)))</f>
        <v>3.2318565088675806</v>
      </c>
      <c r="AA71" s="2">
        <f>IF(Z$4=$E71, $I71*Z$55,0) + IF(Z$4&gt;$E71,MIN(Z71,$I71-SUM($J71:Z71)))</f>
        <v>3.2318565088675806</v>
      </c>
      <c r="AB71" s="2">
        <f>IF(AA$4=$E71, $I71*AA$55,0) + IF(AA$4&gt;$E71,MIN(AA71,$I71-SUM($J71:AA71)))</f>
        <v>3.2318565088675806</v>
      </c>
      <c r="AC71" s="2">
        <f>IF(AB$4=$E71, $I71*AB$55,0) + IF(AB$4&gt;$E71,MIN(AB71,$I71-SUM($J71:AB71)))</f>
        <v>3.2318565088675806</v>
      </c>
      <c r="AD71" s="2">
        <f>IF(AC$4=$E71, $I71*AC$55,0) + IF(AC$4&gt;$E71,MIN(AC71,$I71-SUM($J71:AC71)))</f>
        <v>3.2318565088675806</v>
      </c>
      <c r="AE71" s="2">
        <f>IF(AD$4=$E71, $I71*AD$55,0) + IF(AD$4&gt;$E71,MIN(AD71,$I71-SUM($J71:AD71)))</f>
        <v>3.2318565088675806</v>
      </c>
      <c r="AF71" s="2">
        <f>IF(AE$4=$E71, $I71*AE$55,0) + IF(AE$4&gt;$E71,MIN(AE71,$I71-SUM($J71:AE71)))</f>
        <v>3.2318565088675806</v>
      </c>
      <c r="AG71" s="2">
        <f>IF(AF$4=$E71, $I71*AF$55,0) + IF(AF$4&gt;$E71,MIN(AF71,$I71-SUM($J71:AF71)))</f>
        <v>3.2318565088675806</v>
      </c>
      <c r="AH71" s="2">
        <f>IF(AG$4=$E71, $I71*AG$55,0) + IF(AG$4&gt;$E71,MIN(AG71,$I71-SUM($J71:AG71)))</f>
        <v>3.2318565088675806</v>
      </c>
      <c r="AI71" s="2">
        <f>IF(AH$4=$E71, $I71*AH$55,0) + IF(AH$4&gt;$E71,MIN(AH71,$I71-SUM($J71:AH71)))</f>
        <v>3.2318565088675806</v>
      </c>
      <c r="AJ71" s="2">
        <f>IF(AI$4=$E71, $I71*AI$55,0) + IF(AI$4&gt;$E71,MIN(AI71,$I71-SUM($J71:AI71)))</f>
        <v>3.2318565088675806</v>
      </c>
      <c r="AK71" s="2">
        <f>IF(AJ$4=$E71, $I71*AJ$55,0) + IF(AJ$4&gt;$E71,MIN(AJ71,$I71-SUM($J71:AJ71)))</f>
        <v>3.2318565088675806</v>
      </c>
      <c r="AL71" s="2">
        <f>IF(AK$4=$E71, $I71*AK$55,0) + IF(AK$4&gt;$E71,MIN(AK71,$I71-SUM($J71:AK71)))</f>
        <v>3.2318565088675806</v>
      </c>
      <c r="AM71" s="2">
        <f>IF(AL$4=$E71, $I71*AL$55,0) + IF(AL$4&gt;$E71,MIN(AL71,$I71-SUM($J71:AL71)))</f>
        <v>3.2318565088675806</v>
      </c>
      <c r="AN71" s="2">
        <f>IF(AM$4=$E71, $I71*AM$55,0) + IF(AM$4&gt;$E71,MIN(AM71,$I71-SUM($J71:AM71)))</f>
        <v>3.2318565088675806</v>
      </c>
      <c r="AO71" s="2">
        <f>IF(AN$4=$E71, $I71*AN$55,0) + IF(AN$4&gt;$E71,MIN(AN71,$I71-SUM($J71:AN71)))</f>
        <v>3.2318565088675806</v>
      </c>
      <c r="AP71" s="2">
        <f>IF(AO$4=$E71, $I71*AO$55,0) + IF(AO$4&gt;$E71,MIN(AO71,$I71-SUM($J71:AO71)))</f>
        <v>3.2318565088675806</v>
      </c>
      <c r="AQ71" s="57">
        <f>IF(AP$4=$E71, $I71*AP$55,0) + IF(AP$4&gt;$E71,MIN(AP71,$I71-SUM($J71:AP71)))</f>
        <v>3.2318565088675806</v>
      </c>
      <c r="AR71" s="2">
        <f>IF(AQ$4=$E71, $I71*AQ$55,0) + IF(AQ$4&gt;$E71,MIN(AQ71,$I71-SUM($J71:AQ71)))</f>
        <v>3.2318565088675806</v>
      </c>
      <c r="AS71" s="2">
        <f>IF(AR$4=$E71, $I71*AR$55,0) + IF(AR$4&gt;$E71,MIN(AR71,$I71-SUM($J71:AR71)))</f>
        <v>3.2318565088675806</v>
      </c>
      <c r="AT71" s="2">
        <f>IF(AS$4=$E71, $I71*AS$55,0) + IF(AS$4&gt;$E71,MIN(AS71,$I71-SUM($J71:AS71)))</f>
        <v>3.2318565088675806</v>
      </c>
      <c r="AU71" s="2">
        <f>IF(AT$4=$E71, $I71*AT$55,0) + IF(AT$4&gt;$E71,MIN(AT71,$I71-SUM($J71:AT71)))</f>
        <v>3.2318565088675806</v>
      </c>
      <c r="AV71" s="2">
        <f>IF(AU$4=$E71, $I71*AU$55,0) + IF(AU$4&gt;$E71,MIN(AU71,$I71-SUM($J71:AU71)))</f>
        <v>3.2318565088675806</v>
      </c>
      <c r="AW71" s="2"/>
    </row>
    <row r="72" spans="5:49" ht="15" outlineLevel="1">
      <c r="E72" s="44">
        <f>INDEX($K$4:$AV$4,,COUNT(E$65:E71)+1)</f>
        <v>35520</v>
      </c>
      <c r="G72" s="2" t="s">
        <v>101</v>
      </c>
      <c r="I72" s="2">
        <f t="shared" si="62"/>
        <v>116.32680904654455</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3.4932975689653021</v>
      </c>
      <c r="S72" s="2">
        <f>IF(R$4=$E72, $I72*R$55,0) + IF(R$4&gt;$E72,MIN(R72,$I72-SUM($J72:R72)))</f>
        <v>3.4932975689653021</v>
      </c>
      <c r="T72" s="2">
        <f>IF(S$4=$E72, $I72*S$55,0) + IF(S$4&gt;$E72,MIN(S72,$I72-SUM($J72:S72)))</f>
        <v>3.4932975689653021</v>
      </c>
      <c r="U72" s="2">
        <f>IF(T$4=$E72, $I72*T$55,0) + IF(T$4&gt;$E72,MIN(T72,$I72-SUM($J72:T72)))</f>
        <v>3.4932975689653021</v>
      </c>
      <c r="V72" s="2">
        <f>IF(U$4=$E72, $I72*U$55,0) + IF(U$4&gt;$E72,MIN(U72,$I72-SUM($J72:U72)))</f>
        <v>3.4932975689653021</v>
      </c>
      <c r="W72" s="2">
        <f>IF(V$4=$E72, $I72*V$55,0) + IF(V$4&gt;$E72,MIN(V72,$I72-SUM($J72:V72)))</f>
        <v>3.4932975689653021</v>
      </c>
      <c r="X72" s="2">
        <f>IF(W$4=$E72, $I72*W$55,0) + IF(W$4&gt;$E72,MIN(W72,$I72-SUM($J72:W72)))</f>
        <v>3.4932975689653021</v>
      </c>
      <c r="Y72" s="2">
        <f>IF(X$4=$E72, $I72*X$55,0) + IF(X$4&gt;$E72,MIN(X72,$I72-SUM($J72:X72)))</f>
        <v>3.4932975689653021</v>
      </c>
      <c r="Z72" s="2">
        <f>IF(Y$4=$E72, $I72*Y$55,0) + IF(Y$4&gt;$E72,MIN(Y72,$I72-SUM($J72:Y72)))</f>
        <v>3.4932975689653021</v>
      </c>
      <c r="AA72" s="2">
        <f>IF(Z$4=$E72, $I72*Z$55,0) + IF(Z$4&gt;$E72,MIN(Z72,$I72-SUM($J72:Z72)))</f>
        <v>3.4932975689653021</v>
      </c>
      <c r="AB72" s="2">
        <f>IF(AA$4=$E72, $I72*AA$55,0) + IF(AA$4&gt;$E72,MIN(AA72,$I72-SUM($J72:AA72)))</f>
        <v>3.4932975689653021</v>
      </c>
      <c r="AC72" s="2">
        <f>IF(AB$4=$E72, $I72*AB$55,0) + IF(AB$4&gt;$E72,MIN(AB72,$I72-SUM($J72:AB72)))</f>
        <v>3.4932975689653021</v>
      </c>
      <c r="AD72" s="2">
        <f>IF(AC$4=$E72, $I72*AC$55,0) + IF(AC$4&gt;$E72,MIN(AC72,$I72-SUM($J72:AC72)))</f>
        <v>3.4932975689653021</v>
      </c>
      <c r="AE72" s="2">
        <f>IF(AD$4=$E72, $I72*AD$55,0) + IF(AD$4&gt;$E72,MIN(AD72,$I72-SUM($J72:AD72)))</f>
        <v>3.4932975689653021</v>
      </c>
      <c r="AF72" s="2">
        <f>IF(AE$4=$E72, $I72*AE$55,0) + IF(AE$4&gt;$E72,MIN(AE72,$I72-SUM($J72:AE72)))</f>
        <v>3.4932975689653021</v>
      </c>
      <c r="AG72" s="2">
        <f>IF(AF$4=$E72, $I72*AF$55,0) + IF(AF$4&gt;$E72,MIN(AF72,$I72-SUM($J72:AF72)))</f>
        <v>3.4932975689653021</v>
      </c>
      <c r="AH72" s="2">
        <f>IF(AG$4=$E72, $I72*AG$55,0) + IF(AG$4&gt;$E72,MIN(AG72,$I72-SUM($J72:AG72)))</f>
        <v>3.4932975689653021</v>
      </c>
      <c r="AI72" s="2">
        <f>IF(AH$4=$E72, $I72*AH$55,0) + IF(AH$4&gt;$E72,MIN(AH72,$I72-SUM($J72:AH72)))</f>
        <v>3.4932975689653021</v>
      </c>
      <c r="AJ72" s="2">
        <f>IF(AI$4=$E72, $I72*AI$55,0) + IF(AI$4&gt;$E72,MIN(AI72,$I72-SUM($J72:AI72)))</f>
        <v>3.4932975689653021</v>
      </c>
      <c r="AK72" s="2">
        <f>IF(AJ$4=$E72, $I72*AJ$55,0) + IF(AJ$4&gt;$E72,MIN(AJ72,$I72-SUM($J72:AJ72)))</f>
        <v>3.4932975689653021</v>
      </c>
      <c r="AL72" s="2">
        <f>IF(AK$4=$E72, $I72*AK$55,0) + IF(AK$4&gt;$E72,MIN(AK72,$I72-SUM($J72:AK72)))</f>
        <v>3.4932975689653021</v>
      </c>
      <c r="AM72" s="2">
        <f>IF(AL$4=$E72, $I72*AL$55,0) + IF(AL$4&gt;$E72,MIN(AL72,$I72-SUM($J72:AL72)))</f>
        <v>3.4932975689653021</v>
      </c>
      <c r="AN72" s="2">
        <f>IF(AM$4=$E72, $I72*AM$55,0) + IF(AM$4&gt;$E72,MIN(AM72,$I72-SUM($J72:AM72)))</f>
        <v>3.4932975689653021</v>
      </c>
      <c r="AO72" s="2">
        <f>IF(AN$4=$E72, $I72*AN$55,0) + IF(AN$4&gt;$E72,MIN(AN72,$I72-SUM($J72:AN72)))</f>
        <v>3.4932975689653021</v>
      </c>
      <c r="AP72" s="2">
        <f>IF(AO$4=$E72, $I72*AO$55,0) + IF(AO$4&gt;$E72,MIN(AO72,$I72-SUM($J72:AO72)))</f>
        <v>3.4932975689653021</v>
      </c>
      <c r="AQ72" s="57">
        <f>IF(AP$4=$E72, $I72*AP$55,0) + IF(AP$4&gt;$E72,MIN(AP72,$I72-SUM($J72:AP72)))</f>
        <v>3.4932975689653021</v>
      </c>
      <c r="AR72" s="2">
        <f>IF(AQ$4=$E72, $I72*AQ$55,0) + IF(AQ$4&gt;$E72,MIN(AQ72,$I72-SUM($J72:AQ72)))</f>
        <v>3.4932975689653021</v>
      </c>
      <c r="AS72" s="2">
        <f>IF(AR$4=$E72, $I72*AR$55,0) + IF(AR$4&gt;$E72,MIN(AR72,$I72-SUM($J72:AR72)))</f>
        <v>3.4932975689653021</v>
      </c>
      <c r="AT72" s="2">
        <f>IF(AS$4=$E72, $I72*AS$55,0) + IF(AS$4&gt;$E72,MIN(AS72,$I72-SUM($J72:AS72)))</f>
        <v>3.4932975689653021</v>
      </c>
      <c r="AU72" s="2">
        <f>IF(AT$4=$E72, $I72*AT$55,0) + IF(AT$4&gt;$E72,MIN(AT72,$I72-SUM($J72:AT72)))</f>
        <v>3.4932975689653021</v>
      </c>
      <c r="AV72" s="2">
        <f>IF(AU$4=$E72, $I72*AU$55,0) + IF(AU$4&gt;$E72,MIN(AU72,$I72-SUM($J72:AU72)))</f>
        <v>3.4932975689653021</v>
      </c>
      <c r="AW72" s="2"/>
    </row>
    <row r="73" spans="5:49" ht="15" outlineLevel="1">
      <c r="E73" s="44">
        <f>INDEX($K$4:$AV$4,,COUNT(E$65:E72)+1)</f>
        <v>35885</v>
      </c>
      <c r="G73" s="2" t="s">
        <v>101</v>
      </c>
      <c r="I73" s="2">
        <f t="shared" si="62"/>
        <v>139.11056304769897</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4.1774943858167868</v>
      </c>
      <c r="T73" s="2">
        <f>IF(S$4=$E73, $I73*S$55,0) + IF(S$4&gt;$E73,MIN(S73,$I73-SUM($J73:S73)))</f>
        <v>4.1774943858167868</v>
      </c>
      <c r="U73" s="2">
        <f>IF(T$4=$E73, $I73*T$55,0) + IF(T$4&gt;$E73,MIN(T73,$I73-SUM($J73:T73)))</f>
        <v>4.1774943858167868</v>
      </c>
      <c r="V73" s="2">
        <f>IF(U$4=$E73, $I73*U$55,0) + IF(U$4&gt;$E73,MIN(U73,$I73-SUM($J73:U73)))</f>
        <v>4.1774943858167868</v>
      </c>
      <c r="W73" s="2">
        <f>IF(V$4=$E73, $I73*V$55,0) + IF(V$4&gt;$E73,MIN(V73,$I73-SUM($J73:V73)))</f>
        <v>4.1774943858167868</v>
      </c>
      <c r="X73" s="2">
        <f>IF(W$4=$E73, $I73*W$55,0) + IF(W$4&gt;$E73,MIN(W73,$I73-SUM($J73:W73)))</f>
        <v>4.1774943858167868</v>
      </c>
      <c r="Y73" s="2">
        <f>IF(X$4=$E73, $I73*X$55,0) + IF(X$4&gt;$E73,MIN(X73,$I73-SUM($J73:X73)))</f>
        <v>4.1774943858167868</v>
      </c>
      <c r="Z73" s="2">
        <f>IF(Y$4=$E73, $I73*Y$55,0) + IF(Y$4&gt;$E73,MIN(Y73,$I73-SUM($J73:Y73)))</f>
        <v>4.1774943858167868</v>
      </c>
      <c r="AA73" s="2">
        <f>IF(Z$4=$E73, $I73*Z$55,0) + IF(Z$4&gt;$E73,MIN(Z73,$I73-SUM($J73:Z73)))</f>
        <v>4.1774943858167868</v>
      </c>
      <c r="AB73" s="2">
        <f>IF(AA$4=$E73, $I73*AA$55,0) + IF(AA$4&gt;$E73,MIN(AA73,$I73-SUM($J73:AA73)))</f>
        <v>4.1774943858167868</v>
      </c>
      <c r="AC73" s="2">
        <f>IF(AB$4=$E73, $I73*AB$55,0) + IF(AB$4&gt;$E73,MIN(AB73,$I73-SUM($J73:AB73)))</f>
        <v>4.1774943858167868</v>
      </c>
      <c r="AD73" s="2">
        <f>IF(AC$4=$E73, $I73*AC$55,0) + IF(AC$4&gt;$E73,MIN(AC73,$I73-SUM($J73:AC73)))</f>
        <v>4.1774943858167868</v>
      </c>
      <c r="AE73" s="2">
        <f>IF(AD$4=$E73, $I73*AD$55,0) + IF(AD$4&gt;$E73,MIN(AD73,$I73-SUM($J73:AD73)))</f>
        <v>4.1774943858167868</v>
      </c>
      <c r="AF73" s="2">
        <f>IF(AE$4=$E73, $I73*AE$55,0) + IF(AE$4&gt;$E73,MIN(AE73,$I73-SUM($J73:AE73)))</f>
        <v>4.1774943858167868</v>
      </c>
      <c r="AG73" s="2">
        <f>IF(AF$4=$E73, $I73*AF$55,0) + IF(AF$4&gt;$E73,MIN(AF73,$I73-SUM($J73:AF73)))</f>
        <v>4.1774943858167868</v>
      </c>
      <c r="AH73" s="2">
        <f>IF(AG$4=$E73, $I73*AG$55,0) + IF(AG$4&gt;$E73,MIN(AG73,$I73-SUM($J73:AG73)))</f>
        <v>4.1774943858167868</v>
      </c>
      <c r="AI73" s="2">
        <f>IF(AH$4=$E73, $I73*AH$55,0) + IF(AH$4&gt;$E73,MIN(AH73,$I73-SUM($J73:AH73)))</f>
        <v>4.1774943858167868</v>
      </c>
      <c r="AJ73" s="2">
        <f>IF(AI$4=$E73, $I73*AI$55,0) + IF(AI$4&gt;$E73,MIN(AI73,$I73-SUM($J73:AI73)))</f>
        <v>4.1774943858167868</v>
      </c>
      <c r="AK73" s="2">
        <f>IF(AJ$4=$E73, $I73*AJ$55,0) + IF(AJ$4&gt;$E73,MIN(AJ73,$I73-SUM($J73:AJ73)))</f>
        <v>4.1774943858167868</v>
      </c>
      <c r="AL73" s="2">
        <f>IF(AK$4=$E73, $I73*AK$55,0) + IF(AK$4&gt;$E73,MIN(AK73,$I73-SUM($J73:AK73)))</f>
        <v>4.1774943858167868</v>
      </c>
      <c r="AM73" s="2">
        <f>IF(AL$4=$E73, $I73*AL$55,0) + IF(AL$4&gt;$E73,MIN(AL73,$I73-SUM($J73:AL73)))</f>
        <v>4.1774943858167868</v>
      </c>
      <c r="AN73" s="2">
        <f>IF(AM$4=$E73, $I73*AM$55,0) + IF(AM$4&gt;$E73,MIN(AM73,$I73-SUM($J73:AM73)))</f>
        <v>4.1774943858167868</v>
      </c>
      <c r="AO73" s="2">
        <f>IF(AN$4=$E73, $I73*AN$55,0) + IF(AN$4&gt;$E73,MIN(AN73,$I73-SUM($J73:AN73)))</f>
        <v>4.1774943858167868</v>
      </c>
      <c r="AP73" s="2">
        <f>IF(AO$4=$E73, $I73*AO$55,0) + IF(AO$4&gt;$E73,MIN(AO73,$I73-SUM($J73:AO73)))</f>
        <v>4.1774943858167868</v>
      </c>
      <c r="AQ73" s="57">
        <f>IF(AP$4=$E73, $I73*AP$55,0) + IF(AP$4&gt;$E73,MIN(AP73,$I73-SUM($J73:AP73)))</f>
        <v>4.1774943858167868</v>
      </c>
      <c r="AR73" s="2">
        <f>IF(AQ$4=$E73, $I73*AQ$55,0) + IF(AQ$4&gt;$E73,MIN(AQ73,$I73-SUM($J73:AQ73)))</f>
        <v>4.1774943858167868</v>
      </c>
      <c r="AS73" s="2">
        <f>IF(AR$4=$E73, $I73*AR$55,0) + IF(AR$4&gt;$E73,MIN(AR73,$I73-SUM($J73:AR73)))</f>
        <v>4.1774943858167868</v>
      </c>
      <c r="AT73" s="2">
        <f>IF(AS$4=$E73, $I73*AS$55,0) + IF(AS$4&gt;$E73,MIN(AS73,$I73-SUM($J73:AS73)))</f>
        <v>4.1774943858167868</v>
      </c>
      <c r="AU73" s="2">
        <f>IF(AT$4=$E73, $I73*AT$55,0) + IF(AT$4&gt;$E73,MIN(AT73,$I73-SUM($J73:AT73)))</f>
        <v>4.1774943858167868</v>
      </c>
      <c r="AV73" s="2">
        <f>IF(AU$4=$E73, $I73*AU$55,0) + IF(AU$4&gt;$E73,MIN(AU73,$I73-SUM($J73:AU73)))</f>
        <v>4.1774943858167868</v>
      </c>
      <c r="AW73" s="2"/>
    </row>
    <row r="74" spans="5:49" ht="15" outlineLevel="1">
      <c r="E74" s="44">
        <f>INDEX($K$4:$AV$4,,COUNT(E$65:E73)+1)</f>
        <v>36250</v>
      </c>
      <c r="G74" s="2" t="s">
        <v>101</v>
      </c>
      <c r="I74" s="2">
        <f t="shared" si="62"/>
        <v>135.05514025886723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4.0557099176837008</v>
      </c>
      <c r="U74" s="2">
        <f>IF(T$4=$E74, $I74*T$55,0) + IF(T$4&gt;$E74,MIN(T74,$I74-SUM($J74:T74)))</f>
        <v>4.0557099176837008</v>
      </c>
      <c r="V74" s="2">
        <f>IF(U$4=$E74, $I74*U$55,0) + IF(U$4&gt;$E74,MIN(U74,$I74-SUM($J74:U74)))</f>
        <v>4.0557099176837008</v>
      </c>
      <c r="W74" s="2">
        <f>IF(V$4=$E74, $I74*V$55,0) + IF(V$4&gt;$E74,MIN(V74,$I74-SUM($J74:V74)))</f>
        <v>4.0557099176837008</v>
      </c>
      <c r="X74" s="2">
        <f>IF(W$4=$E74, $I74*W$55,0) + IF(W$4&gt;$E74,MIN(W74,$I74-SUM($J74:W74)))</f>
        <v>4.0557099176837008</v>
      </c>
      <c r="Y74" s="2">
        <f>IF(X$4=$E74, $I74*X$55,0) + IF(X$4&gt;$E74,MIN(X74,$I74-SUM($J74:X74)))</f>
        <v>4.0557099176837008</v>
      </c>
      <c r="Z74" s="2">
        <f>IF(Y$4=$E74, $I74*Y$55,0) + IF(Y$4&gt;$E74,MIN(Y74,$I74-SUM($J74:Y74)))</f>
        <v>4.0557099176837008</v>
      </c>
      <c r="AA74" s="2">
        <f>IF(Z$4=$E74, $I74*Z$55,0) + IF(Z$4&gt;$E74,MIN(Z74,$I74-SUM($J74:Z74)))</f>
        <v>4.0557099176837008</v>
      </c>
      <c r="AB74" s="2">
        <f>IF(AA$4=$E74, $I74*AA$55,0) + IF(AA$4&gt;$E74,MIN(AA74,$I74-SUM($J74:AA74)))</f>
        <v>4.0557099176837008</v>
      </c>
      <c r="AC74" s="2">
        <f>IF(AB$4=$E74, $I74*AB$55,0) + IF(AB$4&gt;$E74,MIN(AB74,$I74-SUM($J74:AB74)))</f>
        <v>4.0557099176837008</v>
      </c>
      <c r="AD74" s="2">
        <f>IF(AC$4=$E74, $I74*AC$55,0) + IF(AC$4&gt;$E74,MIN(AC74,$I74-SUM($J74:AC74)))</f>
        <v>4.0557099176837008</v>
      </c>
      <c r="AE74" s="2">
        <f>IF(AD$4=$E74, $I74*AD$55,0) + IF(AD$4&gt;$E74,MIN(AD74,$I74-SUM($J74:AD74)))</f>
        <v>4.0557099176837008</v>
      </c>
      <c r="AF74" s="2">
        <f>IF(AE$4=$E74, $I74*AE$55,0) + IF(AE$4&gt;$E74,MIN(AE74,$I74-SUM($J74:AE74)))</f>
        <v>4.0557099176837008</v>
      </c>
      <c r="AG74" s="2">
        <f>IF(AF$4=$E74, $I74*AF$55,0) + IF(AF$4&gt;$E74,MIN(AF74,$I74-SUM($J74:AF74)))</f>
        <v>4.0557099176837008</v>
      </c>
      <c r="AH74" s="2">
        <f>IF(AG$4=$E74, $I74*AG$55,0) + IF(AG$4&gt;$E74,MIN(AG74,$I74-SUM($J74:AG74)))</f>
        <v>4.0557099176837008</v>
      </c>
      <c r="AI74" s="2">
        <f>IF(AH$4=$E74, $I74*AH$55,0) + IF(AH$4&gt;$E74,MIN(AH74,$I74-SUM($J74:AH74)))</f>
        <v>4.0557099176837008</v>
      </c>
      <c r="AJ74" s="2">
        <f>IF(AI$4=$E74, $I74*AI$55,0) + IF(AI$4&gt;$E74,MIN(AI74,$I74-SUM($J74:AI74)))</f>
        <v>4.0557099176837008</v>
      </c>
      <c r="AK74" s="2">
        <f>IF(AJ$4=$E74, $I74*AJ$55,0) + IF(AJ$4&gt;$E74,MIN(AJ74,$I74-SUM($J74:AJ74)))</f>
        <v>4.0557099176837008</v>
      </c>
      <c r="AL74" s="2">
        <f>IF(AK$4=$E74, $I74*AK$55,0) + IF(AK$4&gt;$E74,MIN(AK74,$I74-SUM($J74:AK74)))</f>
        <v>4.0557099176837008</v>
      </c>
      <c r="AM74" s="2">
        <f>IF(AL$4=$E74, $I74*AL$55,0) + IF(AL$4&gt;$E74,MIN(AL74,$I74-SUM($J74:AL74)))</f>
        <v>4.0557099176837008</v>
      </c>
      <c r="AN74" s="2">
        <f>IF(AM$4=$E74, $I74*AM$55,0) + IF(AM$4&gt;$E74,MIN(AM74,$I74-SUM($J74:AM74)))</f>
        <v>4.0557099176837008</v>
      </c>
      <c r="AO74" s="2">
        <f>IF(AN$4=$E74, $I74*AN$55,0) + IF(AN$4&gt;$E74,MIN(AN74,$I74-SUM($J74:AN74)))</f>
        <v>4.0557099176837008</v>
      </c>
      <c r="AP74" s="2">
        <f>IF(AO$4=$E74, $I74*AO$55,0) + IF(AO$4&gt;$E74,MIN(AO74,$I74-SUM($J74:AO74)))</f>
        <v>4.0557099176837008</v>
      </c>
      <c r="AQ74" s="57">
        <f>IF(AP$4=$E74, $I74*AP$55,0) + IF(AP$4&gt;$E74,MIN(AP74,$I74-SUM($J74:AP74)))</f>
        <v>4.0557099176837008</v>
      </c>
      <c r="AR74" s="2">
        <f>IF(AQ$4=$E74, $I74*AQ$55,0) + IF(AQ$4&gt;$E74,MIN(AQ74,$I74-SUM($J74:AQ74)))</f>
        <v>4.0557099176837008</v>
      </c>
      <c r="AS74" s="2">
        <f>IF(AR$4=$E74, $I74*AR$55,0) + IF(AR$4&gt;$E74,MIN(AR74,$I74-SUM($J74:AR74)))</f>
        <v>4.0557099176837008</v>
      </c>
      <c r="AT74" s="2">
        <f>IF(AS$4=$E74, $I74*AS$55,0) + IF(AS$4&gt;$E74,MIN(AS74,$I74-SUM($J74:AS74)))</f>
        <v>4.0557099176837008</v>
      </c>
      <c r="AU74" s="2">
        <f>IF(AT$4=$E74, $I74*AT$55,0) + IF(AT$4&gt;$E74,MIN(AT74,$I74-SUM($J74:AT74)))</f>
        <v>4.0557099176837008</v>
      </c>
      <c r="AV74" s="2">
        <f>IF(AU$4=$E74, $I74*AU$55,0) + IF(AU$4&gt;$E74,MIN(AU74,$I74-SUM($J74:AU74)))</f>
        <v>4.0557099176837008</v>
      </c>
      <c r="AW74" s="2"/>
    </row>
    <row r="75" spans="5:49" ht="15" outlineLevel="1">
      <c r="E75" s="44">
        <f>INDEX($K$4:$AV$4,,COUNT(E$65:E74)+1)</f>
        <v>36616</v>
      </c>
      <c r="G75" s="2" t="s">
        <v>101</v>
      </c>
      <c r="I75" s="2">
        <f t="shared" si="62"/>
        <v>134.39535116721777</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4.0358964314479815</v>
      </c>
      <c r="V75" s="2">
        <f>IF(U$4=$E75, $I75*U$55,0) + IF(U$4&gt;$E75,MIN(U75,$I75-SUM($J75:U75)))</f>
        <v>4.0358964314479815</v>
      </c>
      <c r="W75" s="2">
        <f>IF(V$4=$E75, $I75*V$55,0) + IF(V$4&gt;$E75,MIN(V75,$I75-SUM($J75:V75)))</f>
        <v>4.0358964314479815</v>
      </c>
      <c r="X75" s="2">
        <f>IF(W$4=$E75, $I75*W$55,0) + IF(W$4&gt;$E75,MIN(W75,$I75-SUM($J75:W75)))</f>
        <v>4.0358964314479815</v>
      </c>
      <c r="Y75" s="2">
        <f>IF(X$4=$E75, $I75*X$55,0) + IF(X$4&gt;$E75,MIN(X75,$I75-SUM($J75:X75)))</f>
        <v>4.0358964314479815</v>
      </c>
      <c r="Z75" s="2">
        <f>IF(Y$4=$E75, $I75*Y$55,0) + IF(Y$4&gt;$E75,MIN(Y75,$I75-SUM($J75:Y75)))</f>
        <v>4.0358964314479815</v>
      </c>
      <c r="AA75" s="2">
        <f>IF(Z$4=$E75, $I75*Z$55,0) + IF(Z$4&gt;$E75,MIN(Z75,$I75-SUM($J75:Z75)))</f>
        <v>4.0358964314479815</v>
      </c>
      <c r="AB75" s="2">
        <f>IF(AA$4=$E75, $I75*AA$55,0) + IF(AA$4&gt;$E75,MIN(AA75,$I75-SUM($J75:AA75)))</f>
        <v>4.0358964314479815</v>
      </c>
      <c r="AC75" s="2">
        <f>IF(AB$4=$E75, $I75*AB$55,0) + IF(AB$4&gt;$E75,MIN(AB75,$I75-SUM($J75:AB75)))</f>
        <v>4.0358964314479815</v>
      </c>
      <c r="AD75" s="2">
        <f>IF(AC$4=$E75, $I75*AC$55,0) + IF(AC$4&gt;$E75,MIN(AC75,$I75-SUM($J75:AC75)))</f>
        <v>4.0358964314479815</v>
      </c>
      <c r="AE75" s="2">
        <f>IF(AD$4=$E75, $I75*AD$55,0) + IF(AD$4&gt;$E75,MIN(AD75,$I75-SUM($J75:AD75)))</f>
        <v>4.0358964314479815</v>
      </c>
      <c r="AF75" s="2">
        <f>IF(AE$4=$E75, $I75*AE$55,0) + IF(AE$4&gt;$E75,MIN(AE75,$I75-SUM($J75:AE75)))</f>
        <v>4.0358964314479815</v>
      </c>
      <c r="AG75" s="2">
        <f>IF(AF$4=$E75, $I75*AF$55,0) + IF(AF$4&gt;$E75,MIN(AF75,$I75-SUM($J75:AF75)))</f>
        <v>4.0358964314479815</v>
      </c>
      <c r="AH75" s="2">
        <f>IF(AG$4=$E75, $I75*AG$55,0) + IF(AG$4&gt;$E75,MIN(AG75,$I75-SUM($J75:AG75)))</f>
        <v>4.0358964314479815</v>
      </c>
      <c r="AI75" s="2">
        <f>IF(AH$4=$E75, $I75*AH$55,0) + IF(AH$4&gt;$E75,MIN(AH75,$I75-SUM($J75:AH75)))</f>
        <v>4.0358964314479815</v>
      </c>
      <c r="AJ75" s="2">
        <f>IF(AI$4=$E75, $I75*AI$55,0) + IF(AI$4&gt;$E75,MIN(AI75,$I75-SUM($J75:AI75)))</f>
        <v>4.0358964314479815</v>
      </c>
      <c r="AK75" s="2">
        <f>IF(AJ$4=$E75, $I75*AJ$55,0) + IF(AJ$4&gt;$E75,MIN(AJ75,$I75-SUM($J75:AJ75)))</f>
        <v>4.0358964314479815</v>
      </c>
      <c r="AL75" s="2">
        <f>IF(AK$4=$E75, $I75*AK$55,0) + IF(AK$4&gt;$E75,MIN(AK75,$I75-SUM($J75:AK75)))</f>
        <v>4.0358964314479815</v>
      </c>
      <c r="AM75" s="2">
        <f>IF(AL$4=$E75, $I75*AL$55,0) + IF(AL$4&gt;$E75,MIN(AL75,$I75-SUM($J75:AL75)))</f>
        <v>4.0358964314479815</v>
      </c>
      <c r="AN75" s="2">
        <f>IF(AM$4=$E75, $I75*AM$55,0) + IF(AM$4&gt;$E75,MIN(AM75,$I75-SUM($J75:AM75)))</f>
        <v>4.0358964314479815</v>
      </c>
      <c r="AO75" s="2">
        <f>IF(AN$4=$E75, $I75*AN$55,0) + IF(AN$4&gt;$E75,MIN(AN75,$I75-SUM($J75:AN75)))</f>
        <v>4.0358964314479815</v>
      </c>
      <c r="AP75" s="2">
        <f>IF(AO$4=$E75, $I75*AO$55,0) + IF(AO$4&gt;$E75,MIN(AO75,$I75-SUM($J75:AO75)))</f>
        <v>4.0358964314479815</v>
      </c>
      <c r="AQ75" s="57">
        <f>IF(AP$4=$E75, $I75*AP$55,0) + IF(AP$4&gt;$E75,MIN(AP75,$I75-SUM($J75:AP75)))</f>
        <v>4.0358964314479815</v>
      </c>
      <c r="AR75" s="2">
        <f>IF(AQ$4=$E75, $I75*AQ$55,0) + IF(AQ$4&gt;$E75,MIN(AQ75,$I75-SUM($J75:AQ75)))</f>
        <v>4.0358964314479815</v>
      </c>
      <c r="AS75" s="2">
        <f>IF(AR$4=$E75, $I75*AR$55,0) + IF(AR$4&gt;$E75,MIN(AR75,$I75-SUM($J75:AR75)))</f>
        <v>4.0358964314479815</v>
      </c>
      <c r="AT75" s="2">
        <f>IF(AS$4=$E75, $I75*AS$55,0) + IF(AS$4&gt;$E75,MIN(AS75,$I75-SUM($J75:AS75)))</f>
        <v>4.0358964314479815</v>
      </c>
      <c r="AU75" s="2">
        <f>IF(AT$4=$E75, $I75*AT$55,0) + IF(AT$4&gt;$E75,MIN(AT75,$I75-SUM($J75:AT75)))</f>
        <v>4.0358964314479815</v>
      </c>
      <c r="AV75" s="2">
        <f>IF(AU$4=$E75, $I75*AU$55,0) + IF(AU$4&gt;$E75,MIN(AU75,$I75-SUM($J75:AU75)))</f>
        <v>4.0358964314479815</v>
      </c>
      <c r="AW75" s="2"/>
    </row>
    <row r="76" spans="5:49" ht="15" outlineLevel="1">
      <c r="E76" s="44">
        <f>INDEX($K$4:$AV$4,,COUNT(E$65:E75)+1)</f>
        <v>36981</v>
      </c>
      <c r="G76" s="2" t="s">
        <v>101</v>
      </c>
      <c r="I76" s="2">
        <f t="shared" si="62"/>
        <v>164.49751921393135</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4.9398654418598014</v>
      </c>
      <c r="W76" s="2">
        <f>IF(V$4=$E76, $I76*V$55,0) + IF(V$4&gt;$E76,MIN(V76,$I76-SUM($J76:V76)))</f>
        <v>4.9398654418598014</v>
      </c>
      <c r="X76" s="2">
        <f>IF(W$4=$E76, $I76*W$55,0) + IF(W$4&gt;$E76,MIN(W76,$I76-SUM($J76:W76)))</f>
        <v>4.9398654418598014</v>
      </c>
      <c r="Y76" s="2">
        <f>IF(X$4=$E76, $I76*X$55,0) + IF(X$4&gt;$E76,MIN(X76,$I76-SUM($J76:X76)))</f>
        <v>4.9398654418598014</v>
      </c>
      <c r="Z76" s="2">
        <f>IF(Y$4=$E76, $I76*Y$55,0) + IF(Y$4&gt;$E76,MIN(Y76,$I76-SUM($J76:Y76)))</f>
        <v>4.9398654418598014</v>
      </c>
      <c r="AA76" s="2">
        <f>IF(Z$4=$E76, $I76*Z$55,0) + IF(Z$4&gt;$E76,MIN(Z76,$I76-SUM($J76:Z76)))</f>
        <v>4.9398654418598014</v>
      </c>
      <c r="AB76" s="2">
        <f>IF(AA$4=$E76, $I76*AA$55,0) + IF(AA$4&gt;$E76,MIN(AA76,$I76-SUM($J76:AA76)))</f>
        <v>4.9398654418598014</v>
      </c>
      <c r="AC76" s="2">
        <f>IF(AB$4=$E76, $I76*AB$55,0) + IF(AB$4&gt;$E76,MIN(AB76,$I76-SUM($J76:AB76)))</f>
        <v>4.9398654418598014</v>
      </c>
      <c r="AD76" s="2">
        <f>IF(AC$4=$E76, $I76*AC$55,0) + IF(AC$4&gt;$E76,MIN(AC76,$I76-SUM($J76:AC76)))</f>
        <v>4.9398654418598014</v>
      </c>
      <c r="AE76" s="2">
        <f>IF(AD$4=$E76, $I76*AD$55,0) + IF(AD$4&gt;$E76,MIN(AD76,$I76-SUM($J76:AD76)))</f>
        <v>4.9398654418598014</v>
      </c>
      <c r="AF76" s="2">
        <f>IF(AE$4=$E76, $I76*AE$55,0) + IF(AE$4&gt;$E76,MIN(AE76,$I76-SUM($J76:AE76)))</f>
        <v>4.9398654418598014</v>
      </c>
      <c r="AG76" s="2">
        <f>IF(AF$4=$E76, $I76*AF$55,0) + IF(AF$4&gt;$E76,MIN(AF76,$I76-SUM($J76:AF76)))</f>
        <v>4.9398654418598014</v>
      </c>
      <c r="AH76" s="2">
        <f>IF(AG$4=$E76, $I76*AG$55,0) + IF(AG$4&gt;$E76,MIN(AG76,$I76-SUM($J76:AG76)))</f>
        <v>4.9398654418598014</v>
      </c>
      <c r="AI76" s="2">
        <f>IF(AH$4=$E76, $I76*AH$55,0) + IF(AH$4&gt;$E76,MIN(AH76,$I76-SUM($J76:AH76)))</f>
        <v>4.9398654418598014</v>
      </c>
      <c r="AJ76" s="2">
        <f>IF(AI$4=$E76, $I76*AI$55,0) + IF(AI$4&gt;$E76,MIN(AI76,$I76-SUM($J76:AI76)))</f>
        <v>4.9398654418598014</v>
      </c>
      <c r="AK76" s="2">
        <f>IF(AJ$4=$E76, $I76*AJ$55,0) + IF(AJ$4&gt;$E76,MIN(AJ76,$I76-SUM($J76:AJ76)))</f>
        <v>4.9398654418598014</v>
      </c>
      <c r="AL76" s="2">
        <f>IF(AK$4=$E76, $I76*AK$55,0) + IF(AK$4&gt;$E76,MIN(AK76,$I76-SUM($J76:AK76)))</f>
        <v>4.9398654418598014</v>
      </c>
      <c r="AM76" s="2">
        <f>IF(AL$4=$E76, $I76*AL$55,0) + IF(AL$4&gt;$E76,MIN(AL76,$I76-SUM($J76:AL76)))</f>
        <v>4.9398654418598014</v>
      </c>
      <c r="AN76" s="2">
        <f>IF(AM$4=$E76, $I76*AM$55,0) + IF(AM$4&gt;$E76,MIN(AM76,$I76-SUM($J76:AM76)))</f>
        <v>4.9398654418598014</v>
      </c>
      <c r="AO76" s="2">
        <f>IF(AN$4=$E76, $I76*AN$55,0) + IF(AN$4&gt;$E76,MIN(AN76,$I76-SUM($J76:AN76)))</f>
        <v>4.9398654418598014</v>
      </c>
      <c r="AP76" s="2">
        <f>IF(AO$4=$E76, $I76*AO$55,0) + IF(AO$4&gt;$E76,MIN(AO76,$I76-SUM($J76:AO76)))</f>
        <v>4.9398654418598014</v>
      </c>
      <c r="AQ76" s="57">
        <f>IF(AP$4=$E76, $I76*AP$55,0) + IF(AP$4&gt;$E76,MIN(AP76,$I76-SUM($J76:AP76)))</f>
        <v>4.9398654418598014</v>
      </c>
      <c r="AR76" s="2">
        <f>IF(AQ$4=$E76, $I76*AQ$55,0) + IF(AQ$4&gt;$E76,MIN(AQ76,$I76-SUM($J76:AQ76)))</f>
        <v>4.9398654418598014</v>
      </c>
      <c r="AS76" s="2">
        <f>IF(AR$4=$E76, $I76*AR$55,0) + IF(AR$4&gt;$E76,MIN(AR76,$I76-SUM($J76:AR76)))</f>
        <v>4.9398654418598014</v>
      </c>
      <c r="AT76" s="2">
        <f>IF(AS$4=$E76, $I76*AS$55,0) + IF(AS$4&gt;$E76,MIN(AS76,$I76-SUM($J76:AS76)))</f>
        <v>4.9398654418598014</v>
      </c>
      <c r="AU76" s="2">
        <f>IF(AT$4=$E76, $I76*AT$55,0) + IF(AT$4&gt;$E76,MIN(AT76,$I76-SUM($J76:AT76)))</f>
        <v>4.9398654418598014</v>
      </c>
      <c r="AV76" s="2">
        <f>IF(AU$4=$E76, $I76*AU$55,0) + IF(AU$4&gt;$E76,MIN(AU76,$I76-SUM($J76:AU76)))</f>
        <v>4.9398654418598014</v>
      </c>
      <c r="AW76" s="2"/>
    </row>
    <row r="77" spans="5:49" ht="15" outlineLevel="1">
      <c r="E77" s="44">
        <f>INDEX($K$4:$AV$4,,COUNT(E$65:E76)+1)</f>
        <v>37346</v>
      </c>
      <c r="G77" s="2" t="s">
        <v>101</v>
      </c>
      <c r="I77" s="2">
        <f t="shared" si="62"/>
        <v>101.17133956386293</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3.0381783652811696</v>
      </c>
      <c r="X77" s="2">
        <f>IF(W$4=$E77, $I77*W$55,0) + IF(W$4&gt;$E77,MIN(W77,$I77-SUM($J77:W77)))</f>
        <v>3.0381783652811696</v>
      </c>
      <c r="Y77" s="2">
        <f>IF(X$4=$E77, $I77*X$55,0) + IF(X$4&gt;$E77,MIN(X77,$I77-SUM($J77:X77)))</f>
        <v>3.0381783652811696</v>
      </c>
      <c r="Z77" s="2">
        <f>IF(Y$4=$E77, $I77*Y$55,0) + IF(Y$4&gt;$E77,MIN(Y77,$I77-SUM($J77:Y77)))</f>
        <v>3.0381783652811696</v>
      </c>
      <c r="AA77" s="2">
        <f>IF(Z$4=$E77, $I77*Z$55,0) + IF(Z$4&gt;$E77,MIN(Z77,$I77-SUM($J77:Z77)))</f>
        <v>3.0381783652811696</v>
      </c>
      <c r="AB77" s="2">
        <f>IF(AA$4=$E77, $I77*AA$55,0) + IF(AA$4&gt;$E77,MIN(AA77,$I77-SUM($J77:AA77)))</f>
        <v>3.0381783652811696</v>
      </c>
      <c r="AC77" s="2">
        <f>IF(AB$4=$E77, $I77*AB$55,0) + IF(AB$4&gt;$E77,MIN(AB77,$I77-SUM($J77:AB77)))</f>
        <v>3.0381783652811696</v>
      </c>
      <c r="AD77" s="2">
        <f>IF(AC$4=$E77, $I77*AC$55,0) + IF(AC$4&gt;$E77,MIN(AC77,$I77-SUM($J77:AC77)))</f>
        <v>3.0381783652811696</v>
      </c>
      <c r="AE77" s="2">
        <f>IF(AD$4=$E77, $I77*AD$55,0) + IF(AD$4&gt;$E77,MIN(AD77,$I77-SUM($J77:AD77)))</f>
        <v>3.0381783652811696</v>
      </c>
      <c r="AF77" s="2">
        <f>IF(AE$4=$E77, $I77*AE$55,0) + IF(AE$4&gt;$E77,MIN(AE77,$I77-SUM($J77:AE77)))</f>
        <v>3.0381783652811696</v>
      </c>
      <c r="AG77" s="2">
        <f>IF(AF$4=$E77, $I77*AF$55,0) + IF(AF$4&gt;$E77,MIN(AF77,$I77-SUM($J77:AF77)))</f>
        <v>3.0381783652811696</v>
      </c>
      <c r="AH77" s="2">
        <f>IF(AG$4=$E77, $I77*AG$55,0) + IF(AG$4&gt;$E77,MIN(AG77,$I77-SUM($J77:AG77)))</f>
        <v>3.0381783652811696</v>
      </c>
      <c r="AI77" s="2">
        <f>IF(AH$4=$E77, $I77*AH$55,0) + IF(AH$4&gt;$E77,MIN(AH77,$I77-SUM($J77:AH77)))</f>
        <v>3.0381783652811696</v>
      </c>
      <c r="AJ77" s="2">
        <f>IF(AI$4=$E77, $I77*AI$55,0) + IF(AI$4&gt;$E77,MIN(AI77,$I77-SUM($J77:AI77)))</f>
        <v>3.0381783652811696</v>
      </c>
      <c r="AK77" s="2">
        <f>IF(AJ$4=$E77, $I77*AJ$55,0) + IF(AJ$4&gt;$E77,MIN(AJ77,$I77-SUM($J77:AJ77)))</f>
        <v>3.0381783652811696</v>
      </c>
      <c r="AL77" s="2">
        <f>IF(AK$4=$E77, $I77*AK$55,0) + IF(AK$4&gt;$E77,MIN(AK77,$I77-SUM($J77:AK77)))</f>
        <v>3.0381783652811696</v>
      </c>
      <c r="AM77" s="2">
        <f>IF(AL$4=$E77, $I77*AL$55,0) + IF(AL$4&gt;$E77,MIN(AL77,$I77-SUM($J77:AL77)))</f>
        <v>3.0381783652811696</v>
      </c>
      <c r="AN77" s="2">
        <f>IF(AM$4=$E77, $I77*AM$55,0) + IF(AM$4&gt;$E77,MIN(AM77,$I77-SUM($J77:AM77)))</f>
        <v>3.0381783652811696</v>
      </c>
      <c r="AO77" s="2">
        <f>IF(AN$4=$E77, $I77*AN$55,0) + IF(AN$4&gt;$E77,MIN(AN77,$I77-SUM($J77:AN77)))</f>
        <v>3.0381783652811696</v>
      </c>
      <c r="AP77" s="2">
        <f>IF(AO$4=$E77, $I77*AO$55,0) + IF(AO$4&gt;$E77,MIN(AO77,$I77-SUM($J77:AO77)))</f>
        <v>3.0381783652811696</v>
      </c>
      <c r="AQ77" s="57">
        <f>IF(AP$4=$E77, $I77*AP$55,0) + IF(AP$4&gt;$E77,MIN(AP77,$I77-SUM($J77:AP77)))</f>
        <v>3.0381783652811696</v>
      </c>
      <c r="AR77" s="2">
        <f>IF(AQ$4=$E77, $I77*AQ$55,0) + IF(AQ$4&gt;$E77,MIN(AQ77,$I77-SUM($J77:AQ77)))</f>
        <v>3.0381783652811696</v>
      </c>
      <c r="AS77" s="2">
        <f>IF(AR$4=$E77, $I77*AR$55,0) + IF(AR$4&gt;$E77,MIN(AR77,$I77-SUM($J77:AR77)))</f>
        <v>3.0381783652811696</v>
      </c>
      <c r="AT77" s="2">
        <f>IF(AS$4=$E77, $I77*AS$55,0) + IF(AS$4&gt;$E77,MIN(AS77,$I77-SUM($J77:AS77)))</f>
        <v>3.0381783652811696</v>
      </c>
      <c r="AU77" s="2">
        <f>IF(AT$4=$E77, $I77*AT$55,0) + IF(AT$4&gt;$E77,MIN(AT77,$I77-SUM($J77:AT77)))</f>
        <v>3.0381783652811696</v>
      </c>
      <c r="AV77" s="2">
        <f>IF(AU$4=$E77, $I77*AU$55,0) + IF(AU$4&gt;$E77,MIN(AU77,$I77-SUM($J77:AU77)))</f>
        <v>3.0381783652811696</v>
      </c>
      <c r="AW77" s="2"/>
    </row>
    <row r="78" spans="5:49" ht="15" outlineLevel="1">
      <c r="E78" s="44">
        <f>INDEX($K$4:$AV$4,,COUNT(E$65:E77)+1)</f>
        <v>37711</v>
      </c>
      <c r="G78" s="2" t="s">
        <v>101</v>
      </c>
      <c r="I78" s="2">
        <f t="shared" si="62"/>
        <v>120.63821117601886</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3.6227691043849508</v>
      </c>
      <c r="Y78" s="2">
        <f>IF(X$4=$E78, $I78*X$55,0) + IF(X$4&gt;$E78,MIN(X78,$I78-SUM($J78:X78)))</f>
        <v>3.6227691043849508</v>
      </c>
      <c r="Z78" s="2">
        <f>IF(Y$4=$E78, $I78*Y$55,0) + IF(Y$4&gt;$E78,MIN(Y78,$I78-SUM($J78:Y78)))</f>
        <v>3.6227691043849508</v>
      </c>
      <c r="AA78" s="2">
        <f>IF(Z$4=$E78, $I78*Z$55,0) + IF(Z$4&gt;$E78,MIN(Z78,$I78-SUM($J78:Z78)))</f>
        <v>3.6227691043849508</v>
      </c>
      <c r="AB78" s="2">
        <f>IF(AA$4=$E78, $I78*AA$55,0) + IF(AA$4&gt;$E78,MIN(AA78,$I78-SUM($J78:AA78)))</f>
        <v>3.6227691043849508</v>
      </c>
      <c r="AC78" s="2">
        <f>IF(AB$4=$E78, $I78*AB$55,0) + IF(AB$4&gt;$E78,MIN(AB78,$I78-SUM($J78:AB78)))</f>
        <v>3.6227691043849508</v>
      </c>
      <c r="AD78" s="2">
        <f>IF(AC$4=$E78, $I78*AC$55,0) + IF(AC$4&gt;$E78,MIN(AC78,$I78-SUM($J78:AC78)))</f>
        <v>3.6227691043849508</v>
      </c>
      <c r="AE78" s="2">
        <f>IF(AD$4=$E78, $I78*AD$55,0) + IF(AD$4&gt;$E78,MIN(AD78,$I78-SUM($J78:AD78)))</f>
        <v>3.6227691043849508</v>
      </c>
      <c r="AF78" s="2">
        <f>IF(AE$4=$E78, $I78*AE$55,0) + IF(AE$4&gt;$E78,MIN(AE78,$I78-SUM($J78:AE78)))</f>
        <v>3.6227691043849508</v>
      </c>
      <c r="AG78" s="2">
        <f>IF(AF$4=$E78, $I78*AF$55,0) + IF(AF$4&gt;$E78,MIN(AF78,$I78-SUM($J78:AF78)))</f>
        <v>3.6227691043849508</v>
      </c>
      <c r="AH78" s="2">
        <f>IF(AG$4=$E78, $I78*AG$55,0) + IF(AG$4&gt;$E78,MIN(AG78,$I78-SUM($J78:AG78)))</f>
        <v>3.6227691043849508</v>
      </c>
      <c r="AI78" s="2">
        <f>IF(AH$4=$E78, $I78*AH$55,0) + IF(AH$4&gt;$E78,MIN(AH78,$I78-SUM($J78:AH78)))</f>
        <v>3.6227691043849508</v>
      </c>
      <c r="AJ78" s="2">
        <f>IF(AI$4=$E78, $I78*AI$55,0) + IF(AI$4&gt;$E78,MIN(AI78,$I78-SUM($J78:AI78)))</f>
        <v>3.6227691043849508</v>
      </c>
      <c r="AK78" s="2">
        <f>IF(AJ$4=$E78, $I78*AJ$55,0) + IF(AJ$4&gt;$E78,MIN(AJ78,$I78-SUM($J78:AJ78)))</f>
        <v>3.6227691043849508</v>
      </c>
      <c r="AL78" s="2">
        <f>IF(AK$4=$E78, $I78*AK$55,0) + IF(AK$4&gt;$E78,MIN(AK78,$I78-SUM($J78:AK78)))</f>
        <v>3.6227691043849508</v>
      </c>
      <c r="AM78" s="2">
        <f>IF(AL$4=$E78, $I78*AL$55,0) + IF(AL$4&gt;$E78,MIN(AL78,$I78-SUM($J78:AL78)))</f>
        <v>3.6227691043849508</v>
      </c>
      <c r="AN78" s="2">
        <f>IF(AM$4=$E78, $I78*AM$55,0) + IF(AM$4&gt;$E78,MIN(AM78,$I78-SUM($J78:AM78)))</f>
        <v>3.6227691043849508</v>
      </c>
      <c r="AO78" s="2">
        <f>IF(AN$4=$E78, $I78*AN$55,0) + IF(AN$4&gt;$E78,MIN(AN78,$I78-SUM($J78:AN78)))</f>
        <v>3.6227691043849508</v>
      </c>
      <c r="AP78" s="2">
        <f>IF(AO$4=$E78, $I78*AO$55,0) + IF(AO$4&gt;$E78,MIN(AO78,$I78-SUM($J78:AO78)))</f>
        <v>3.6227691043849508</v>
      </c>
      <c r="AQ78" s="57">
        <f>IF(AP$4=$E78, $I78*AP$55,0) + IF(AP$4&gt;$E78,MIN(AP78,$I78-SUM($J78:AP78)))</f>
        <v>3.6227691043849508</v>
      </c>
      <c r="AR78" s="2">
        <f>IF(AQ$4=$E78, $I78*AQ$55,0) + IF(AQ$4&gt;$E78,MIN(AQ78,$I78-SUM($J78:AQ78)))</f>
        <v>3.6227691043849508</v>
      </c>
      <c r="AS78" s="2">
        <f>IF(AR$4=$E78, $I78*AR$55,0) + IF(AR$4&gt;$E78,MIN(AR78,$I78-SUM($J78:AR78)))</f>
        <v>3.6227691043849508</v>
      </c>
      <c r="AT78" s="2">
        <f>IF(AS$4=$E78, $I78*AS$55,0) + IF(AS$4&gt;$E78,MIN(AS78,$I78-SUM($J78:AS78)))</f>
        <v>3.6227691043849508</v>
      </c>
      <c r="AU78" s="2">
        <f>IF(AT$4=$E78, $I78*AT$55,0) + IF(AT$4&gt;$E78,MIN(AT78,$I78-SUM($J78:AT78)))</f>
        <v>3.6227691043849508</v>
      </c>
      <c r="AV78" s="2">
        <f>IF(AU$4=$E78, $I78*AU$55,0) + IF(AU$4&gt;$E78,MIN(AU78,$I78-SUM($J78:AU78)))</f>
        <v>3.6227691043849508</v>
      </c>
      <c r="AW78" s="2"/>
    </row>
    <row r="79" spans="5:49" ht="15" outlineLevel="1">
      <c r="E79" s="44">
        <f>INDEX($K$4:$AV$4,,COUNT(E$65:E78)+1)</f>
        <v>38077</v>
      </c>
      <c r="G79" s="2" t="s">
        <v>101</v>
      </c>
      <c r="I79" s="2">
        <f t="shared" si="62"/>
        <v>133.80371740421066</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4.0181296517780982</v>
      </c>
      <c r="Z79" s="2">
        <f>IF(Y$4=$E79, $I79*Y$55,0) + IF(Y$4&gt;$E79,MIN(Y79,$I79-SUM($J79:Y79)))</f>
        <v>4.0181296517780982</v>
      </c>
      <c r="AA79" s="2">
        <f>IF(Z$4=$E79, $I79*Z$55,0) + IF(Z$4&gt;$E79,MIN(Z79,$I79-SUM($J79:Z79)))</f>
        <v>4.0181296517780982</v>
      </c>
      <c r="AB79" s="2">
        <f>IF(AA$4=$E79, $I79*AA$55,0) + IF(AA$4&gt;$E79,MIN(AA79,$I79-SUM($J79:AA79)))</f>
        <v>4.0181296517780982</v>
      </c>
      <c r="AC79" s="2">
        <f>IF(AB$4=$E79, $I79*AB$55,0) + IF(AB$4&gt;$E79,MIN(AB79,$I79-SUM($J79:AB79)))</f>
        <v>4.0181296517780982</v>
      </c>
      <c r="AD79" s="2">
        <f>IF(AC$4=$E79, $I79*AC$55,0) + IF(AC$4&gt;$E79,MIN(AC79,$I79-SUM($J79:AC79)))</f>
        <v>4.0181296517780982</v>
      </c>
      <c r="AE79" s="2">
        <f>IF(AD$4=$E79, $I79*AD$55,0) + IF(AD$4&gt;$E79,MIN(AD79,$I79-SUM($J79:AD79)))</f>
        <v>4.0181296517780982</v>
      </c>
      <c r="AF79" s="2">
        <f>IF(AE$4=$E79, $I79*AE$55,0) + IF(AE$4&gt;$E79,MIN(AE79,$I79-SUM($J79:AE79)))</f>
        <v>4.0181296517780982</v>
      </c>
      <c r="AG79" s="2">
        <f>IF(AF$4=$E79, $I79*AF$55,0) + IF(AF$4&gt;$E79,MIN(AF79,$I79-SUM($J79:AF79)))</f>
        <v>4.0181296517780982</v>
      </c>
      <c r="AH79" s="2">
        <f>IF(AG$4=$E79, $I79*AG$55,0) + IF(AG$4&gt;$E79,MIN(AG79,$I79-SUM($J79:AG79)))</f>
        <v>4.0181296517780982</v>
      </c>
      <c r="AI79" s="2">
        <f>IF(AH$4=$E79, $I79*AH$55,0) + IF(AH$4&gt;$E79,MIN(AH79,$I79-SUM($J79:AH79)))</f>
        <v>4.0181296517780982</v>
      </c>
      <c r="AJ79" s="2">
        <f>IF(AI$4=$E79, $I79*AI$55,0) + IF(AI$4&gt;$E79,MIN(AI79,$I79-SUM($J79:AI79)))</f>
        <v>4.0181296517780982</v>
      </c>
      <c r="AK79" s="2">
        <f>IF(AJ$4=$E79, $I79*AJ$55,0) + IF(AJ$4&gt;$E79,MIN(AJ79,$I79-SUM($J79:AJ79)))</f>
        <v>4.0181296517780982</v>
      </c>
      <c r="AL79" s="2">
        <f>IF(AK$4=$E79, $I79*AK$55,0) + IF(AK$4&gt;$E79,MIN(AK79,$I79-SUM($J79:AK79)))</f>
        <v>4.0181296517780982</v>
      </c>
      <c r="AM79" s="2">
        <f>IF(AL$4=$E79, $I79*AL$55,0) + IF(AL$4&gt;$E79,MIN(AL79,$I79-SUM($J79:AL79)))</f>
        <v>4.0181296517780982</v>
      </c>
      <c r="AN79" s="2">
        <f>IF(AM$4=$E79, $I79*AM$55,0) + IF(AM$4&gt;$E79,MIN(AM79,$I79-SUM($J79:AM79)))</f>
        <v>4.0181296517780982</v>
      </c>
      <c r="AO79" s="2">
        <f>IF(AN$4=$E79, $I79*AN$55,0) + IF(AN$4&gt;$E79,MIN(AN79,$I79-SUM($J79:AN79)))</f>
        <v>4.0181296517780982</v>
      </c>
      <c r="AP79" s="2">
        <f>IF(AO$4=$E79, $I79*AO$55,0) + IF(AO$4&gt;$E79,MIN(AO79,$I79-SUM($J79:AO79)))</f>
        <v>4.0181296517780982</v>
      </c>
      <c r="AQ79" s="57">
        <f>IF(AP$4=$E79, $I79*AP$55,0) + IF(AP$4&gt;$E79,MIN(AP79,$I79-SUM($J79:AP79)))</f>
        <v>4.0181296517780982</v>
      </c>
      <c r="AR79" s="2">
        <f>IF(AQ$4=$E79, $I79*AQ$55,0) + IF(AQ$4&gt;$E79,MIN(AQ79,$I79-SUM($J79:AQ79)))</f>
        <v>4.0181296517780982</v>
      </c>
      <c r="AS79" s="2">
        <f>IF(AR$4=$E79, $I79*AR$55,0) + IF(AR$4&gt;$E79,MIN(AR79,$I79-SUM($J79:AR79)))</f>
        <v>4.0181296517780982</v>
      </c>
      <c r="AT79" s="2">
        <f>IF(AS$4=$E79, $I79*AS$55,0) + IF(AS$4&gt;$E79,MIN(AS79,$I79-SUM($J79:AS79)))</f>
        <v>4.0181296517780982</v>
      </c>
      <c r="AU79" s="2">
        <f>IF(AT$4=$E79, $I79*AT$55,0) + IF(AT$4&gt;$E79,MIN(AT79,$I79-SUM($J79:AT79)))</f>
        <v>4.0181296517780982</v>
      </c>
      <c r="AV79" s="2">
        <f>IF(AU$4=$E79, $I79*AU$55,0) + IF(AU$4&gt;$E79,MIN(AU79,$I79-SUM($J79:AU79)))</f>
        <v>4.0181296517780982</v>
      </c>
      <c r="AW79" s="2"/>
    </row>
    <row r="80" spans="5:49" ht="15" outlineLevel="1">
      <c r="E80" s="44">
        <f>INDEX($K$4:$AV$4,,COUNT(E$65:E79)+1)</f>
        <v>38442</v>
      </c>
      <c r="G80" s="2" t="s">
        <v>101</v>
      </c>
      <c r="I80" s="2">
        <f t="shared" si="62"/>
        <v>127.56180274321524</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3.8306847670635209</v>
      </c>
      <c r="AA80" s="2">
        <f>IF(Z$4=$E80, $I80*Z$55,0) + IF(Z$4&gt;$E80,MIN(Z80,$I80-SUM($J80:Z80)))</f>
        <v>3.8306847670635209</v>
      </c>
      <c r="AB80" s="2">
        <f>IF(AA$4=$E80, $I80*AA$55,0) + IF(AA$4&gt;$E80,MIN(AA80,$I80-SUM($J80:AA80)))</f>
        <v>3.8306847670635209</v>
      </c>
      <c r="AC80" s="2">
        <f>IF(AB$4=$E80, $I80*AB$55,0) + IF(AB$4&gt;$E80,MIN(AB80,$I80-SUM($J80:AB80)))</f>
        <v>3.8306847670635209</v>
      </c>
      <c r="AD80" s="2">
        <f>IF(AC$4=$E80, $I80*AC$55,0) + IF(AC$4&gt;$E80,MIN(AC80,$I80-SUM($J80:AC80)))</f>
        <v>3.8306847670635209</v>
      </c>
      <c r="AE80" s="2">
        <f>IF(AD$4=$E80, $I80*AD$55,0) + IF(AD$4&gt;$E80,MIN(AD80,$I80-SUM($J80:AD80)))</f>
        <v>3.8306847670635209</v>
      </c>
      <c r="AF80" s="2">
        <f>IF(AE$4=$E80, $I80*AE$55,0) + IF(AE$4&gt;$E80,MIN(AE80,$I80-SUM($J80:AE80)))</f>
        <v>3.8306847670635209</v>
      </c>
      <c r="AG80" s="2">
        <f>IF(AF$4=$E80, $I80*AF$55,0) + IF(AF$4&gt;$E80,MIN(AF80,$I80-SUM($J80:AF80)))</f>
        <v>3.8306847670635209</v>
      </c>
      <c r="AH80" s="2">
        <f>IF(AG$4=$E80, $I80*AG$55,0) + IF(AG$4&gt;$E80,MIN(AG80,$I80-SUM($J80:AG80)))</f>
        <v>3.8306847670635209</v>
      </c>
      <c r="AI80" s="2">
        <f>IF(AH$4=$E80, $I80*AH$55,0) + IF(AH$4&gt;$E80,MIN(AH80,$I80-SUM($J80:AH80)))</f>
        <v>3.8306847670635209</v>
      </c>
      <c r="AJ80" s="2">
        <f>IF(AI$4=$E80, $I80*AI$55,0) + IF(AI$4&gt;$E80,MIN(AI80,$I80-SUM($J80:AI80)))</f>
        <v>3.8306847670635209</v>
      </c>
      <c r="AK80" s="2">
        <f>IF(AJ$4=$E80, $I80*AJ$55,0) + IF(AJ$4&gt;$E80,MIN(AJ80,$I80-SUM($J80:AJ80)))</f>
        <v>3.8306847670635209</v>
      </c>
      <c r="AL80" s="2">
        <f>IF(AK$4=$E80, $I80*AK$55,0) + IF(AK$4&gt;$E80,MIN(AK80,$I80-SUM($J80:AK80)))</f>
        <v>3.8306847670635209</v>
      </c>
      <c r="AM80" s="2">
        <f>IF(AL$4=$E80, $I80*AL$55,0) + IF(AL$4&gt;$E80,MIN(AL80,$I80-SUM($J80:AL80)))</f>
        <v>3.8306847670635209</v>
      </c>
      <c r="AN80" s="2">
        <f>IF(AM$4=$E80, $I80*AM$55,0) + IF(AM$4&gt;$E80,MIN(AM80,$I80-SUM($J80:AM80)))</f>
        <v>3.8306847670635209</v>
      </c>
      <c r="AO80" s="2">
        <f>IF(AN$4=$E80, $I80*AN$55,0) + IF(AN$4&gt;$E80,MIN(AN80,$I80-SUM($J80:AN80)))</f>
        <v>3.8306847670635209</v>
      </c>
      <c r="AP80" s="2">
        <f>IF(AO$4=$E80, $I80*AO$55,0) + IF(AO$4&gt;$E80,MIN(AO80,$I80-SUM($J80:AO80)))</f>
        <v>3.8306847670635209</v>
      </c>
      <c r="AQ80" s="57">
        <f>IF(AP$4=$E80, $I80*AP$55,0) + IF(AP$4&gt;$E80,MIN(AP80,$I80-SUM($J80:AP80)))</f>
        <v>3.8306847670635209</v>
      </c>
      <c r="AR80" s="2">
        <f>IF(AQ$4=$E80, $I80*AQ$55,0) + IF(AQ$4&gt;$E80,MIN(AQ80,$I80-SUM($J80:AQ80)))</f>
        <v>3.8306847670635209</v>
      </c>
      <c r="AS80" s="2">
        <f>IF(AR$4=$E80, $I80*AR$55,0) + IF(AR$4&gt;$E80,MIN(AR80,$I80-SUM($J80:AR80)))</f>
        <v>3.8306847670635209</v>
      </c>
      <c r="AT80" s="2">
        <f>IF(AS$4=$E80, $I80*AS$55,0) + IF(AS$4&gt;$E80,MIN(AS80,$I80-SUM($J80:AS80)))</f>
        <v>3.8306847670635209</v>
      </c>
      <c r="AU80" s="2">
        <f>IF(AT$4=$E80, $I80*AT$55,0) + IF(AT$4&gt;$E80,MIN(AT80,$I80-SUM($J80:AT80)))</f>
        <v>3.8306847670635209</v>
      </c>
      <c r="AV80" s="2">
        <f>IF(AU$4=$E80, $I80*AU$55,0) + IF(AU$4&gt;$E80,MIN(AU80,$I80-SUM($J80:AU80)))</f>
        <v>3.8306847670635209</v>
      </c>
      <c r="AW80" s="2"/>
    </row>
    <row r="81" spans="5:49" ht="15" outlineLevel="1">
      <c r="E81" s="44">
        <f>INDEX($K$4:$AV$4,,COUNT(E$65:E80)+1)</f>
        <v>38807</v>
      </c>
      <c r="G81" s="2" t="s">
        <v>101</v>
      </c>
      <c r="I81" s="2">
        <f t="shared" si="62"/>
        <v>163.60508585078944</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4.9130656411648488</v>
      </c>
      <c r="AB81" s="2">
        <f>IF(AA$4=$E81, $I81*AA$55,0) + IF(AA$4&gt;$E81,MIN(AA81,$I81-SUM($J81:AA81)))</f>
        <v>4.9130656411648488</v>
      </c>
      <c r="AC81" s="2">
        <f>IF(AB$4=$E81, $I81*AB$55,0) + IF(AB$4&gt;$E81,MIN(AB81,$I81-SUM($J81:AB81)))</f>
        <v>4.9130656411648488</v>
      </c>
      <c r="AD81" s="2">
        <f>IF(AC$4=$E81, $I81*AC$55,0) + IF(AC$4&gt;$E81,MIN(AC81,$I81-SUM($J81:AC81)))</f>
        <v>4.9130656411648488</v>
      </c>
      <c r="AE81" s="2">
        <f>IF(AD$4=$E81, $I81*AD$55,0) + IF(AD$4&gt;$E81,MIN(AD81,$I81-SUM($J81:AD81)))</f>
        <v>4.9130656411648488</v>
      </c>
      <c r="AF81" s="2">
        <f>IF(AE$4=$E81, $I81*AE$55,0) + IF(AE$4&gt;$E81,MIN(AE81,$I81-SUM($J81:AE81)))</f>
        <v>4.9130656411648488</v>
      </c>
      <c r="AG81" s="2">
        <f>IF(AF$4=$E81, $I81*AF$55,0) + IF(AF$4&gt;$E81,MIN(AF81,$I81-SUM($J81:AF81)))</f>
        <v>4.9130656411648488</v>
      </c>
      <c r="AH81" s="2">
        <f>IF(AG$4=$E81, $I81*AG$55,0) + IF(AG$4&gt;$E81,MIN(AG81,$I81-SUM($J81:AG81)))</f>
        <v>4.9130656411648488</v>
      </c>
      <c r="AI81" s="2">
        <f>IF(AH$4=$E81, $I81*AH$55,0) + IF(AH$4&gt;$E81,MIN(AH81,$I81-SUM($J81:AH81)))</f>
        <v>4.9130656411648488</v>
      </c>
      <c r="AJ81" s="2">
        <f>IF(AI$4=$E81, $I81*AI$55,0) + IF(AI$4&gt;$E81,MIN(AI81,$I81-SUM($J81:AI81)))</f>
        <v>4.9130656411648488</v>
      </c>
      <c r="AK81" s="2">
        <f>IF(AJ$4=$E81, $I81*AJ$55,0) + IF(AJ$4&gt;$E81,MIN(AJ81,$I81-SUM($J81:AJ81)))</f>
        <v>4.9130656411648488</v>
      </c>
      <c r="AL81" s="2">
        <f>IF(AK$4=$E81, $I81*AK$55,0) + IF(AK$4&gt;$E81,MIN(AK81,$I81-SUM($J81:AK81)))</f>
        <v>4.9130656411648488</v>
      </c>
      <c r="AM81" s="2">
        <f>IF(AL$4=$E81, $I81*AL$55,0) + IF(AL$4&gt;$E81,MIN(AL81,$I81-SUM($J81:AL81)))</f>
        <v>4.9130656411648488</v>
      </c>
      <c r="AN81" s="2">
        <f>IF(AM$4=$E81, $I81*AM$55,0) + IF(AM$4&gt;$E81,MIN(AM81,$I81-SUM($J81:AM81)))</f>
        <v>4.9130656411648488</v>
      </c>
      <c r="AO81" s="2">
        <f>IF(AN$4=$E81, $I81*AN$55,0) + IF(AN$4&gt;$E81,MIN(AN81,$I81-SUM($J81:AN81)))</f>
        <v>4.9130656411648488</v>
      </c>
      <c r="AP81" s="2">
        <f>IF(AO$4=$E81, $I81*AO$55,0) + IF(AO$4&gt;$E81,MIN(AO81,$I81-SUM($J81:AO81)))</f>
        <v>4.9130656411648488</v>
      </c>
      <c r="AQ81" s="57">
        <f>IF(AP$4=$E81, $I81*AP$55,0) + IF(AP$4&gt;$E81,MIN(AP81,$I81-SUM($J81:AP81)))</f>
        <v>4.9130656411648488</v>
      </c>
      <c r="AR81" s="2">
        <f>IF(AQ$4=$E81, $I81*AQ$55,0) + IF(AQ$4&gt;$E81,MIN(AQ81,$I81-SUM($J81:AQ81)))</f>
        <v>4.9130656411648488</v>
      </c>
      <c r="AS81" s="2">
        <f>IF(AR$4=$E81, $I81*AR$55,0) + IF(AR$4&gt;$E81,MIN(AR81,$I81-SUM($J81:AR81)))</f>
        <v>4.9130656411648488</v>
      </c>
      <c r="AT81" s="2">
        <f>IF(AS$4=$E81, $I81*AS$55,0) + IF(AS$4&gt;$E81,MIN(AS81,$I81-SUM($J81:AS81)))</f>
        <v>4.9130656411648488</v>
      </c>
      <c r="AU81" s="2">
        <f>IF(AT$4=$E81, $I81*AT$55,0) + IF(AT$4&gt;$E81,MIN(AT81,$I81-SUM($J81:AT81)))</f>
        <v>4.9130656411648488</v>
      </c>
      <c r="AV81" s="2">
        <f>IF(AU$4=$E81, $I81*AU$55,0) + IF(AU$4&gt;$E81,MIN(AU81,$I81-SUM($J81:AU81)))</f>
        <v>4.9130656411648488</v>
      </c>
      <c r="AW81" s="2"/>
    </row>
    <row r="82" spans="5:49" ht="15" outlineLevel="1">
      <c r="E82" s="44">
        <f>INDEX($K$4:$AV$4,,COUNT(E$65:E81)+1)</f>
        <v>39172</v>
      </c>
      <c r="G82" s="2" t="s">
        <v>101</v>
      </c>
      <c r="I82" s="2">
        <f t="shared" si="62"/>
        <v>171.96228106127285</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5.1640324643024886</v>
      </c>
      <c r="AC82" s="2">
        <f>IF(AB$4=$E82, $I82*AB$55,0) + IF(AB$4&gt;$E82,MIN(AB82,$I82-SUM($J82:AB82)))</f>
        <v>5.1640324643024886</v>
      </c>
      <c r="AD82" s="2">
        <f>IF(AC$4=$E82, $I82*AC$55,0) + IF(AC$4&gt;$E82,MIN(AC82,$I82-SUM($J82:AC82)))</f>
        <v>5.1640324643024886</v>
      </c>
      <c r="AE82" s="2">
        <f>IF(AD$4=$E82, $I82*AD$55,0) + IF(AD$4&gt;$E82,MIN(AD82,$I82-SUM($J82:AD82)))</f>
        <v>5.1640324643024886</v>
      </c>
      <c r="AF82" s="2">
        <f>IF(AE$4=$E82, $I82*AE$55,0) + IF(AE$4&gt;$E82,MIN(AE82,$I82-SUM($J82:AE82)))</f>
        <v>5.1640324643024886</v>
      </c>
      <c r="AG82" s="2">
        <f>IF(AF$4=$E82, $I82*AF$55,0) + IF(AF$4&gt;$E82,MIN(AF82,$I82-SUM($J82:AF82)))</f>
        <v>5.1640324643024886</v>
      </c>
      <c r="AH82" s="2">
        <f>IF(AG$4=$E82, $I82*AG$55,0) + IF(AG$4&gt;$E82,MIN(AG82,$I82-SUM($J82:AG82)))</f>
        <v>5.1640324643024886</v>
      </c>
      <c r="AI82" s="2">
        <f>IF(AH$4=$E82, $I82*AH$55,0) + IF(AH$4&gt;$E82,MIN(AH82,$I82-SUM($J82:AH82)))</f>
        <v>5.1640324643024886</v>
      </c>
      <c r="AJ82" s="2">
        <f>IF(AI$4=$E82, $I82*AI$55,0) + IF(AI$4&gt;$E82,MIN(AI82,$I82-SUM($J82:AI82)))</f>
        <v>5.1640324643024886</v>
      </c>
      <c r="AK82" s="2">
        <f>IF(AJ$4=$E82, $I82*AJ$55,0) + IF(AJ$4&gt;$E82,MIN(AJ82,$I82-SUM($J82:AJ82)))</f>
        <v>5.1640324643024886</v>
      </c>
      <c r="AL82" s="2">
        <f>IF(AK$4=$E82, $I82*AK$55,0) + IF(AK$4&gt;$E82,MIN(AK82,$I82-SUM($J82:AK82)))</f>
        <v>5.1640324643024886</v>
      </c>
      <c r="AM82" s="2">
        <f>IF(AL$4=$E82, $I82*AL$55,0) + IF(AL$4&gt;$E82,MIN(AL82,$I82-SUM($J82:AL82)))</f>
        <v>5.1640324643024886</v>
      </c>
      <c r="AN82" s="2">
        <f>IF(AM$4=$E82, $I82*AM$55,0) + IF(AM$4&gt;$E82,MIN(AM82,$I82-SUM($J82:AM82)))</f>
        <v>5.1640324643024886</v>
      </c>
      <c r="AO82" s="2">
        <f>IF(AN$4=$E82, $I82*AN$55,0) + IF(AN$4&gt;$E82,MIN(AN82,$I82-SUM($J82:AN82)))</f>
        <v>5.1640324643024886</v>
      </c>
      <c r="AP82" s="2">
        <f>IF(AO$4=$E82, $I82*AO$55,0) + IF(AO$4&gt;$E82,MIN(AO82,$I82-SUM($J82:AO82)))</f>
        <v>5.1640324643024886</v>
      </c>
      <c r="AQ82" s="57">
        <f>IF(AP$4=$E82, $I82*AP$55,0) + IF(AP$4&gt;$E82,MIN(AP82,$I82-SUM($J82:AP82)))</f>
        <v>5.1640324643024886</v>
      </c>
      <c r="AR82" s="2">
        <f>IF(AQ$4=$E82, $I82*AQ$55,0) + IF(AQ$4&gt;$E82,MIN(AQ82,$I82-SUM($J82:AQ82)))</f>
        <v>5.1640324643024886</v>
      </c>
      <c r="AS82" s="2">
        <f>IF(AR$4=$E82, $I82*AR$55,0) + IF(AR$4&gt;$E82,MIN(AR82,$I82-SUM($J82:AR82)))</f>
        <v>5.1640324643024886</v>
      </c>
      <c r="AT82" s="2">
        <f>IF(AS$4=$E82, $I82*AS$55,0) + IF(AS$4&gt;$E82,MIN(AS82,$I82-SUM($J82:AS82)))</f>
        <v>5.1640324643024886</v>
      </c>
      <c r="AU82" s="2">
        <f>IF(AT$4=$E82, $I82*AT$55,0) + IF(AT$4&gt;$E82,MIN(AT82,$I82-SUM($J82:AT82)))</f>
        <v>5.1640324643024886</v>
      </c>
      <c r="AV82" s="2">
        <f>IF(AU$4=$E82, $I82*AU$55,0) + IF(AU$4&gt;$E82,MIN(AU82,$I82-SUM($J82:AU82)))</f>
        <v>5.1640324643024886</v>
      </c>
      <c r="AW82" s="2"/>
    </row>
    <row r="83" spans="5:49" ht="15" outlineLevel="1">
      <c r="E83" s="44">
        <f>INDEX($K$4:$AV$4,,COUNT(E$65:E82)+1)</f>
        <v>39538</v>
      </c>
      <c r="G83" s="2" t="s">
        <v>101</v>
      </c>
      <c r="I83" s="2">
        <f t="shared" si="62"/>
        <v>216.89661349580709</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6.5134118166909039</v>
      </c>
      <c r="AD83" s="2">
        <f>IF(AC$4=$E83, $I83*AC$55,0) + IF(AC$4&gt;$E83,MIN(AC83,$I83-SUM($J83:AC83)))</f>
        <v>6.5134118166909039</v>
      </c>
      <c r="AE83" s="2">
        <f>IF(AD$4=$E83, $I83*AD$55,0) + IF(AD$4&gt;$E83,MIN(AD83,$I83-SUM($J83:AD83)))</f>
        <v>6.5134118166909039</v>
      </c>
      <c r="AF83" s="2">
        <f>IF(AE$4=$E83, $I83*AE$55,0) + IF(AE$4&gt;$E83,MIN(AE83,$I83-SUM($J83:AE83)))</f>
        <v>6.5134118166909039</v>
      </c>
      <c r="AG83" s="2">
        <f>IF(AF$4=$E83, $I83*AF$55,0) + IF(AF$4&gt;$E83,MIN(AF83,$I83-SUM($J83:AF83)))</f>
        <v>6.5134118166909039</v>
      </c>
      <c r="AH83" s="2">
        <f>IF(AG$4=$E83, $I83*AG$55,0) + IF(AG$4&gt;$E83,MIN(AG83,$I83-SUM($J83:AG83)))</f>
        <v>6.5134118166909039</v>
      </c>
      <c r="AI83" s="2">
        <f>IF(AH$4=$E83, $I83*AH$55,0) + IF(AH$4&gt;$E83,MIN(AH83,$I83-SUM($J83:AH83)))</f>
        <v>6.5134118166909039</v>
      </c>
      <c r="AJ83" s="2">
        <f>IF(AI$4=$E83, $I83*AI$55,0) + IF(AI$4&gt;$E83,MIN(AI83,$I83-SUM($J83:AI83)))</f>
        <v>6.5134118166909039</v>
      </c>
      <c r="AK83" s="2">
        <f>IF(AJ$4=$E83, $I83*AJ$55,0) + IF(AJ$4&gt;$E83,MIN(AJ83,$I83-SUM($J83:AJ83)))</f>
        <v>6.5134118166909039</v>
      </c>
      <c r="AL83" s="2">
        <f>IF(AK$4=$E83, $I83*AK$55,0) + IF(AK$4&gt;$E83,MIN(AK83,$I83-SUM($J83:AK83)))</f>
        <v>6.5134118166909039</v>
      </c>
      <c r="AM83" s="2">
        <f>IF(AL$4=$E83, $I83*AL$55,0) + IF(AL$4&gt;$E83,MIN(AL83,$I83-SUM($J83:AL83)))</f>
        <v>6.5134118166909039</v>
      </c>
      <c r="AN83" s="2">
        <f>IF(AM$4=$E83, $I83*AM$55,0) + IF(AM$4&gt;$E83,MIN(AM83,$I83-SUM($J83:AM83)))</f>
        <v>6.5134118166909039</v>
      </c>
      <c r="AO83" s="2">
        <f>IF(AN$4=$E83, $I83*AN$55,0) + IF(AN$4&gt;$E83,MIN(AN83,$I83-SUM($J83:AN83)))</f>
        <v>6.5134118166909039</v>
      </c>
      <c r="AP83" s="2">
        <f>IF(AO$4=$E83, $I83*AO$55,0) + IF(AO$4&gt;$E83,MIN(AO83,$I83-SUM($J83:AO83)))</f>
        <v>6.5134118166909039</v>
      </c>
      <c r="AQ83" s="57">
        <f>IF(AP$4=$E83, $I83*AP$55,0) + IF(AP$4&gt;$E83,MIN(AP83,$I83-SUM($J83:AP83)))</f>
        <v>6.5134118166909039</v>
      </c>
      <c r="AR83" s="2">
        <f>IF(AQ$4=$E83, $I83*AQ$55,0) + IF(AQ$4&gt;$E83,MIN(AQ83,$I83-SUM($J83:AQ83)))</f>
        <v>6.5134118166909039</v>
      </c>
      <c r="AS83" s="2">
        <f>IF(AR$4=$E83, $I83*AR$55,0) + IF(AR$4&gt;$E83,MIN(AR83,$I83-SUM($J83:AR83)))</f>
        <v>6.5134118166909039</v>
      </c>
      <c r="AT83" s="2">
        <f>IF(AS$4=$E83, $I83*AS$55,0) + IF(AS$4&gt;$E83,MIN(AS83,$I83-SUM($J83:AS83)))</f>
        <v>6.5134118166909039</v>
      </c>
      <c r="AU83" s="2">
        <f>IF(AT$4=$E83, $I83*AT$55,0) + IF(AT$4&gt;$E83,MIN(AT83,$I83-SUM($J83:AT83)))</f>
        <v>6.5134118166909039</v>
      </c>
      <c r="AV83" s="2">
        <f>IF(AU$4=$E83, $I83*AU$55,0) + IF(AU$4&gt;$E83,MIN(AU83,$I83-SUM($J83:AU83)))</f>
        <v>6.5134118166909039</v>
      </c>
      <c r="AW83" s="2"/>
    </row>
    <row r="84" spans="5:49" ht="15" outlineLevel="1">
      <c r="E84" s="44">
        <f>INDEX($K$4:$AV$4,,COUNT(E$65:E83)+1)</f>
        <v>39903</v>
      </c>
      <c r="G84" s="2" t="s">
        <v>101</v>
      </c>
      <c r="I84" s="2">
        <f t="shared" si="62"/>
        <v>241.45999844804848</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7.2510510044459009</v>
      </c>
      <c r="AE84" s="2">
        <f>IF(AD$4=$E84, $I84*AD$55,0) + IF(AD$4&gt;$E84,MIN(AD84,$I84-SUM($J84:AD84)))</f>
        <v>7.2510510044459009</v>
      </c>
      <c r="AF84" s="2">
        <f>IF(AE$4=$E84, $I84*AE$55,0) + IF(AE$4&gt;$E84,MIN(AE84,$I84-SUM($J84:AE84)))</f>
        <v>7.2510510044459009</v>
      </c>
      <c r="AG84" s="2">
        <f>IF(AF$4=$E84, $I84*AF$55,0) + IF(AF$4&gt;$E84,MIN(AF84,$I84-SUM($J84:AF84)))</f>
        <v>7.2510510044459009</v>
      </c>
      <c r="AH84" s="2">
        <f>IF(AG$4=$E84, $I84*AG$55,0) + IF(AG$4&gt;$E84,MIN(AG84,$I84-SUM($J84:AG84)))</f>
        <v>7.2510510044459009</v>
      </c>
      <c r="AI84" s="2">
        <f>IF(AH$4=$E84, $I84*AH$55,0) + IF(AH$4&gt;$E84,MIN(AH84,$I84-SUM($J84:AH84)))</f>
        <v>7.2510510044459009</v>
      </c>
      <c r="AJ84" s="2">
        <f>IF(AI$4=$E84, $I84*AI$55,0) + IF(AI$4&gt;$E84,MIN(AI84,$I84-SUM($J84:AI84)))</f>
        <v>7.2510510044459009</v>
      </c>
      <c r="AK84" s="2">
        <f>IF(AJ$4=$E84, $I84*AJ$55,0) + IF(AJ$4&gt;$E84,MIN(AJ84,$I84-SUM($J84:AJ84)))</f>
        <v>7.2510510044459009</v>
      </c>
      <c r="AL84" s="2">
        <f>IF(AK$4=$E84, $I84*AK$55,0) + IF(AK$4&gt;$E84,MIN(AK84,$I84-SUM($J84:AK84)))</f>
        <v>7.2510510044459009</v>
      </c>
      <c r="AM84" s="2">
        <f>IF(AL$4=$E84, $I84*AL$55,0) + IF(AL$4&gt;$E84,MIN(AL84,$I84-SUM($J84:AL84)))</f>
        <v>7.2510510044459009</v>
      </c>
      <c r="AN84" s="2">
        <f>IF(AM$4=$E84, $I84*AM$55,0) + IF(AM$4&gt;$E84,MIN(AM84,$I84-SUM($J84:AM84)))</f>
        <v>7.2510510044459009</v>
      </c>
      <c r="AO84" s="2">
        <f>IF(AN$4=$E84, $I84*AN$55,0) + IF(AN$4&gt;$E84,MIN(AN84,$I84-SUM($J84:AN84)))</f>
        <v>7.2510510044459009</v>
      </c>
      <c r="AP84" s="2">
        <f>IF(AO$4=$E84, $I84*AO$55,0) + IF(AO$4&gt;$E84,MIN(AO84,$I84-SUM($J84:AO84)))</f>
        <v>7.2510510044459009</v>
      </c>
      <c r="AQ84" s="57">
        <f>IF(AP$4=$E84, $I84*AP$55,0) + IF(AP$4&gt;$E84,MIN(AP84,$I84-SUM($J84:AP84)))</f>
        <v>7.2510510044459009</v>
      </c>
      <c r="AR84" s="2">
        <f>IF(AQ$4=$E84, $I84*AQ$55,0) + IF(AQ$4&gt;$E84,MIN(AQ84,$I84-SUM($J84:AQ84)))</f>
        <v>7.2510510044459009</v>
      </c>
      <c r="AS84" s="2">
        <f>IF(AR$4=$E84, $I84*AR$55,0) + IF(AR$4&gt;$E84,MIN(AR84,$I84-SUM($J84:AR84)))</f>
        <v>7.2510510044459009</v>
      </c>
      <c r="AT84" s="2">
        <f>IF(AS$4=$E84, $I84*AS$55,0) + IF(AS$4&gt;$E84,MIN(AS84,$I84-SUM($J84:AS84)))</f>
        <v>7.2510510044459009</v>
      </c>
      <c r="AU84" s="2">
        <f>IF(AT$4=$E84, $I84*AT$55,0) + IF(AT$4&gt;$E84,MIN(AT84,$I84-SUM($J84:AT84)))</f>
        <v>7.2510510044459009</v>
      </c>
      <c r="AV84" s="2">
        <f>IF(AU$4=$E84, $I84*AU$55,0) + IF(AU$4&gt;$E84,MIN(AU84,$I84-SUM($J84:AU84)))</f>
        <v>7.2510510044459009</v>
      </c>
      <c r="AW84" s="2"/>
    </row>
    <row r="85" spans="5:49" ht="15" outlineLevel="1">
      <c r="E85" s="44">
        <f>INDEX($K$4:$AV$4,,COUNT(E$65:E84)+1)</f>
        <v>40268</v>
      </c>
      <c r="G85" s="2" t="s">
        <v>101</v>
      </c>
      <c r="I85" s="2">
        <f t="shared" si="62"/>
        <v>197.02058631036226</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5.9165341234343032</v>
      </c>
      <c r="AF85" s="2">
        <f>IF(AE$4=$E85, $I85*AE$55,0) + IF(AE$4&gt;$E85,MIN(AE85,$I85-SUM($J85:AE85)))</f>
        <v>5.9165341234343032</v>
      </c>
      <c r="AG85" s="2">
        <f>IF(AF$4=$E85, $I85*AF$55,0) + IF(AF$4&gt;$E85,MIN(AF85,$I85-SUM($J85:AF85)))</f>
        <v>5.9165341234343032</v>
      </c>
      <c r="AH85" s="2">
        <f>IF(AG$4=$E85, $I85*AG$55,0) + IF(AG$4&gt;$E85,MIN(AG85,$I85-SUM($J85:AG85)))</f>
        <v>5.9165341234343032</v>
      </c>
      <c r="AI85" s="2">
        <f>IF(AH$4=$E85, $I85*AH$55,0) + IF(AH$4&gt;$E85,MIN(AH85,$I85-SUM($J85:AH85)))</f>
        <v>5.9165341234343032</v>
      </c>
      <c r="AJ85" s="2">
        <f>IF(AI$4=$E85, $I85*AI$55,0) + IF(AI$4&gt;$E85,MIN(AI85,$I85-SUM($J85:AI85)))</f>
        <v>5.9165341234343032</v>
      </c>
      <c r="AK85" s="2">
        <f>IF(AJ$4=$E85, $I85*AJ$55,0) + IF(AJ$4&gt;$E85,MIN(AJ85,$I85-SUM($J85:AJ85)))</f>
        <v>5.9165341234343032</v>
      </c>
      <c r="AL85" s="2">
        <f>IF(AK$4=$E85, $I85*AK$55,0) + IF(AK$4&gt;$E85,MIN(AK85,$I85-SUM($J85:AK85)))</f>
        <v>5.9165341234343032</v>
      </c>
      <c r="AM85" s="2">
        <f>IF(AL$4=$E85, $I85*AL$55,0) + IF(AL$4&gt;$E85,MIN(AL85,$I85-SUM($J85:AL85)))</f>
        <v>5.9165341234343032</v>
      </c>
      <c r="AN85" s="2">
        <f>IF(AM$4=$E85, $I85*AM$55,0) + IF(AM$4&gt;$E85,MIN(AM85,$I85-SUM($J85:AM85)))</f>
        <v>5.9165341234343032</v>
      </c>
      <c r="AO85" s="2">
        <f>IF(AN$4=$E85, $I85*AN$55,0) + IF(AN$4&gt;$E85,MIN(AN85,$I85-SUM($J85:AN85)))</f>
        <v>5.9165341234343032</v>
      </c>
      <c r="AP85" s="2">
        <f>IF(AO$4=$E85, $I85*AO$55,0) + IF(AO$4&gt;$E85,MIN(AO85,$I85-SUM($J85:AO85)))</f>
        <v>5.9165341234343032</v>
      </c>
      <c r="AQ85" s="57">
        <f>IF(AP$4=$E85, $I85*AP$55,0) + IF(AP$4&gt;$E85,MIN(AP85,$I85-SUM($J85:AP85)))</f>
        <v>5.9165341234343032</v>
      </c>
      <c r="AR85" s="2">
        <f>IF(AQ$4=$E85, $I85*AQ$55,0) + IF(AQ$4&gt;$E85,MIN(AQ85,$I85-SUM($J85:AQ85)))</f>
        <v>5.9165341234343032</v>
      </c>
      <c r="AS85" s="2">
        <f>IF(AR$4=$E85, $I85*AR$55,0) + IF(AR$4&gt;$E85,MIN(AR85,$I85-SUM($J85:AR85)))</f>
        <v>5.9165341234343032</v>
      </c>
      <c r="AT85" s="2">
        <f>IF(AS$4=$E85, $I85*AS$55,0) + IF(AS$4&gt;$E85,MIN(AS85,$I85-SUM($J85:AS85)))</f>
        <v>5.9165341234343032</v>
      </c>
      <c r="AU85" s="2">
        <f>IF(AT$4=$E85, $I85*AT$55,0) + IF(AT$4&gt;$E85,MIN(AT85,$I85-SUM($J85:AT85)))</f>
        <v>5.9165341234343032</v>
      </c>
      <c r="AV85" s="2">
        <f>IF(AU$4=$E85, $I85*AU$55,0) + IF(AU$4&gt;$E85,MIN(AU85,$I85-SUM($J85:AU85)))</f>
        <v>5.9165341234343032</v>
      </c>
      <c r="AW85" s="2"/>
    </row>
    <row r="86" spans="5:49" ht="15" outlineLevel="1">
      <c r="E86" s="44">
        <f>INDEX($K$4:$AV$4,,COUNT(E$65:E85)+1)</f>
        <v>40633</v>
      </c>
      <c r="G86" s="2" t="s">
        <v>101</v>
      </c>
      <c r="I86" s="2">
        <f t="shared" si="62"/>
        <v>203.50475801997527</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6.1112539945938522</v>
      </c>
      <c r="AG86" s="2">
        <f>IF(AF$4=$E86, $I86*AF$55,0) + IF(AF$4&gt;$E86,MIN(AF86,$I86-SUM($J86:AF86)))</f>
        <v>6.1112539945938522</v>
      </c>
      <c r="AH86" s="2">
        <f>IF(AG$4=$E86, $I86*AG$55,0) + IF(AG$4&gt;$E86,MIN(AG86,$I86-SUM($J86:AG86)))</f>
        <v>6.1112539945938522</v>
      </c>
      <c r="AI86" s="2">
        <f>IF(AH$4=$E86, $I86*AH$55,0) + IF(AH$4&gt;$E86,MIN(AH86,$I86-SUM($J86:AH86)))</f>
        <v>6.1112539945938522</v>
      </c>
      <c r="AJ86" s="2">
        <f>IF(AI$4=$E86, $I86*AI$55,0) + IF(AI$4&gt;$E86,MIN(AI86,$I86-SUM($J86:AI86)))</f>
        <v>6.1112539945938522</v>
      </c>
      <c r="AK86" s="2">
        <f>IF(AJ$4=$E86, $I86*AJ$55,0) + IF(AJ$4&gt;$E86,MIN(AJ86,$I86-SUM($J86:AJ86)))</f>
        <v>6.1112539945938522</v>
      </c>
      <c r="AL86" s="2">
        <f>IF(AK$4=$E86, $I86*AK$55,0) + IF(AK$4&gt;$E86,MIN(AK86,$I86-SUM($J86:AK86)))</f>
        <v>6.1112539945938522</v>
      </c>
      <c r="AM86" s="2">
        <f>IF(AL$4=$E86, $I86*AL$55,0) + IF(AL$4&gt;$E86,MIN(AL86,$I86-SUM($J86:AL86)))</f>
        <v>6.1112539945938522</v>
      </c>
      <c r="AN86" s="2">
        <f>IF(AM$4=$E86, $I86*AM$55,0) + IF(AM$4&gt;$E86,MIN(AM86,$I86-SUM($J86:AM86)))</f>
        <v>6.1112539945938522</v>
      </c>
      <c r="AO86" s="2">
        <f>IF(AN$4=$E86, $I86*AN$55,0) + IF(AN$4&gt;$E86,MIN(AN86,$I86-SUM($J86:AN86)))</f>
        <v>6.1112539945938522</v>
      </c>
      <c r="AP86" s="2">
        <f>IF(AO$4=$E86, $I86*AO$55,0) + IF(AO$4&gt;$E86,MIN(AO86,$I86-SUM($J86:AO86)))</f>
        <v>6.1112539945938522</v>
      </c>
      <c r="AQ86" s="57">
        <f>IF(AP$4=$E86, $I86*AP$55,0) + IF(AP$4&gt;$E86,MIN(AP86,$I86-SUM($J86:AP86)))</f>
        <v>6.1112539945938522</v>
      </c>
      <c r="AR86" s="2">
        <f>IF(AQ$4=$E86, $I86*AQ$55,0) + IF(AQ$4&gt;$E86,MIN(AQ86,$I86-SUM($J86:AQ86)))</f>
        <v>6.1112539945938522</v>
      </c>
      <c r="AS86" s="2">
        <f>IF(AR$4=$E86, $I86*AR$55,0) + IF(AR$4&gt;$E86,MIN(AR86,$I86-SUM($J86:AR86)))</f>
        <v>6.1112539945938522</v>
      </c>
      <c r="AT86" s="2">
        <f>IF(AS$4=$E86, $I86*AS$55,0) + IF(AS$4&gt;$E86,MIN(AS86,$I86-SUM($J86:AS86)))</f>
        <v>6.1112539945938522</v>
      </c>
      <c r="AU86" s="2">
        <f>IF(AT$4=$E86, $I86*AT$55,0) + IF(AT$4&gt;$E86,MIN(AT86,$I86-SUM($J86:AT86)))</f>
        <v>6.1112539945938522</v>
      </c>
      <c r="AV86" s="2">
        <f>IF(AU$4=$E86, $I86*AU$55,0) + IF(AU$4&gt;$E86,MIN(AU86,$I86-SUM($J86:AU86)))</f>
        <v>6.1112539945938522</v>
      </c>
      <c r="AW86" s="2"/>
    </row>
    <row r="87" spans="5:49" ht="15" outlineLevel="1">
      <c r="E87" s="44">
        <f>INDEX($K$4:$AV$4,,COUNT(E$65:E86)+1)</f>
        <v>40999</v>
      </c>
      <c r="G87" s="2" t="s">
        <v>101</v>
      </c>
      <c r="I87" s="2">
        <f t="shared" si="62"/>
        <v>219.29651147851237</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6.5854808251805528</v>
      </c>
      <c r="AH87" s="2">
        <f>IF(AG$4=$E87, $I87*AG$55,0) + IF(AG$4&gt;$E87,MIN(AG87,$I87-SUM($J87:AG87)))</f>
        <v>6.5854808251805528</v>
      </c>
      <c r="AI87" s="2">
        <f>IF(AH$4=$E87, $I87*AH$55,0) + IF(AH$4&gt;$E87,MIN(AH87,$I87-SUM($J87:AH87)))</f>
        <v>6.5854808251805528</v>
      </c>
      <c r="AJ87" s="2">
        <f>IF(AI$4=$E87, $I87*AI$55,0) + IF(AI$4&gt;$E87,MIN(AI87,$I87-SUM($J87:AI87)))</f>
        <v>6.5854808251805528</v>
      </c>
      <c r="AK87" s="2">
        <f>IF(AJ$4=$E87, $I87*AJ$55,0) + IF(AJ$4&gt;$E87,MIN(AJ87,$I87-SUM($J87:AJ87)))</f>
        <v>6.5854808251805528</v>
      </c>
      <c r="AL87" s="2">
        <f>IF(AK$4=$E87, $I87*AK$55,0) + IF(AK$4&gt;$E87,MIN(AK87,$I87-SUM($J87:AK87)))</f>
        <v>6.5854808251805528</v>
      </c>
      <c r="AM87" s="2">
        <f>IF(AL$4=$E87, $I87*AL$55,0) + IF(AL$4&gt;$E87,MIN(AL87,$I87-SUM($J87:AL87)))</f>
        <v>6.5854808251805528</v>
      </c>
      <c r="AN87" s="2">
        <f>IF(AM$4=$E87, $I87*AM$55,0) + IF(AM$4&gt;$E87,MIN(AM87,$I87-SUM($J87:AM87)))</f>
        <v>6.5854808251805528</v>
      </c>
      <c r="AO87" s="2">
        <f>IF(AN$4=$E87, $I87*AN$55,0) + IF(AN$4&gt;$E87,MIN(AN87,$I87-SUM($J87:AN87)))</f>
        <v>6.5854808251805528</v>
      </c>
      <c r="AP87" s="2">
        <f>IF(AO$4=$E87, $I87*AO$55,0) + IF(AO$4&gt;$E87,MIN(AO87,$I87-SUM($J87:AO87)))</f>
        <v>6.5854808251805528</v>
      </c>
      <c r="AQ87" s="57">
        <f>IF(AP$4=$E87, $I87*AP$55,0) + IF(AP$4&gt;$E87,MIN(AP87,$I87-SUM($J87:AP87)))</f>
        <v>6.5854808251805528</v>
      </c>
      <c r="AR87" s="2">
        <f>IF(AQ$4=$E87, $I87*AQ$55,0) + IF(AQ$4&gt;$E87,MIN(AQ87,$I87-SUM($J87:AQ87)))</f>
        <v>6.5854808251805528</v>
      </c>
      <c r="AS87" s="2">
        <f>IF(AR$4=$E87, $I87*AR$55,0) + IF(AR$4&gt;$E87,MIN(AR87,$I87-SUM($J87:AR87)))</f>
        <v>6.5854808251805528</v>
      </c>
      <c r="AT87" s="2">
        <f>IF(AS$4=$E87, $I87*AS$55,0) + IF(AS$4&gt;$E87,MIN(AS87,$I87-SUM($J87:AS87)))</f>
        <v>6.5854808251805528</v>
      </c>
      <c r="AU87" s="2">
        <f>IF(AT$4=$E87, $I87*AT$55,0) + IF(AT$4&gt;$E87,MIN(AT87,$I87-SUM($J87:AT87)))</f>
        <v>6.5854808251805528</v>
      </c>
      <c r="AV87" s="2">
        <f>IF(AU$4=$E87, $I87*AU$55,0) + IF(AU$4&gt;$E87,MIN(AU87,$I87-SUM($J87:AU87)))</f>
        <v>6.5854808251805528</v>
      </c>
      <c r="AW87" s="2"/>
    </row>
    <row r="88" spans="5:49" ht="15" outlineLevel="1">
      <c r="E88" s="44">
        <f>INDEX($K$4:$AV$4,,COUNT(E$65:E87)+1)</f>
        <v>41364</v>
      </c>
      <c r="G88" s="2" t="s">
        <v>101</v>
      </c>
      <c r="I88" s="2">
        <f t="shared" si="62"/>
        <v>277.11848278310407</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8.3218763598529755</v>
      </c>
      <c r="AI88" s="2">
        <f>IF(AH$4=$E88, $I88*AH$55,0) + IF(AH$4&gt;$E88,MIN(AH88,$I88-SUM($J88:AH88)))</f>
        <v>8.3218763598529755</v>
      </c>
      <c r="AJ88" s="2">
        <f>IF(AI$4=$E88, $I88*AI$55,0) + IF(AI$4&gt;$E88,MIN(AI88,$I88-SUM($J88:AI88)))</f>
        <v>8.3218763598529755</v>
      </c>
      <c r="AK88" s="2">
        <f>IF(AJ$4=$E88, $I88*AJ$55,0) + IF(AJ$4&gt;$E88,MIN(AJ88,$I88-SUM($J88:AJ88)))</f>
        <v>8.3218763598529755</v>
      </c>
      <c r="AL88" s="2">
        <f>IF(AK$4=$E88, $I88*AK$55,0) + IF(AK$4&gt;$E88,MIN(AK88,$I88-SUM($J88:AK88)))</f>
        <v>8.3218763598529755</v>
      </c>
      <c r="AM88" s="2">
        <f>IF(AL$4=$E88, $I88*AL$55,0) + IF(AL$4&gt;$E88,MIN(AL88,$I88-SUM($J88:AL88)))</f>
        <v>8.3218763598529755</v>
      </c>
      <c r="AN88" s="2">
        <f>IF(AM$4=$E88, $I88*AM$55,0) + IF(AM$4&gt;$E88,MIN(AM88,$I88-SUM($J88:AM88)))</f>
        <v>8.3218763598529755</v>
      </c>
      <c r="AO88" s="2">
        <f>IF(AN$4=$E88, $I88*AN$55,0) + IF(AN$4&gt;$E88,MIN(AN88,$I88-SUM($J88:AN88)))</f>
        <v>8.3218763598529755</v>
      </c>
      <c r="AP88" s="2">
        <f>IF(AO$4=$E88, $I88*AO$55,0) + IF(AO$4&gt;$E88,MIN(AO88,$I88-SUM($J88:AO88)))</f>
        <v>8.3218763598529755</v>
      </c>
      <c r="AQ88" s="57">
        <f>IF(AP$4=$E88, $I88*AP$55,0) + IF(AP$4&gt;$E88,MIN(AP88,$I88-SUM($J88:AP88)))</f>
        <v>8.3218763598529755</v>
      </c>
      <c r="AR88" s="2">
        <f>IF(AQ$4=$E88, $I88*AQ$55,0) + IF(AQ$4&gt;$E88,MIN(AQ88,$I88-SUM($J88:AQ88)))</f>
        <v>8.3218763598529755</v>
      </c>
      <c r="AS88" s="2">
        <f>IF(AR$4=$E88, $I88*AR$55,0) + IF(AR$4&gt;$E88,MIN(AR88,$I88-SUM($J88:AR88)))</f>
        <v>8.3218763598529755</v>
      </c>
      <c r="AT88" s="2">
        <f>IF(AS$4=$E88, $I88*AS$55,0) + IF(AS$4&gt;$E88,MIN(AS88,$I88-SUM($J88:AS88)))</f>
        <v>8.3218763598529755</v>
      </c>
      <c r="AU88" s="2">
        <f>IF(AT$4=$E88, $I88*AT$55,0) + IF(AT$4&gt;$E88,MIN(AT88,$I88-SUM($J88:AT88)))</f>
        <v>8.3218763598529755</v>
      </c>
      <c r="AV88" s="2">
        <f>IF(AU$4=$E88, $I88*AU$55,0) + IF(AU$4&gt;$E88,MIN(AU88,$I88-SUM($J88:AU88)))</f>
        <v>8.3218763598529755</v>
      </c>
      <c r="AW88" s="2"/>
    </row>
    <row r="89" spans="5:49" ht="15" outlineLevel="1">
      <c r="E89" s="44">
        <f>INDEX($K$4:$AV$4,,COUNT(E$65:E88)+1)</f>
        <v>41729</v>
      </c>
      <c r="G89" s="2" t="s">
        <v>101</v>
      </c>
      <c r="I89" s="2">
        <f t="shared" si="62"/>
        <v>299.82719815476685</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9.0038197644074138</v>
      </c>
      <c r="AJ89" s="2">
        <f>IF(AI$4=$E89, $I89*AI$55,0) + IF(AI$4&gt;$E89,MIN(AI89,$I89-SUM($J89:AI89)))</f>
        <v>9.0038197644074138</v>
      </c>
      <c r="AK89" s="2">
        <f>IF(AJ$4=$E89, $I89*AJ$55,0) + IF(AJ$4&gt;$E89,MIN(AJ89,$I89-SUM($J89:AJ89)))</f>
        <v>9.0038197644074138</v>
      </c>
      <c r="AL89" s="2">
        <f>IF(AK$4=$E89, $I89*AK$55,0) + IF(AK$4&gt;$E89,MIN(AK89,$I89-SUM($J89:AK89)))</f>
        <v>9.0038197644074138</v>
      </c>
      <c r="AM89" s="2">
        <f>IF(AL$4=$E89, $I89*AL$55,0) + IF(AL$4&gt;$E89,MIN(AL89,$I89-SUM($J89:AL89)))</f>
        <v>9.0038197644074138</v>
      </c>
      <c r="AN89" s="2">
        <f>IF(AM$4=$E89, $I89*AM$55,0) + IF(AM$4&gt;$E89,MIN(AM89,$I89-SUM($J89:AM89)))</f>
        <v>9.0038197644074138</v>
      </c>
      <c r="AO89" s="2">
        <f>IF(AN$4=$E89, $I89*AN$55,0) + IF(AN$4&gt;$E89,MIN(AN89,$I89-SUM($J89:AN89)))</f>
        <v>9.0038197644074138</v>
      </c>
      <c r="AP89" s="2">
        <f>IF(AO$4=$E89, $I89*AO$55,0) + IF(AO$4&gt;$E89,MIN(AO89,$I89-SUM($J89:AO89)))</f>
        <v>9.0038197644074138</v>
      </c>
      <c r="AQ89" s="57">
        <f>IF(AP$4=$E89, $I89*AP$55,0) + IF(AP$4&gt;$E89,MIN(AP89,$I89-SUM($J89:AP89)))</f>
        <v>9.0038197644074138</v>
      </c>
      <c r="AR89" s="2">
        <f>IF(AQ$4=$E89, $I89*AQ$55,0) + IF(AQ$4&gt;$E89,MIN(AQ89,$I89-SUM($J89:AQ89)))</f>
        <v>9.0038197644074138</v>
      </c>
      <c r="AS89" s="2">
        <f>IF(AR$4=$E89, $I89*AR$55,0) + IF(AR$4&gt;$E89,MIN(AR89,$I89-SUM($J89:AR89)))</f>
        <v>9.0038197644074138</v>
      </c>
      <c r="AT89" s="2">
        <f>IF(AS$4=$E89, $I89*AS$55,0) + IF(AS$4&gt;$E89,MIN(AS89,$I89-SUM($J89:AS89)))</f>
        <v>9.0038197644074138</v>
      </c>
      <c r="AU89" s="2">
        <f>IF(AT$4=$E89, $I89*AT$55,0) + IF(AT$4&gt;$E89,MIN(AT89,$I89-SUM($J89:AT89)))</f>
        <v>9.0038197644074138</v>
      </c>
      <c r="AV89" s="2">
        <f>IF(AU$4=$E89, $I89*AU$55,0) + IF(AU$4&gt;$E89,MIN(AU89,$I89-SUM($J89:AU89)))</f>
        <v>9.0038197644074138</v>
      </c>
      <c r="AW89" s="2"/>
    </row>
    <row r="90" spans="5:49" ht="15" outlineLevel="1">
      <c r="E90" s="44">
        <f>INDEX($K$4:$AV$4,,COUNT(E$65:E89)+1)</f>
        <v>42094</v>
      </c>
      <c r="G90" s="2" t="s">
        <v>101</v>
      </c>
      <c r="I90" s="2">
        <f t="shared" si="62"/>
        <v>337.1415659939239</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10.124371351168888</v>
      </c>
      <c r="AK90" s="2">
        <f>IF(AJ$4=$E90, $I90*AJ$55,0) + IF(AJ$4&gt;$E90,MIN(AJ90,$I90-SUM($J90:AJ90)))</f>
        <v>10.124371351168888</v>
      </c>
      <c r="AL90" s="2">
        <f>IF(AK$4=$E90, $I90*AK$55,0) + IF(AK$4&gt;$E90,MIN(AK90,$I90-SUM($J90:AK90)))</f>
        <v>10.124371351168888</v>
      </c>
      <c r="AM90" s="2">
        <f>IF(AL$4=$E90, $I90*AL$55,0) + IF(AL$4&gt;$E90,MIN(AL90,$I90-SUM($J90:AL90)))</f>
        <v>10.124371351168888</v>
      </c>
      <c r="AN90" s="2">
        <f>IF(AM$4=$E90, $I90*AM$55,0) + IF(AM$4&gt;$E90,MIN(AM90,$I90-SUM($J90:AM90)))</f>
        <v>10.124371351168888</v>
      </c>
      <c r="AO90" s="2">
        <f>IF(AN$4=$E90, $I90*AN$55,0) + IF(AN$4&gt;$E90,MIN(AN90,$I90-SUM($J90:AN90)))</f>
        <v>10.124371351168888</v>
      </c>
      <c r="AP90" s="2">
        <f>IF(AO$4=$E90, $I90*AO$55,0) + IF(AO$4&gt;$E90,MIN(AO90,$I90-SUM($J90:AO90)))</f>
        <v>10.124371351168888</v>
      </c>
      <c r="AQ90" s="57">
        <f>IF(AP$4=$E90, $I90*AP$55,0) + IF(AP$4&gt;$E90,MIN(AP90,$I90-SUM($J90:AP90)))</f>
        <v>10.124371351168888</v>
      </c>
      <c r="AR90" s="2">
        <f>IF(AQ$4=$E90, $I90*AQ$55,0) + IF(AQ$4&gt;$E90,MIN(AQ90,$I90-SUM($J90:AQ90)))</f>
        <v>10.124371351168888</v>
      </c>
      <c r="AS90" s="2">
        <f>IF(AR$4=$E90, $I90*AR$55,0) + IF(AR$4&gt;$E90,MIN(AR90,$I90-SUM($J90:AR90)))</f>
        <v>10.124371351168888</v>
      </c>
      <c r="AT90" s="2">
        <f>IF(AS$4=$E90, $I90*AS$55,0) + IF(AS$4&gt;$E90,MIN(AS90,$I90-SUM($J90:AS90)))</f>
        <v>10.124371351168888</v>
      </c>
      <c r="AU90" s="2">
        <f>IF(AT$4=$E90, $I90*AT$55,0) + IF(AT$4&gt;$E90,MIN(AT90,$I90-SUM($J90:AT90)))</f>
        <v>10.124371351168888</v>
      </c>
      <c r="AV90" s="2">
        <f>IF(AU$4=$E90, $I90*AU$55,0) + IF(AU$4&gt;$E90,MIN(AU90,$I90-SUM($J90:AU90)))</f>
        <v>10.124371351168888</v>
      </c>
      <c r="AW90" s="2"/>
    </row>
    <row r="91" spans="5:49" ht="15"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5"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5"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5"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5"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5"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5"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5"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5"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5"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5"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5"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5"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5">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5">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5"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5" outlineLevel="1">
      <c r="E110" s="44">
        <f>INDEX($K$4:$AV$4,,COUNT(E$109:E109)+1)</f>
        <v>33328</v>
      </c>
      <c r="G110" s="2" t="s">
        <v>101</v>
      </c>
      <c r="I110" s="2">
        <f>INDEX($K$24:$AV$24,,MATCH(E110,$K$4:$AV$4,0))</f>
        <v>48.901715904916827</v>
      </c>
      <c r="K110" s="2">
        <f>IF(J$4=$E110, $I110*J$57,0) + IF(J$4&gt;$E110,MIN(J110,$I110-SUM($J110:J110)))</f>
        <v>0</v>
      </c>
      <c r="L110" s="2">
        <f>IF(K$4=$E110, $I110*K$57,0) + IF(K$4&gt;$E110,MIN(K110,$I110-SUM($J110:K110)))</f>
        <v>2.4450857952458414</v>
      </c>
      <c r="M110" s="2">
        <f>IF(L$4=$E110, $I110*L$57,0) + IF(L$4&gt;$E110,MIN(L110,$I110-SUM($J110:L110)))</f>
        <v>2.4450857952458414</v>
      </c>
      <c r="N110" s="2">
        <f>IF(M$4=$E110, $I110*M$57,0) + IF(M$4&gt;$E110,MIN(M110,$I110-SUM($J110:M110)))</f>
        <v>2.4450857952458414</v>
      </c>
      <c r="O110" s="2">
        <f>IF(N$4=$E110, $I110*N$57,0) + IF(N$4&gt;$E110,MIN(N110,$I110-SUM($J110:N110)))</f>
        <v>2.4450857952458414</v>
      </c>
      <c r="P110" s="2">
        <f>IF(O$4=$E110, $I110*O$57,0) + IF(O$4&gt;$E110,MIN(O110,$I110-SUM($J110:O110)))</f>
        <v>2.4450857952458414</v>
      </c>
      <c r="Q110" s="2">
        <f>IF(P$4=$E110, $I110*P$57,0) + IF(P$4&gt;$E110,MIN(P110,$I110-SUM($J110:P110)))</f>
        <v>2.4450857952458414</v>
      </c>
      <c r="R110" s="2">
        <f>IF(Q$4=$E110, $I110*Q$57,0) + IF(Q$4&gt;$E110,MIN(Q110,$I110-SUM($J110:Q110)))</f>
        <v>2.4450857952458414</v>
      </c>
      <c r="S110" s="2">
        <f>IF(R$4=$E110, $I110*R$57,0) + IF(R$4&gt;$E110,MIN(R110,$I110-SUM($J110:R110)))</f>
        <v>2.4450857952458414</v>
      </c>
      <c r="T110" s="2">
        <f>IF(S$4=$E110, $I110*S$57,0) + IF(S$4&gt;$E110,MIN(S110,$I110-SUM($J110:S110)))</f>
        <v>2.4450857952458414</v>
      </c>
      <c r="U110" s="2">
        <f>IF(T$4=$E110, $I110*T$57,0) + IF(T$4&gt;$E110,MIN(T110,$I110-SUM($J110:T110)))</f>
        <v>2.4450857952458414</v>
      </c>
      <c r="V110" s="2">
        <f>IF(U$4=$E110, $I110*U$57,0) + IF(U$4&gt;$E110,MIN(U110,$I110-SUM($J110:U110)))</f>
        <v>2.4450857952458414</v>
      </c>
      <c r="W110" s="2">
        <f>IF(V$4=$E110, $I110*V$57,0) + IF(V$4&gt;$E110,MIN(V110,$I110-SUM($J110:V110)))</f>
        <v>2.4450857952458414</v>
      </c>
      <c r="X110" s="2">
        <f>IF(W$4=$E110, $I110*W$57,0) + IF(W$4&gt;$E110,MIN(W110,$I110-SUM($J110:W110)))</f>
        <v>2.4450857952458414</v>
      </c>
      <c r="Y110" s="2">
        <f>IF(X$4=$E110, $I110*X$57,0) + IF(X$4&gt;$E110,MIN(X110,$I110-SUM($J110:X110)))</f>
        <v>2.4450857952458414</v>
      </c>
      <c r="Z110" s="2">
        <f>IF(Y$4=$E110, $I110*Y$57,0) + IF(Y$4&gt;$E110,MIN(Y110,$I110-SUM($J110:Y110)))</f>
        <v>2.4450857952458414</v>
      </c>
      <c r="AA110" s="2">
        <f>IF(Z$4=$E110, $I110*Z$57,0) + IF(Z$4&gt;$E110,MIN(Z110,$I110-SUM($J110:Z110)))</f>
        <v>2.4450857952458414</v>
      </c>
      <c r="AB110" s="2">
        <f>IF(AA$4=$E110, $I110*AA$57,0) + IF(AA$4&gt;$E110,MIN(AA110,$I110-SUM($J110:AA110)))</f>
        <v>2.4450857952458414</v>
      </c>
      <c r="AC110" s="2">
        <f>IF(AB$4=$E110, $I110*AB$57,0) + IF(AB$4&gt;$E110,MIN(AB110,$I110-SUM($J110:AB110)))</f>
        <v>2.4450857952458414</v>
      </c>
      <c r="AD110" s="2">
        <f>IF(AC$4=$E110, $I110*AC$57,0) + IF(AC$4&gt;$E110,MIN(AC110,$I110-SUM($J110:AC110)))</f>
        <v>2.4450857952458414</v>
      </c>
      <c r="AE110" s="2">
        <f>IF(AD$4=$E110, $I110*AD$57,0) + IF(AD$4&gt;$E110,MIN(AD110,$I110-SUM($J110:AD110)))</f>
        <v>2.4450857952458307</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5" outlineLevel="1">
      <c r="E111" s="44">
        <f>INDEX($K$4:$AV$4,,COUNT(E$109:E110)+1)</f>
        <v>33694</v>
      </c>
      <c r="G111" s="2" t="s">
        <v>101</v>
      </c>
      <c r="I111" s="2">
        <f t="shared" ref="I111:I147" si="64">INDEX($K$24:$AV$24,,MATCH(E111,$K$4:$AV$4,0))</f>
        <v>162.07955082122055</v>
      </c>
      <c r="K111" s="2">
        <f>IF(J$4=$E111, $I111*J$57,0) + IF(J$4&gt;$E111,MIN(J111,$I111-SUM($J111:J111)))</f>
        <v>0</v>
      </c>
      <c r="L111" s="2">
        <f>IF(K$4=$E111, $I111*K$57,0) + IF(K$4&gt;$E111,MIN(K111,$I111-SUM($J111:K111)))</f>
        <v>0</v>
      </c>
      <c r="M111" s="2">
        <f>IF(L$4=$E111, $I111*L$57,0) + IF(L$4&gt;$E111,MIN(L111,$I111-SUM($J111:L111)))</f>
        <v>8.1039775410610275</v>
      </c>
      <c r="N111" s="2">
        <f>IF(M$4=$E111, $I111*M$57,0) + IF(M$4&gt;$E111,MIN(M111,$I111-SUM($J111:M111)))</f>
        <v>8.1039775410610275</v>
      </c>
      <c r="O111" s="2">
        <f>IF(N$4=$E111, $I111*N$57,0) + IF(N$4&gt;$E111,MIN(N111,$I111-SUM($J111:N111)))</f>
        <v>8.1039775410610275</v>
      </c>
      <c r="P111" s="2">
        <f>IF(O$4=$E111, $I111*O$57,0) + IF(O$4&gt;$E111,MIN(O111,$I111-SUM($J111:O111)))</f>
        <v>8.1039775410610275</v>
      </c>
      <c r="Q111" s="2">
        <f>IF(P$4=$E111, $I111*P$57,0) + IF(P$4&gt;$E111,MIN(P111,$I111-SUM($J111:P111)))</f>
        <v>8.1039775410610275</v>
      </c>
      <c r="R111" s="2">
        <f>IF(Q$4=$E111, $I111*Q$57,0) + IF(Q$4&gt;$E111,MIN(Q111,$I111-SUM($J111:Q111)))</f>
        <v>8.1039775410610275</v>
      </c>
      <c r="S111" s="2">
        <f>IF(R$4=$E111, $I111*R$57,0) + IF(R$4&gt;$E111,MIN(R111,$I111-SUM($J111:R111)))</f>
        <v>8.1039775410610275</v>
      </c>
      <c r="T111" s="2">
        <f>IF(S$4=$E111, $I111*S$57,0) + IF(S$4&gt;$E111,MIN(S111,$I111-SUM($J111:S111)))</f>
        <v>8.1039775410610275</v>
      </c>
      <c r="U111" s="2">
        <f>IF(T$4=$E111, $I111*T$57,0) + IF(T$4&gt;$E111,MIN(T111,$I111-SUM($J111:T111)))</f>
        <v>8.1039775410610275</v>
      </c>
      <c r="V111" s="2">
        <f>IF(U$4=$E111, $I111*U$57,0) + IF(U$4&gt;$E111,MIN(U111,$I111-SUM($J111:U111)))</f>
        <v>8.1039775410610275</v>
      </c>
      <c r="W111" s="2">
        <f>IF(V$4=$E111, $I111*V$57,0) + IF(V$4&gt;$E111,MIN(V111,$I111-SUM($J111:V111)))</f>
        <v>8.1039775410610275</v>
      </c>
      <c r="X111" s="2">
        <f>IF(W$4=$E111, $I111*W$57,0) + IF(W$4&gt;$E111,MIN(W111,$I111-SUM($J111:W111)))</f>
        <v>8.1039775410610275</v>
      </c>
      <c r="Y111" s="2">
        <f>IF(X$4=$E111, $I111*X$57,0) + IF(X$4&gt;$E111,MIN(X111,$I111-SUM($J111:X111)))</f>
        <v>8.1039775410610275</v>
      </c>
      <c r="Z111" s="2">
        <f>IF(Y$4=$E111, $I111*Y$57,0) + IF(Y$4&gt;$E111,MIN(Y111,$I111-SUM($J111:Y111)))</f>
        <v>8.1039775410610275</v>
      </c>
      <c r="AA111" s="2">
        <f>IF(Z$4=$E111, $I111*Z$57,0) + IF(Z$4&gt;$E111,MIN(Z111,$I111-SUM($J111:Z111)))</f>
        <v>8.1039775410610275</v>
      </c>
      <c r="AB111" s="2">
        <f>IF(AA$4=$E111, $I111*AA$57,0) + IF(AA$4&gt;$E111,MIN(AA111,$I111-SUM($J111:AA111)))</f>
        <v>8.1039775410610275</v>
      </c>
      <c r="AC111" s="2">
        <f>IF(AB$4=$E111, $I111*AB$57,0) + IF(AB$4&gt;$E111,MIN(AB111,$I111-SUM($J111:AB111)))</f>
        <v>8.1039775410610275</v>
      </c>
      <c r="AD111" s="2">
        <f>IF(AC$4=$E111, $I111*AC$57,0) + IF(AC$4&gt;$E111,MIN(AC111,$I111-SUM($J111:AC111)))</f>
        <v>8.1039775410610275</v>
      </c>
      <c r="AE111" s="2">
        <f>IF(AD$4=$E111, $I111*AD$57,0) + IF(AD$4&gt;$E111,MIN(AD111,$I111-SUM($J111:AD111)))</f>
        <v>8.1039775410610275</v>
      </c>
      <c r="AF111" s="2">
        <f>IF(AE$4=$E111, $I111*AE$57,0) + IF(AE$4&gt;$E111,MIN(AE111,$I111-SUM($J111:AE111)))</f>
        <v>8.1039775410610275</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5" outlineLevel="1">
      <c r="E112" s="44">
        <f>INDEX($K$4:$AV$4,,COUNT(E$109:E111)+1)</f>
        <v>34059</v>
      </c>
      <c r="G112" s="2" t="s">
        <v>101</v>
      </c>
      <c r="I112" s="2">
        <f t="shared" si="64"/>
        <v>158.74534291861255</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7.9372671459306279</v>
      </c>
      <c r="O112" s="2">
        <f>IF(N$4=$E112, $I112*N$57,0) + IF(N$4&gt;$E112,MIN(N112,$I112-SUM($J112:N112)))</f>
        <v>7.9372671459306279</v>
      </c>
      <c r="P112" s="2">
        <f>IF(O$4=$E112, $I112*O$57,0) + IF(O$4&gt;$E112,MIN(O112,$I112-SUM($J112:O112)))</f>
        <v>7.9372671459306279</v>
      </c>
      <c r="Q112" s="2">
        <f>IF(P$4=$E112, $I112*P$57,0) + IF(P$4&gt;$E112,MIN(P112,$I112-SUM($J112:P112)))</f>
        <v>7.9372671459306279</v>
      </c>
      <c r="R112" s="2">
        <f>IF(Q$4=$E112, $I112*Q$57,0) + IF(Q$4&gt;$E112,MIN(Q112,$I112-SUM($J112:Q112)))</f>
        <v>7.9372671459306279</v>
      </c>
      <c r="S112" s="2">
        <f>IF(R$4=$E112, $I112*R$57,0) + IF(R$4&gt;$E112,MIN(R112,$I112-SUM($J112:R112)))</f>
        <v>7.9372671459306279</v>
      </c>
      <c r="T112" s="2">
        <f>IF(S$4=$E112, $I112*S$57,0) + IF(S$4&gt;$E112,MIN(S112,$I112-SUM($J112:S112)))</f>
        <v>7.9372671459306279</v>
      </c>
      <c r="U112" s="2">
        <f>IF(T$4=$E112, $I112*T$57,0) + IF(T$4&gt;$E112,MIN(T112,$I112-SUM($J112:T112)))</f>
        <v>7.9372671459306279</v>
      </c>
      <c r="V112" s="2">
        <f>IF(U$4=$E112, $I112*U$57,0) + IF(U$4&gt;$E112,MIN(U112,$I112-SUM($J112:U112)))</f>
        <v>7.9372671459306279</v>
      </c>
      <c r="W112" s="2">
        <f>IF(V$4=$E112, $I112*V$57,0) + IF(V$4&gt;$E112,MIN(V112,$I112-SUM($J112:V112)))</f>
        <v>7.9372671459306279</v>
      </c>
      <c r="X112" s="2">
        <f>IF(W$4=$E112, $I112*W$57,0) + IF(W$4&gt;$E112,MIN(W112,$I112-SUM($J112:W112)))</f>
        <v>7.9372671459306279</v>
      </c>
      <c r="Y112" s="2">
        <f>IF(X$4=$E112, $I112*X$57,0) + IF(X$4&gt;$E112,MIN(X112,$I112-SUM($J112:X112)))</f>
        <v>7.9372671459306279</v>
      </c>
      <c r="Z112" s="2">
        <f>IF(Y$4=$E112, $I112*Y$57,0) + IF(Y$4&gt;$E112,MIN(Y112,$I112-SUM($J112:Y112)))</f>
        <v>7.9372671459306279</v>
      </c>
      <c r="AA112" s="2">
        <f>IF(Z$4=$E112, $I112*Z$57,0) + IF(Z$4&gt;$E112,MIN(Z112,$I112-SUM($J112:Z112)))</f>
        <v>7.9372671459306279</v>
      </c>
      <c r="AB112" s="2">
        <f>IF(AA$4=$E112, $I112*AA$57,0) + IF(AA$4&gt;$E112,MIN(AA112,$I112-SUM($J112:AA112)))</f>
        <v>7.9372671459306279</v>
      </c>
      <c r="AC112" s="2">
        <f>IF(AB$4=$E112, $I112*AB$57,0) + IF(AB$4&gt;$E112,MIN(AB112,$I112-SUM($J112:AB112)))</f>
        <v>7.9372671459306279</v>
      </c>
      <c r="AD112" s="2">
        <f>IF(AC$4=$E112, $I112*AC$57,0) + IF(AC$4&gt;$E112,MIN(AC112,$I112-SUM($J112:AC112)))</f>
        <v>7.9372671459306279</v>
      </c>
      <c r="AE112" s="2">
        <f>IF(AD$4=$E112, $I112*AD$57,0) + IF(AD$4&gt;$E112,MIN(AD112,$I112-SUM($J112:AD112)))</f>
        <v>7.9372671459306279</v>
      </c>
      <c r="AF112" s="2">
        <f>IF(AE$4=$E112, $I112*AE$57,0) + IF(AE$4&gt;$E112,MIN(AE112,$I112-SUM($J112:AE112)))</f>
        <v>7.9372671459306279</v>
      </c>
      <c r="AG112" s="2">
        <f>IF(AF$4=$E112, $I112*AF$57,0) + IF(AF$4&gt;$E112,MIN(AF112,$I112-SUM($J112:AF112)))</f>
        <v>7.9372671459305764</v>
      </c>
      <c r="AH112" s="2">
        <f>IF(AG$4=$E112, $I112*AG$57,0) + IF(AG$4&gt;$E112,MIN(AG112,$I112-SUM($J112:AG112)))</f>
        <v>0</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5" outlineLevel="1">
      <c r="E113" s="44">
        <f>INDEX($K$4:$AV$4,,COUNT(E$109:E112)+1)</f>
        <v>34424</v>
      </c>
      <c r="G113" s="2" t="s">
        <v>101</v>
      </c>
      <c r="I113" s="2">
        <f t="shared" si="64"/>
        <v>174.86068111455111</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8.7430340557275557</v>
      </c>
      <c r="P113" s="2">
        <f>IF(O$4=$E113, $I113*O$57,0) + IF(O$4&gt;$E113,MIN(O113,$I113-SUM($J113:O113)))</f>
        <v>8.7430340557275557</v>
      </c>
      <c r="Q113" s="2">
        <f>IF(P$4=$E113, $I113*P$57,0) + IF(P$4&gt;$E113,MIN(P113,$I113-SUM($J113:P113)))</f>
        <v>8.7430340557275557</v>
      </c>
      <c r="R113" s="2">
        <f>IF(Q$4=$E113, $I113*Q$57,0) + IF(Q$4&gt;$E113,MIN(Q113,$I113-SUM($J113:Q113)))</f>
        <v>8.7430340557275557</v>
      </c>
      <c r="S113" s="2">
        <f>IF(R$4=$E113, $I113*R$57,0) + IF(R$4&gt;$E113,MIN(R113,$I113-SUM($J113:R113)))</f>
        <v>8.7430340557275557</v>
      </c>
      <c r="T113" s="2">
        <f>IF(S$4=$E113, $I113*S$57,0) + IF(S$4&gt;$E113,MIN(S113,$I113-SUM($J113:S113)))</f>
        <v>8.7430340557275557</v>
      </c>
      <c r="U113" s="2">
        <f>IF(T$4=$E113, $I113*T$57,0) + IF(T$4&gt;$E113,MIN(T113,$I113-SUM($J113:T113)))</f>
        <v>8.7430340557275557</v>
      </c>
      <c r="V113" s="2">
        <f>IF(U$4=$E113, $I113*U$57,0) + IF(U$4&gt;$E113,MIN(U113,$I113-SUM($J113:U113)))</f>
        <v>8.7430340557275557</v>
      </c>
      <c r="W113" s="2">
        <f>IF(V$4=$E113, $I113*V$57,0) + IF(V$4&gt;$E113,MIN(V113,$I113-SUM($J113:V113)))</f>
        <v>8.7430340557275557</v>
      </c>
      <c r="X113" s="2">
        <f>IF(W$4=$E113, $I113*W$57,0) + IF(W$4&gt;$E113,MIN(W113,$I113-SUM($J113:W113)))</f>
        <v>8.7430340557275557</v>
      </c>
      <c r="Y113" s="2">
        <f>IF(X$4=$E113, $I113*X$57,0) + IF(X$4&gt;$E113,MIN(X113,$I113-SUM($J113:X113)))</f>
        <v>8.7430340557275557</v>
      </c>
      <c r="Z113" s="2">
        <f>IF(Y$4=$E113, $I113*Y$57,0) + IF(Y$4&gt;$E113,MIN(Y113,$I113-SUM($J113:Y113)))</f>
        <v>8.7430340557275557</v>
      </c>
      <c r="AA113" s="2">
        <f>IF(Z$4=$E113, $I113*Z$57,0) + IF(Z$4&gt;$E113,MIN(Z113,$I113-SUM($J113:Z113)))</f>
        <v>8.7430340557275557</v>
      </c>
      <c r="AB113" s="2">
        <f>IF(AA$4=$E113, $I113*AA$57,0) + IF(AA$4&gt;$E113,MIN(AA113,$I113-SUM($J113:AA113)))</f>
        <v>8.7430340557275557</v>
      </c>
      <c r="AC113" s="2">
        <f>IF(AB$4=$E113, $I113*AB$57,0) + IF(AB$4&gt;$E113,MIN(AB113,$I113-SUM($J113:AB113)))</f>
        <v>8.7430340557275557</v>
      </c>
      <c r="AD113" s="2">
        <f>IF(AC$4=$E113, $I113*AC$57,0) + IF(AC$4&gt;$E113,MIN(AC113,$I113-SUM($J113:AC113)))</f>
        <v>8.7430340557275557</v>
      </c>
      <c r="AE113" s="2">
        <f>IF(AD$4=$E113, $I113*AD$57,0) + IF(AD$4&gt;$E113,MIN(AD113,$I113-SUM($J113:AD113)))</f>
        <v>8.7430340557275557</v>
      </c>
      <c r="AF113" s="2">
        <f>IF(AE$4=$E113, $I113*AE$57,0) + IF(AE$4&gt;$E113,MIN(AE113,$I113-SUM($J113:AE113)))</f>
        <v>8.7430340557275557</v>
      </c>
      <c r="AG113" s="2">
        <f>IF(AF$4=$E113, $I113*AF$57,0) + IF(AF$4&gt;$E113,MIN(AF113,$I113-SUM($J113:AF113)))</f>
        <v>8.7430340557275557</v>
      </c>
      <c r="AH113" s="2">
        <f>IF(AG$4=$E113, $I113*AG$57,0) + IF(AG$4&gt;$E113,MIN(AG113,$I113-SUM($J113:AG113)))</f>
        <v>8.7430340557275557</v>
      </c>
      <c r="AI113" s="2">
        <f>IF(AH$4=$E113, $I113*AH$57,0) + IF(AH$4&gt;$E113,MIN(AH113,$I113-SUM($J113:AH113)))</f>
        <v>8.5265128291212022E-14</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5" outlineLevel="1">
      <c r="E114" s="44">
        <f>INDEX($K$4:$AV$4,,COUNT(E$109:E113)+1)</f>
        <v>34789</v>
      </c>
      <c r="G114" s="2" t="s">
        <v>101</v>
      </c>
      <c r="I114" s="2">
        <f t="shared" si="64"/>
        <v>104.65708138741668</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5.2328540693708341</v>
      </c>
      <c r="Q114" s="2">
        <f>IF(P$4=$E114, $I114*P$57,0) + IF(P$4&gt;$E114,MIN(P114,$I114-SUM($J114:P114)))</f>
        <v>5.2328540693708341</v>
      </c>
      <c r="R114" s="2">
        <f>IF(Q$4=$E114, $I114*Q$57,0) + IF(Q$4&gt;$E114,MIN(Q114,$I114-SUM($J114:Q114)))</f>
        <v>5.2328540693708341</v>
      </c>
      <c r="S114" s="2">
        <f>IF(R$4=$E114, $I114*R$57,0) + IF(R$4&gt;$E114,MIN(R114,$I114-SUM($J114:R114)))</f>
        <v>5.2328540693708341</v>
      </c>
      <c r="T114" s="2">
        <f>IF(S$4=$E114, $I114*S$57,0) + IF(S$4&gt;$E114,MIN(S114,$I114-SUM($J114:S114)))</f>
        <v>5.2328540693708341</v>
      </c>
      <c r="U114" s="2">
        <f>IF(T$4=$E114, $I114*T$57,0) + IF(T$4&gt;$E114,MIN(T114,$I114-SUM($J114:T114)))</f>
        <v>5.2328540693708341</v>
      </c>
      <c r="V114" s="2">
        <f>IF(U$4=$E114, $I114*U$57,0) + IF(U$4&gt;$E114,MIN(U114,$I114-SUM($J114:U114)))</f>
        <v>5.2328540693708341</v>
      </c>
      <c r="W114" s="2">
        <f>IF(V$4=$E114, $I114*V$57,0) + IF(V$4&gt;$E114,MIN(V114,$I114-SUM($J114:V114)))</f>
        <v>5.2328540693708341</v>
      </c>
      <c r="X114" s="2">
        <f>IF(W$4=$E114, $I114*W$57,0) + IF(W$4&gt;$E114,MIN(W114,$I114-SUM($J114:W114)))</f>
        <v>5.2328540693708341</v>
      </c>
      <c r="Y114" s="2">
        <f>IF(X$4=$E114, $I114*X$57,0) + IF(X$4&gt;$E114,MIN(X114,$I114-SUM($J114:X114)))</f>
        <v>5.2328540693708341</v>
      </c>
      <c r="Z114" s="2">
        <f>IF(Y$4=$E114, $I114*Y$57,0) + IF(Y$4&gt;$E114,MIN(Y114,$I114-SUM($J114:Y114)))</f>
        <v>5.2328540693708341</v>
      </c>
      <c r="AA114" s="2">
        <f>IF(Z$4=$E114, $I114*Z$57,0) + IF(Z$4&gt;$E114,MIN(Z114,$I114-SUM($J114:Z114)))</f>
        <v>5.2328540693708341</v>
      </c>
      <c r="AB114" s="2">
        <f>IF(AA$4=$E114, $I114*AA$57,0) + IF(AA$4&gt;$E114,MIN(AA114,$I114-SUM($J114:AA114)))</f>
        <v>5.2328540693708341</v>
      </c>
      <c r="AC114" s="2">
        <f>IF(AB$4=$E114, $I114*AB$57,0) + IF(AB$4&gt;$E114,MIN(AB114,$I114-SUM($J114:AB114)))</f>
        <v>5.2328540693708341</v>
      </c>
      <c r="AD114" s="2">
        <f>IF(AC$4=$E114, $I114*AC$57,0) + IF(AC$4&gt;$E114,MIN(AC114,$I114-SUM($J114:AC114)))</f>
        <v>5.2328540693708341</v>
      </c>
      <c r="AE114" s="2">
        <f>IF(AD$4=$E114, $I114*AD$57,0) + IF(AD$4&gt;$E114,MIN(AD114,$I114-SUM($J114:AD114)))</f>
        <v>5.2328540693708341</v>
      </c>
      <c r="AF114" s="2">
        <f>IF(AE$4=$E114, $I114*AE$57,0) + IF(AE$4&gt;$E114,MIN(AE114,$I114-SUM($J114:AE114)))</f>
        <v>5.2328540693708341</v>
      </c>
      <c r="AG114" s="2">
        <f>IF(AF$4=$E114, $I114*AF$57,0) + IF(AF$4&gt;$E114,MIN(AF114,$I114-SUM($J114:AF114)))</f>
        <v>5.2328540693708341</v>
      </c>
      <c r="AH114" s="2">
        <f>IF(AG$4=$E114, $I114*AG$57,0) + IF(AG$4&gt;$E114,MIN(AG114,$I114-SUM($J114:AG114)))</f>
        <v>5.2328540693708341</v>
      </c>
      <c r="AI114" s="2">
        <f>IF(AH$4=$E114, $I114*AH$57,0) + IF(AH$4&gt;$E114,MIN(AH114,$I114-SUM($J114:AH114)))</f>
        <v>5.2328540693708341</v>
      </c>
      <c r="AJ114" s="2">
        <f>IF(AI$4=$E114, $I114*AI$57,0) + IF(AI$4&gt;$E114,MIN(AI114,$I114-SUM($J114:AI114)))</f>
        <v>4.2632564145606011E-14</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5" outlineLevel="1">
      <c r="E115" s="44">
        <f>INDEX($K$4:$AV$4,,COUNT(E$109:E114)+1)</f>
        <v>35155</v>
      </c>
      <c r="G115" s="2" t="s">
        <v>101</v>
      </c>
      <c r="I115" s="2">
        <f t="shared" si="64"/>
        <v>107.62082174529043</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5.3810410872645216</v>
      </c>
      <c r="R115" s="2">
        <f>IF(Q$4=$E115, $I115*Q$57,0) + IF(Q$4&gt;$E115,MIN(Q115,$I115-SUM($J115:Q115)))</f>
        <v>5.3810410872645216</v>
      </c>
      <c r="S115" s="2">
        <f>IF(R$4=$E115, $I115*R$57,0) + IF(R$4&gt;$E115,MIN(R115,$I115-SUM($J115:R115)))</f>
        <v>5.3810410872645216</v>
      </c>
      <c r="T115" s="2">
        <f>IF(S$4=$E115, $I115*S$57,0) + IF(S$4&gt;$E115,MIN(S115,$I115-SUM($J115:S115)))</f>
        <v>5.3810410872645216</v>
      </c>
      <c r="U115" s="2">
        <f>IF(T$4=$E115, $I115*T$57,0) + IF(T$4&gt;$E115,MIN(T115,$I115-SUM($J115:T115)))</f>
        <v>5.3810410872645216</v>
      </c>
      <c r="V115" s="2">
        <f>IF(U$4=$E115, $I115*U$57,0) + IF(U$4&gt;$E115,MIN(U115,$I115-SUM($J115:U115)))</f>
        <v>5.3810410872645216</v>
      </c>
      <c r="W115" s="2">
        <f>IF(V$4=$E115, $I115*V$57,0) + IF(V$4&gt;$E115,MIN(V115,$I115-SUM($J115:V115)))</f>
        <v>5.3810410872645216</v>
      </c>
      <c r="X115" s="2">
        <f>IF(W$4=$E115, $I115*W$57,0) + IF(W$4&gt;$E115,MIN(W115,$I115-SUM($J115:W115)))</f>
        <v>5.3810410872645216</v>
      </c>
      <c r="Y115" s="2">
        <f>IF(X$4=$E115, $I115*X$57,0) + IF(X$4&gt;$E115,MIN(X115,$I115-SUM($J115:X115)))</f>
        <v>5.3810410872645216</v>
      </c>
      <c r="Z115" s="2">
        <f>IF(Y$4=$E115, $I115*Y$57,0) + IF(Y$4&gt;$E115,MIN(Y115,$I115-SUM($J115:Y115)))</f>
        <v>5.3810410872645216</v>
      </c>
      <c r="AA115" s="2">
        <f>IF(Z$4=$E115, $I115*Z$57,0) + IF(Z$4&gt;$E115,MIN(Z115,$I115-SUM($J115:Z115)))</f>
        <v>5.3810410872645216</v>
      </c>
      <c r="AB115" s="2">
        <f>IF(AA$4=$E115, $I115*AA$57,0) + IF(AA$4&gt;$E115,MIN(AA115,$I115-SUM($J115:AA115)))</f>
        <v>5.3810410872645216</v>
      </c>
      <c r="AC115" s="2">
        <f>IF(AB$4=$E115, $I115*AB$57,0) + IF(AB$4&gt;$E115,MIN(AB115,$I115-SUM($J115:AB115)))</f>
        <v>5.3810410872645216</v>
      </c>
      <c r="AD115" s="2">
        <f>IF(AC$4=$E115, $I115*AC$57,0) + IF(AC$4&gt;$E115,MIN(AC115,$I115-SUM($J115:AC115)))</f>
        <v>5.3810410872645216</v>
      </c>
      <c r="AE115" s="2">
        <f>IF(AD$4=$E115, $I115*AD$57,0) + IF(AD$4&gt;$E115,MIN(AD115,$I115-SUM($J115:AD115)))</f>
        <v>5.3810410872645216</v>
      </c>
      <c r="AF115" s="2">
        <f>IF(AE$4=$E115, $I115*AE$57,0) + IF(AE$4&gt;$E115,MIN(AE115,$I115-SUM($J115:AE115)))</f>
        <v>5.3810410872645216</v>
      </c>
      <c r="AG115" s="2">
        <f>IF(AF$4=$E115, $I115*AF$57,0) + IF(AF$4&gt;$E115,MIN(AF115,$I115-SUM($J115:AF115)))</f>
        <v>5.3810410872645216</v>
      </c>
      <c r="AH115" s="2">
        <f>IF(AG$4=$E115, $I115*AG$57,0) + IF(AG$4&gt;$E115,MIN(AG115,$I115-SUM($J115:AG115)))</f>
        <v>5.3810410872645216</v>
      </c>
      <c r="AI115" s="2">
        <f>IF(AH$4=$E115, $I115*AH$57,0) + IF(AH$4&gt;$E115,MIN(AH115,$I115-SUM($J115:AH115)))</f>
        <v>5.3810410872645216</v>
      </c>
      <c r="AJ115" s="2">
        <f>IF(AI$4=$E115, $I115*AI$57,0) + IF(AI$4&gt;$E115,MIN(AI115,$I115-SUM($J115:AI115)))</f>
        <v>5.3810410872645207</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5" outlineLevel="1">
      <c r="E116" s="44">
        <f>INDEX($K$4:$AV$4,,COUNT(E$109:E115)+1)</f>
        <v>35520</v>
      </c>
      <c r="G116" s="2" t="s">
        <v>101</v>
      </c>
      <c r="I116" s="2">
        <f t="shared" si="64"/>
        <v>116.32680904654455</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5.8163404523272284</v>
      </c>
      <c r="S116" s="2">
        <f>IF(R$4=$E116, $I116*R$57,0) + IF(R$4&gt;$E116,MIN(R116,$I116-SUM($J116:R116)))</f>
        <v>5.8163404523272284</v>
      </c>
      <c r="T116" s="2">
        <f>IF(S$4=$E116, $I116*S$57,0) + IF(S$4&gt;$E116,MIN(S116,$I116-SUM($J116:S116)))</f>
        <v>5.8163404523272284</v>
      </c>
      <c r="U116" s="2">
        <f>IF(T$4=$E116, $I116*T$57,0) + IF(T$4&gt;$E116,MIN(T116,$I116-SUM($J116:T116)))</f>
        <v>5.8163404523272284</v>
      </c>
      <c r="V116" s="2">
        <f>IF(U$4=$E116, $I116*U$57,0) + IF(U$4&gt;$E116,MIN(U116,$I116-SUM($J116:U116)))</f>
        <v>5.8163404523272284</v>
      </c>
      <c r="W116" s="2">
        <f>IF(V$4=$E116, $I116*V$57,0) + IF(V$4&gt;$E116,MIN(V116,$I116-SUM($J116:V116)))</f>
        <v>5.8163404523272284</v>
      </c>
      <c r="X116" s="2">
        <f>IF(W$4=$E116, $I116*W$57,0) + IF(W$4&gt;$E116,MIN(W116,$I116-SUM($J116:W116)))</f>
        <v>5.8163404523272284</v>
      </c>
      <c r="Y116" s="2">
        <f>IF(X$4=$E116, $I116*X$57,0) + IF(X$4&gt;$E116,MIN(X116,$I116-SUM($J116:X116)))</f>
        <v>5.8163404523272284</v>
      </c>
      <c r="Z116" s="2">
        <f>IF(Y$4=$E116, $I116*Y$57,0) + IF(Y$4&gt;$E116,MIN(Y116,$I116-SUM($J116:Y116)))</f>
        <v>5.8163404523272284</v>
      </c>
      <c r="AA116" s="2">
        <f>IF(Z$4=$E116, $I116*Z$57,0) + IF(Z$4&gt;$E116,MIN(Z116,$I116-SUM($J116:Z116)))</f>
        <v>5.8163404523272284</v>
      </c>
      <c r="AB116" s="2">
        <f>IF(AA$4=$E116, $I116*AA$57,0) + IF(AA$4&gt;$E116,MIN(AA116,$I116-SUM($J116:AA116)))</f>
        <v>5.8163404523272284</v>
      </c>
      <c r="AC116" s="2">
        <f>IF(AB$4=$E116, $I116*AB$57,0) + IF(AB$4&gt;$E116,MIN(AB116,$I116-SUM($J116:AB116)))</f>
        <v>5.8163404523272284</v>
      </c>
      <c r="AD116" s="2">
        <f>IF(AC$4=$E116, $I116*AC$57,0) + IF(AC$4&gt;$E116,MIN(AC116,$I116-SUM($J116:AC116)))</f>
        <v>5.8163404523272284</v>
      </c>
      <c r="AE116" s="2">
        <f>IF(AD$4=$E116, $I116*AD$57,0) + IF(AD$4&gt;$E116,MIN(AD116,$I116-SUM($J116:AD116)))</f>
        <v>5.8163404523272284</v>
      </c>
      <c r="AF116" s="2">
        <f>IF(AE$4=$E116, $I116*AE$57,0) + IF(AE$4&gt;$E116,MIN(AE116,$I116-SUM($J116:AE116)))</f>
        <v>5.8163404523272284</v>
      </c>
      <c r="AG116" s="2">
        <f>IF(AF$4=$E116, $I116*AF$57,0) + IF(AF$4&gt;$E116,MIN(AF116,$I116-SUM($J116:AF116)))</f>
        <v>5.8163404523272284</v>
      </c>
      <c r="AH116" s="2">
        <f>IF(AG$4=$E116, $I116*AG$57,0) + IF(AG$4&gt;$E116,MIN(AG116,$I116-SUM($J116:AG116)))</f>
        <v>5.8163404523272284</v>
      </c>
      <c r="AI116" s="2">
        <f>IF(AH$4=$E116, $I116*AH$57,0) + IF(AH$4&gt;$E116,MIN(AH116,$I116-SUM($J116:AH116)))</f>
        <v>5.8163404523272284</v>
      </c>
      <c r="AJ116" s="2">
        <f>IF(AI$4=$E116, $I116*AI$57,0) + IF(AI$4&gt;$E116,MIN(AI116,$I116-SUM($J116:AI116)))</f>
        <v>5.8163404523272284</v>
      </c>
      <c r="AK116" s="2">
        <f>IF(AJ$4=$E116, $I116*AJ$57,0) + IF(AJ$4&gt;$E116,MIN(AJ116,$I116-SUM($J116:AJ116)))</f>
        <v>5.8163404523272284</v>
      </c>
      <c r="AL116" s="2">
        <f>IF(AK$4=$E116, $I116*AK$57,0) + IF(AK$4&gt;$E116,MIN(AK116,$I116-SUM($J116:AK116)))</f>
        <v>2.8421709430404007E-14</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5" outlineLevel="1">
      <c r="E117" s="44">
        <f>INDEX($K$4:$AV$4,,COUNT(E$109:E116)+1)</f>
        <v>35885</v>
      </c>
      <c r="G117" s="2" t="s">
        <v>101</v>
      </c>
      <c r="I117" s="2">
        <f t="shared" si="64"/>
        <v>139.11056304769897</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6.9555281523849493</v>
      </c>
      <c r="T117" s="2">
        <f>IF(S$4=$E117, $I117*S$57,0) + IF(S$4&gt;$E117,MIN(S117,$I117-SUM($J117:S117)))</f>
        <v>6.9555281523849493</v>
      </c>
      <c r="U117" s="2">
        <f>IF(T$4=$E117, $I117*T$57,0) + IF(T$4&gt;$E117,MIN(T117,$I117-SUM($J117:T117)))</f>
        <v>6.9555281523849493</v>
      </c>
      <c r="V117" s="2">
        <f>IF(U$4=$E117, $I117*U$57,0) + IF(U$4&gt;$E117,MIN(U117,$I117-SUM($J117:U117)))</f>
        <v>6.9555281523849493</v>
      </c>
      <c r="W117" s="2">
        <f>IF(V$4=$E117, $I117*V$57,0) + IF(V$4&gt;$E117,MIN(V117,$I117-SUM($J117:V117)))</f>
        <v>6.9555281523849493</v>
      </c>
      <c r="X117" s="2">
        <f>IF(W$4=$E117, $I117*W$57,0) + IF(W$4&gt;$E117,MIN(W117,$I117-SUM($J117:W117)))</f>
        <v>6.9555281523849493</v>
      </c>
      <c r="Y117" s="2">
        <f>IF(X$4=$E117, $I117*X$57,0) + IF(X$4&gt;$E117,MIN(X117,$I117-SUM($J117:X117)))</f>
        <v>6.9555281523849493</v>
      </c>
      <c r="Z117" s="2">
        <f>IF(Y$4=$E117, $I117*Y$57,0) + IF(Y$4&gt;$E117,MIN(Y117,$I117-SUM($J117:Y117)))</f>
        <v>6.9555281523849493</v>
      </c>
      <c r="AA117" s="2">
        <f>IF(Z$4=$E117, $I117*Z$57,0) + IF(Z$4&gt;$E117,MIN(Z117,$I117-SUM($J117:Z117)))</f>
        <v>6.9555281523849493</v>
      </c>
      <c r="AB117" s="2">
        <f>IF(AA$4=$E117, $I117*AA$57,0) + IF(AA$4&gt;$E117,MIN(AA117,$I117-SUM($J117:AA117)))</f>
        <v>6.9555281523849493</v>
      </c>
      <c r="AC117" s="2">
        <f>IF(AB$4=$E117, $I117*AB$57,0) + IF(AB$4&gt;$E117,MIN(AB117,$I117-SUM($J117:AB117)))</f>
        <v>6.9555281523849493</v>
      </c>
      <c r="AD117" s="2">
        <f>IF(AC$4=$E117, $I117*AC$57,0) + IF(AC$4&gt;$E117,MIN(AC117,$I117-SUM($J117:AC117)))</f>
        <v>6.9555281523849493</v>
      </c>
      <c r="AE117" s="2">
        <f>IF(AD$4=$E117, $I117*AD$57,0) + IF(AD$4&gt;$E117,MIN(AD117,$I117-SUM($J117:AD117)))</f>
        <v>6.9555281523849493</v>
      </c>
      <c r="AF117" s="2">
        <f>IF(AE$4=$E117, $I117*AE$57,0) + IF(AE$4&gt;$E117,MIN(AE117,$I117-SUM($J117:AE117)))</f>
        <v>6.9555281523849493</v>
      </c>
      <c r="AG117" s="2">
        <f>IF(AF$4=$E117, $I117*AF$57,0) + IF(AF$4&gt;$E117,MIN(AF117,$I117-SUM($J117:AF117)))</f>
        <v>6.9555281523849493</v>
      </c>
      <c r="AH117" s="2">
        <f>IF(AG$4=$E117, $I117*AG$57,0) + IF(AG$4&gt;$E117,MIN(AG117,$I117-SUM($J117:AG117)))</f>
        <v>6.9555281523849493</v>
      </c>
      <c r="AI117" s="2">
        <f>IF(AH$4=$E117, $I117*AH$57,0) + IF(AH$4&gt;$E117,MIN(AH117,$I117-SUM($J117:AH117)))</f>
        <v>6.9555281523849493</v>
      </c>
      <c r="AJ117" s="2">
        <f>IF(AI$4=$E117, $I117*AI$57,0) + IF(AI$4&gt;$E117,MIN(AI117,$I117-SUM($J117:AI117)))</f>
        <v>6.9555281523849493</v>
      </c>
      <c r="AK117" s="2">
        <f>IF(AJ$4=$E117, $I117*AJ$57,0) + IF(AJ$4&gt;$E117,MIN(AJ117,$I117-SUM($J117:AJ117)))</f>
        <v>6.9555281523849493</v>
      </c>
      <c r="AL117" s="2">
        <f>IF(AK$4=$E117, $I117*AK$57,0) + IF(AK$4&gt;$E117,MIN(AK117,$I117-SUM($J117:AK117)))</f>
        <v>6.9555281523849493</v>
      </c>
      <c r="AM117" s="2">
        <f>IF(AL$4=$E117, $I117*AL$57,0) + IF(AL$4&gt;$E117,MIN(AL117,$I117-SUM($J117:AL117)))</f>
        <v>5.6843418860808015E-14</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5" outlineLevel="1">
      <c r="E118" s="44">
        <f>INDEX($K$4:$AV$4,,COUNT(E$109:E117)+1)</f>
        <v>36250</v>
      </c>
      <c r="G118" s="2" t="s">
        <v>101</v>
      </c>
      <c r="I118" s="2">
        <f t="shared" si="64"/>
        <v>135.05514025886723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6.7527570129433618</v>
      </c>
      <c r="U118" s="2">
        <f>IF(T$4=$E118, $I118*T$57,0) + IF(T$4&gt;$E118,MIN(T118,$I118-SUM($J118:T118)))</f>
        <v>6.7527570129433618</v>
      </c>
      <c r="V118" s="2">
        <f>IF(U$4=$E118, $I118*U$57,0) + IF(U$4&gt;$E118,MIN(U118,$I118-SUM($J118:U118)))</f>
        <v>6.7527570129433618</v>
      </c>
      <c r="W118" s="2">
        <f>IF(V$4=$E118, $I118*V$57,0) + IF(V$4&gt;$E118,MIN(V118,$I118-SUM($J118:V118)))</f>
        <v>6.7527570129433618</v>
      </c>
      <c r="X118" s="2">
        <f>IF(W$4=$E118, $I118*W$57,0) + IF(W$4&gt;$E118,MIN(W118,$I118-SUM($J118:W118)))</f>
        <v>6.7527570129433618</v>
      </c>
      <c r="Y118" s="2">
        <f>IF(X$4=$E118, $I118*X$57,0) + IF(X$4&gt;$E118,MIN(X118,$I118-SUM($J118:X118)))</f>
        <v>6.7527570129433618</v>
      </c>
      <c r="Z118" s="2">
        <f>IF(Y$4=$E118, $I118*Y$57,0) + IF(Y$4&gt;$E118,MIN(Y118,$I118-SUM($J118:Y118)))</f>
        <v>6.7527570129433618</v>
      </c>
      <c r="AA118" s="2">
        <f>IF(Z$4=$E118, $I118*Z$57,0) + IF(Z$4&gt;$E118,MIN(Z118,$I118-SUM($J118:Z118)))</f>
        <v>6.7527570129433618</v>
      </c>
      <c r="AB118" s="2">
        <f>IF(AA$4=$E118, $I118*AA$57,0) + IF(AA$4&gt;$E118,MIN(AA118,$I118-SUM($J118:AA118)))</f>
        <v>6.7527570129433618</v>
      </c>
      <c r="AC118" s="2">
        <f>IF(AB$4=$E118, $I118*AB$57,0) + IF(AB$4&gt;$E118,MIN(AB118,$I118-SUM($J118:AB118)))</f>
        <v>6.7527570129433618</v>
      </c>
      <c r="AD118" s="2">
        <f>IF(AC$4=$E118, $I118*AC$57,0) + IF(AC$4&gt;$E118,MIN(AC118,$I118-SUM($J118:AC118)))</f>
        <v>6.7527570129433618</v>
      </c>
      <c r="AE118" s="2">
        <f>IF(AD$4=$E118, $I118*AD$57,0) + IF(AD$4&gt;$E118,MIN(AD118,$I118-SUM($J118:AD118)))</f>
        <v>6.7527570129433618</v>
      </c>
      <c r="AF118" s="2">
        <f>IF(AE$4=$E118, $I118*AE$57,0) + IF(AE$4&gt;$E118,MIN(AE118,$I118-SUM($J118:AE118)))</f>
        <v>6.7527570129433618</v>
      </c>
      <c r="AG118" s="2">
        <f>IF(AF$4=$E118, $I118*AF$57,0) + IF(AF$4&gt;$E118,MIN(AF118,$I118-SUM($J118:AF118)))</f>
        <v>6.7527570129433618</v>
      </c>
      <c r="AH118" s="2">
        <f>IF(AG$4=$E118, $I118*AG$57,0) + IF(AG$4&gt;$E118,MIN(AG118,$I118-SUM($J118:AG118)))</f>
        <v>6.7527570129433618</v>
      </c>
      <c r="AI118" s="2">
        <f>IF(AH$4=$E118, $I118*AH$57,0) + IF(AH$4&gt;$E118,MIN(AH118,$I118-SUM($J118:AH118)))</f>
        <v>6.7527570129433618</v>
      </c>
      <c r="AJ118" s="2">
        <f>IF(AI$4=$E118, $I118*AI$57,0) + IF(AI$4&gt;$E118,MIN(AI118,$I118-SUM($J118:AI118)))</f>
        <v>6.7527570129433618</v>
      </c>
      <c r="AK118" s="2">
        <f>IF(AJ$4=$E118, $I118*AJ$57,0) + IF(AJ$4&gt;$E118,MIN(AJ118,$I118-SUM($J118:AJ118)))</f>
        <v>6.7527570129433618</v>
      </c>
      <c r="AL118" s="2">
        <f>IF(AK$4=$E118, $I118*AK$57,0) + IF(AK$4&gt;$E118,MIN(AK118,$I118-SUM($J118:AK118)))</f>
        <v>6.7527570129433618</v>
      </c>
      <c r="AM118" s="2">
        <f>IF(AL$4=$E118, $I118*AL$57,0) + IF(AL$4&gt;$E118,MIN(AL118,$I118-SUM($J118:AL118)))</f>
        <v>6.7527570129433618</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5" outlineLevel="1">
      <c r="E119" s="44">
        <f>INDEX($K$4:$AV$4,,COUNT(E$109:E118)+1)</f>
        <v>36616</v>
      </c>
      <c r="G119" s="2" t="s">
        <v>101</v>
      </c>
      <c r="I119" s="2">
        <f t="shared" si="64"/>
        <v>134.39535116721777</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6.7197675583608891</v>
      </c>
      <c r="V119" s="2">
        <f>IF(U$4=$E119, $I119*U$57,0) + IF(U$4&gt;$E119,MIN(U119,$I119-SUM($J119:U119)))</f>
        <v>6.7197675583608891</v>
      </c>
      <c r="W119" s="2">
        <f>IF(V$4=$E119, $I119*V$57,0) + IF(V$4&gt;$E119,MIN(V119,$I119-SUM($J119:V119)))</f>
        <v>6.7197675583608891</v>
      </c>
      <c r="X119" s="2">
        <f>IF(W$4=$E119, $I119*W$57,0) + IF(W$4&gt;$E119,MIN(W119,$I119-SUM($J119:W119)))</f>
        <v>6.7197675583608891</v>
      </c>
      <c r="Y119" s="2">
        <f>IF(X$4=$E119, $I119*X$57,0) + IF(X$4&gt;$E119,MIN(X119,$I119-SUM($J119:X119)))</f>
        <v>6.7197675583608891</v>
      </c>
      <c r="Z119" s="2">
        <f>IF(Y$4=$E119, $I119*Y$57,0) + IF(Y$4&gt;$E119,MIN(Y119,$I119-SUM($J119:Y119)))</f>
        <v>6.7197675583608891</v>
      </c>
      <c r="AA119" s="2">
        <f>IF(Z$4=$E119, $I119*Z$57,0) + IF(Z$4&gt;$E119,MIN(Z119,$I119-SUM($J119:Z119)))</f>
        <v>6.7197675583608891</v>
      </c>
      <c r="AB119" s="2">
        <f>IF(AA$4=$E119, $I119*AA$57,0) + IF(AA$4&gt;$E119,MIN(AA119,$I119-SUM($J119:AA119)))</f>
        <v>6.7197675583608891</v>
      </c>
      <c r="AC119" s="2">
        <f>IF(AB$4=$E119, $I119*AB$57,0) + IF(AB$4&gt;$E119,MIN(AB119,$I119-SUM($J119:AB119)))</f>
        <v>6.7197675583608891</v>
      </c>
      <c r="AD119" s="2">
        <f>IF(AC$4=$E119, $I119*AC$57,0) + IF(AC$4&gt;$E119,MIN(AC119,$I119-SUM($J119:AC119)))</f>
        <v>6.7197675583608891</v>
      </c>
      <c r="AE119" s="2">
        <f>IF(AD$4=$E119, $I119*AD$57,0) + IF(AD$4&gt;$E119,MIN(AD119,$I119-SUM($J119:AD119)))</f>
        <v>6.7197675583608891</v>
      </c>
      <c r="AF119" s="2">
        <f>IF(AE$4=$E119, $I119*AE$57,0) + IF(AE$4&gt;$E119,MIN(AE119,$I119-SUM($J119:AE119)))</f>
        <v>6.7197675583608891</v>
      </c>
      <c r="AG119" s="2">
        <f>IF(AF$4=$E119, $I119*AF$57,0) + IF(AF$4&gt;$E119,MIN(AF119,$I119-SUM($J119:AF119)))</f>
        <v>6.7197675583608891</v>
      </c>
      <c r="AH119" s="2">
        <f>IF(AG$4=$E119, $I119*AG$57,0) + IF(AG$4&gt;$E119,MIN(AG119,$I119-SUM($J119:AG119)))</f>
        <v>6.7197675583608891</v>
      </c>
      <c r="AI119" s="2">
        <f>IF(AH$4=$E119, $I119*AH$57,0) + IF(AH$4&gt;$E119,MIN(AH119,$I119-SUM($J119:AH119)))</f>
        <v>6.7197675583608891</v>
      </c>
      <c r="AJ119" s="2">
        <f>IF(AI$4=$E119, $I119*AI$57,0) + IF(AI$4&gt;$E119,MIN(AI119,$I119-SUM($J119:AI119)))</f>
        <v>6.7197675583608891</v>
      </c>
      <c r="AK119" s="2">
        <f>IF(AJ$4=$E119, $I119*AJ$57,0) + IF(AJ$4&gt;$E119,MIN(AJ119,$I119-SUM($J119:AJ119)))</f>
        <v>6.7197675583608891</v>
      </c>
      <c r="AL119" s="2">
        <f>IF(AK$4=$E119, $I119*AK$57,0) + IF(AK$4&gt;$E119,MIN(AK119,$I119-SUM($J119:AK119)))</f>
        <v>6.7197675583608891</v>
      </c>
      <c r="AM119" s="2">
        <f>IF(AL$4=$E119, $I119*AL$57,0) + IF(AL$4&gt;$E119,MIN(AL119,$I119-SUM($J119:AL119)))</f>
        <v>6.7197675583608891</v>
      </c>
      <c r="AN119" s="2">
        <f>IF(AM$4=$E119, $I119*AM$57,0) + IF(AM$4&gt;$E119,MIN(AM119,$I119-SUM($J119:AM119)))</f>
        <v>6.7197675583608891</v>
      </c>
      <c r="AO119" s="2">
        <f>IF(AN$4=$E119, $I119*AN$57,0) + IF(AN$4&gt;$E119,MIN(AN119,$I119-SUM($J119:AN119)))</f>
        <v>2.8421709430404007E-14</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5" outlineLevel="1">
      <c r="E120" s="44">
        <f>INDEX($K$4:$AV$4,,COUNT(E$109:E119)+1)</f>
        <v>36981</v>
      </c>
      <c r="G120" s="2" t="s">
        <v>101</v>
      </c>
      <c r="I120" s="2">
        <f t="shared" si="64"/>
        <v>164.49751921393135</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8.2248759606965685</v>
      </c>
      <c r="W120" s="2">
        <f>IF(V$4=$E120, $I120*V$57,0) + IF(V$4&gt;$E120,MIN(V120,$I120-SUM($J120:V120)))</f>
        <v>8.2248759606965685</v>
      </c>
      <c r="X120" s="2">
        <f>IF(W$4=$E120, $I120*W$57,0) + IF(W$4&gt;$E120,MIN(W120,$I120-SUM($J120:W120)))</f>
        <v>8.2248759606965685</v>
      </c>
      <c r="Y120" s="2">
        <f>IF(X$4=$E120, $I120*X$57,0) + IF(X$4&gt;$E120,MIN(X120,$I120-SUM($J120:X120)))</f>
        <v>8.2248759606965685</v>
      </c>
      <c r="Z120" s="2">
        <f>IF(Y$4=$E120, $I120*Y$57,0) + IF(Y$4&gt;$E120,MIN(Y120,$I120-SUM($J120:Y120)))</f>
        <v>8.2248759606965685</v>
      </c>
      <c r="AA120" s="2">
        <f>IF(Z$4=$E120, $I120*Z$57,0) + IF(Z$4&gt;$E120,MIN(Z120,$I120-SUM($J120:Z120)))</f>
        <v>8.2248759606965685</v>
      </c>
      <c r="AB120" s="2">
        <f>IF(AA$4=$E120, $I120*AA$57,0) + IF(AA$4&gt;$E120,MIN(AA120,$I120-SUM($J120:AA120)))</f>
        <v>8.2248759606965685</v>
      </c>
      <c r="AC120" s="2">
        <f>IF(AB$4=$E120, $I120*AB$57,0) + IF(AB$4&gt;$E120,MIN(AB120,$I120-SUM($J120:AB120)))</f>
        <v>8.2248759606965685</v>
      </c>
      <c r="AD120" s="2">
        <f>IF(AC$4=$E120, $I120*AC$57,0) + IF(AC$4&gt;$E120,MIN(AC120,$I120-SUM($J120:AC120)))</f>
        <v>8.2248759606965685</v>
      </c>
      <c r="AE120" s="2">
        <f>IF(AD$4=$E120, $I120*AD$57,0) + IF(AD$4&gt;$E120,MIN(AD120,$I120-SUM($J120:AD120)))</f>
        <v>8.2248759606965685</v>
      </c>
      <c r="AF120" s="2">
        <f>IF(AE$4=$E120, $I120*AE$57,0) + IF(AE$4&gt;$E120,MIN(AE120,$I120-SUM($J120:AE120)))</f>
        <v>8.2248759606965685</v>
      </c>
      <c r="AG120" s="2">
        <f>IF(AF$4=$E120, $I120*AF$57,0) + IF(AF$4&gt;$E120,MIN(AF120,$I120-SUM($J120:AF120)))</f>
        <v>8.2248759606965685</v>
      </c>
      <c r="AH120" s="2">
        <f>IF(AG$4=$E120, $I120*AG$57,0) + IF(AG$4&gt;$E120,MIN(AG120,$I120-SUM($J120:AG120)))</f>
        <v>8.2248759606965685</v>
      </c>
      <c r="AI120" s="2">
        <f>IF(AH$4=$E120, $I120*AH$57,0) + IF(AH$4&gt;$E120,MIN(AH120,$I120-SUM($J120:AH120)))</f>
        <v>8.2248759606965685</v>
      </c>
      <c r="AJ120" s="2">
        <f>IF(AI$4=$E120, $I120*AI$57,0) + IF(AI$4&gt;$E120,MIN(AI120,$I120-SUM($J120:AI120)))</f>
        <v>8.2248759606965685</v>
      </c>
      <c r="AK120" s="2">
        <f>IF(AJ$4=$E120, $I120*AJ$57,0) + IF(AJ$4&gt;$E120,MIN(AJ120,$I120-SUM($J120:AJ120)))</f>
        <v>8.2248759606965685</v>
      </c>
      <c r="AL120" s="2">
        <f>IF(AK$4=$E120, $I120*AK$57,0) + IF(AK$4&gt;$E120,MIN(AK120,$I120-SUM($J120:AK120)))</f>
        <v>8.2248759606965685</v>
      </c>
      <c r="AM120" s="2">
        <f>IF(AL$4=$E120, $I120*AL$57,0) + IF(AL$4&gt;$E120,MIN(AL120,$I120-SUM($J120:AL120)))</f>
        <v>8.2248759606965685</v>
      </c>
      <c r="AN120" s="2">
        <f>IF(AM$4=$E120, $I120*AM$57,0) + IF(AM$4&gt;$E120,MIN(AM120,$I120-SUM($J120:AM120)))</f>
        <v>8.2248759606965685</v>
      </c>
      <c r="AO120" s="2">
        <f>IF(AN$4=$E120, $I120*AN$57,0) + IF(AN$4&gt;$E120,MIN(AN120,$I120-SUM($J120:AN120)))</f>
        <v>8.2248759606965507</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5" outlineLevel="1">
      <c r="E121" s="44">
        <f>INDEX($K$4:$AV$4,,COUNT(E$109:E120)+1)</f>
        <v>37346</v>
      </c>
      <c r="G121" s="2" t="s">
        <v>101</v>
      </c>
      <c r="I121" s="2">
        <f t="shared" si="64"/>
        <v>101.17133956386293</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5.0585669781931468</v>
      </c>
      <c r="X121" s="2">
        <f>IF(W$4=$E121, $I121*W$57,0) + IF(W$4&gt;$E121,MIN(W121,$I121-SUM($J121:W121)))</f>
        <v>5.0585669781931468</v>
      </c>
      <c r="Y121" s="2">
        <f>IF(X$4=$E121, $I121*X$57,0) + IF(X$4&gt;$E121,MIN(X121,$I121-SUM($J121:X121)))</f>
        <v>5.0585669781931468</v>
      </c>
      <c r="Z121" s="2">
        <f>IF(Y$4=$E121, $I121*Y$57,0) + IF(Y$4&gt;$E121,MIN(Y121,$I121-SUM($J121:Y121)))</f>
        <v>5.0585669781931468</v>
      </c>
      <c r="AA121" s="2">
        <f>IF(Z$4=$E121, $I121*Z$57,0) + IF(Z$4&gt;$E121,MIN(Z121,$I121-SUM($J121:Z121)))</f>
        <v>5.0585669781931468</v>
      </c>
      <c r="AB121" s="2">
        <f>IF(AA$4=$E121, $I121*AA$57,0) + IF(AA$4&gt;$E121,MIN(AA121,$I121-SUM($J121:AA121)))</f>
        <v>5.0585669781931468</v>
      </c>
      <c r="AC121" s="2">
        <f>IF(AB$4=$E121, $I121*AB$57,0) + IF(AB$4&gt;$E121,MIN(AB121,$I121-SUM($J121:AB121)))</f>
        <v>5.0585669781931468</v>
      </c>
      <c r="AD121" s="2">
        <f>IF(AC$4=$E121, $I121*AC$57,0) + IF(AC$4&gt;$E121,MIN(AC121,$I121-SUM($J121:AC121)))</f>
        <v>5.0585669781931468</v>
      </c>
      <c r="AE121" s="2">
        <f>IF(AD$4=$E121, $I121*AD$57,0) + IF(AD$4&gt;$E121,MIN(AD121,$I121-SUM($J121:AD121)))</f>
        <v>5.0585669781931468</v>
      </c>
      <c r="AF121" s="2">
        <f>IF(AE$4=$E121, $I121*AE$57,0) + IF(AE$4&gt;$E121,MIN(AE121,$I121-SUM($J121:AE121)))</f>
        <v>5.0585669781931468</v>
      </c>
      <c r="AG121" s="2">
        <f>IF(AF$4=$E121, $I121*AF$57,0) + IF(AF$4&gt;$E121,MIN(AF121,$I121-SUM($J121:AF121)))</f>
        <v>5.0585669781931468</v>
      </c>
      <c r="AH121" s="2">
        <f>IF(AG$4=$E121, $I121*AG$57,0) + IF(AG$4&gt;$E121,MIN(AG121,$I121-SUM($J121:AG121)))</f>
        <v>5.0585669781931468</v>
      </c>
      <c r="AI121" s="2">
        <f>IF(AH$4=$E121, $I121*AH$57,0) + IF(AH$4&gt;$E121,MIN(AH121,$I121-SUM($J121:AH121)))</f>
        <v>5.0585669781931468</v>
      </c>
      <c r="AJ121" s="2">
        <f>IF(AI$4=$E121, $I121*AI$57,0) + IF(AI$4&gt;$E121,MIN(AI121,$I121-SUM($J121:AI121)))</f>
        <v>5.0585669781931468</v>
      </c>
      <c r="AK121" s="2">
        <f>IF(AJ$4=$E121, $I121*AJ$57,0) + IF(AJ$4&gt;$E121,MIN(AJ121,$I121-SUM($J121:AJ121)))</f>
        <v>5.0585669781931468</v>
      </c>
      <c r="AL121" s="2">
        <f>IF(AK$4=$E121, $I121*AK$57,0) + IF(AK$4&gt;$E121,MIN(AK121,$I121-SUM($J121:AK121)))</f>
        <v>5.0585669781931468</v>
      </c>
      <c r="AM121" s="2">
        <f>IF(AL$4=$E121, $I121*AL$57,0) + IF(AL$4&gt;$E121,MIN(AL121,$I121-SUM($J121:AL121)))</f>
        <v>5.0585669781931468</v>
      </c>
      <c r="AN121" s="2">
        <f>IF(AM$4=$E121, $I121*AM$57,0) + IF(AM$4&gt;$E121,MIN(AM121,$I121-SUM($J121:AM121)))</f>
        <v>5.0585669781931468</v>
      </c>
      <c r="AO121" s="2">
        <f>IF(AN$4=$E121, $I121*AN$57,0) + IF(AN$4&gt;$E121,MIN(AN121,$I121-SUM($J121:AN121)))</f>
        <v>5.0585669781931468</v>
      </c>
      <c r="AP121" s="2">
        <f>IF(AO$4=$E121, $I121*AO$57,0) + IF(AO$4&gt;$E121,MIN(AO121,$I121-SUM($J121:AO121)))</f>
        <v>5.0585669781931468</v>
      </c>
      <c r="AQ121" s="57">
        <f>IF(AP$4=$E121, $I121*AP$57,0) + IF(AP$4&gt;$E121,MIN(AP121,$I121-SUM($J121:AP121)))</f>
        <v>1.4210854715202004E-14</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5" outlineLevel="1">
      <c r="E122" s="44">
        <f>INDEX($K$4:$AV$4,,COUNT(E$109:E121)+1)</f>
        <v>37711</v>
      </c>
      <c r="G122" s="2" t="s">
        <v>101</v>
      </c>
      <c r="I122" s="2">
        <f t="shared" si="64"/>
        <v>120.63821117601886</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6.0319105588009432</v>
      </c>
      <c r="Y122" s="2">
        <f>IF(X$4=$E122, $I122*X$57,0) + IF(X$4&gt;$E122,MIN(X122,$I122-SUM($J122:X122)))</f>
        <v>6.0319105588009432</v>
      </c>
      <c r="Z122" s="2">
        <f>IF(Y$4=$E122, $I122*Y$57,0) + IF(Y$4&gt;$E122,MIN(Y122,$I122-SUM($J122:Y122)))</f>
        <v>6.0319105588009432</v>
      </c>
      <c r="AA122" s="2">
        <f>IF(Z$4=$E122, $I122*Z$57,0) + IF(Z$4&gt;$E122,MIN(Z122,$I122-SUM($J122:Z122)))</f>
        <v>6.0319105588009432</v>
      </c>
      <c r="AB122" s="2">
        <f>IF(AA$4=$E122, $I122*AA$57,0) + IF(AA$4&gt;$E122,MIN(AA122,$I122-SUM($J122:AA122)))</f>
        <v>6.0319105588009432</v>
      </c>
      <c r="AC122" s="2">
        <f>IF(AB$4=$E122, $I122*AB$57,0) + IF(AB$4&gt;$E122,MIN(AB122,$I122-SUM($J122:AB122)))</f>
        <v>6.0319105588009432</v>
      </c>
      <c r="AD122" s="2">
        <f>IF(AC$4=$E122, $I122*AC$57,0) + IF(AC$4&gt;$E122,MIN(AC122,$I122-SUM($J122:AC122)))</f>
        <v>6.0319105588009432</v>
      </c>
      <c r="AE122" s="2">
        <f>IF(AD$4=$E122, $I122*AD$57,0) + IF(AD$4&gt;$E122,MIN(AD122,$I122-SUM($J122:AD122)))</f>
        <v>6.0319105588009432</v>
      </c>
      <c r="AF122" s="2">
        <f>IF(AE$4=$E122, $I122*AE$57,0) + IF(AE$4&gt;$E122,MIN(AE122,$I122-SUM($J122:AE122)))</f>
        <v>6.0319105588009432</v>
      </c>
      <c r="AG122" s="2">
        <f>IF(AF$4=$E122, $I122*AF$57,0) + IF(AF$4&gt;$E122,MIN(AF122,$I122-SUM($J122:AF122)))</f>
        <v>6.0319105588009432</v>
      </c>
      <c r="AH122" s="2">
        <f>IF(AG$4=$E122, $I122*AG$57,0) + IF(AG$4&gt;$E122,MIN(AG122,$I122-SUM($J122:AG122)))</f>
        <v>6.0319105588009432</v>
      </c>
      <c r="AI122" s="2">
        <f>IF(AH$4=$E122, $I122*AH$57,0) + IF(AH$4&gt;$E122,MIN(AH122,$I122-SUM($J122:AH122)))</f>
        <v>6.0319105588009432</v>
      </c>
      <c r="AJ122" s="2">
        <f>IF(AI$4=$E122, $I122*AI$57,0) + IF(AI$4&gt;$E122,MIN(AI122,$I122-SUM($J122:AI122)))</f>
        <v>6.0319105588009432</v>
      </c>
      <c r="AK122" s="2">
        <f>IF(AJ$4=$E122, $I122*AJ$57,0) + IF(AJ$4&gt;$E122,MIN(AJ122,$I122-SUM($J122:AJ122)))</f>
        <v>6.0319105588009432</v>
      </c>
      <c r="AL122" s="2">
        <f>IF(AK$4=$E122, $I122*AK$57,0) + IF(AK$4&gt;$E122,MIN(AK122,$I122-SUM($J122:AK122)))</f>
        <v>6.0319105588009432</v>
      </c>
      <c r="AM122" s="2">
        <f>IF(AL$4=$E122, $I122*AL$57,0) + IF(AL$4&gt;$E122,MIN(AL122,$I122-SUM($J122:AL122)))</f>
        <v>6.0319105588009432</v>
      </c>
      <c r="AN122" s="2">
        <f>IF(AM$4=$E122, $I122*AM$57,0) + IF(AM$4&gt;$E122,MIN(AM122,$I122-SUM($J122:AM122)))</f>
        <v>6.0319105588009432</v>
      </c>
      <c r="AO122" s="2">
        <f>IF(AN$4=$E122, $I122*AN$57,0) + IF(AN$4&gt;$E122,MIN(AN122,$I122-SUM($J122:AN122)))</f>
        <v>6.0319105588009432</v>
      </c>
      <c r="AP122" s="2">
        <f>IF(AO$4=$E122, $I122*AO$57,0) + IF(AO$4&gt;$E122,MIN(AO122,$I122-SUM($J122:AO122)))</f>
        <v>6.0319105588009432</v>
      </c>
      <c r="AQ122" s="57">
        <f>IF(AP$4=$E122, $I122*AP$57,0) + IF(AP$4&gt;$E122,MIN(AP122,$I122-SUM($J122:AP122)))</f>
        <v>6.0319105588009165</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5" outlineLevel="1">
      <c r="E123" s="44">
        <f>INDEX($K$4:$AV$4,,COUNT(E$109:E122)+1)</f>
        <v>38077</v>
      </c>
      <c r="G123" s="2" t="s">
        <v>101</v>
      </c>
      <c r="I123" s="2">
        <f t="shared" si="64"/>
        <v>133.80371740421066</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6.6901858702105335</v>
      </c>
      <c r="Z123" s="2">
        <f>IF(Y$4=$E123, $I123*Y$57,0) + IF(Y$4&gt;$E123,MIN(Y123,$I123-SUM($J123:Y123)))</f>
        <v>6.6901858702105335</v>
      </c>
      <c r="AA123" s="2">
        <f>IF(Z$4=$E123, $I123*Z$57,0) + IF(Z$4&gt;$E123,MIN(Z123,$I123-SUM($J123:Z123)))</f>
        <v>6.6901858702105335</v>
      </c>
      <c r="AB123" s="2">
        <f>IF(AA$4=$E123, $I123*AA$57,0) + IF(AA$4&gt;$E123,MIN(AA123,$I123-SUM($J123:AA123)))</f>
        <v>6.6901858702105335</v>
      </c>
      <c r="AC123" s="2">
        <f>IF(AB$4=$E123, $I123*AB$57,0) + IF(AB$4&gt;$E123,MIN(AB123,$I123-SUM($J123:AB123)))</f>
        <v>6.6901858702105335</v>
      </c>
      <c r="AD123" s="2">
        <f>IF(AC$4=$E123, $I123*AC$57,0) + IF(AC$4&gt;$E123,MIN(AC123,$I123-SUM($J123:AC123)))</f>
        <v>6.6901858702105335</v>
      </c>
      <c r="AE123" s="2">
        <f>IF(AD$4=$E123, $I123*AD$57,0) + IF(AD$4&gt;$E123,MIN(AD123,$I123-SUM($J123:AD123)))</f>
        <v>6.6901858702105335</v>
      </c>
      <c r="AF123" s="2">
        <f>IF(AE$4=$E123, $I123*AE$57,0) + IF(AE$4&gt;$E123,MIN(AE123,$I123-SUM($J123:AE123)))</f>
        <v>6.6901858702105335</v>
      </c>
      <c r="AG123" s="2">
        <f>IF(AF$4=$E123, $I123*AF$57,0) + IF(AF$4&gt;$E123,MIN(AF123,$I123-SUM($J123:AF123)))</f>
        <v>6.6901858702105335</v>
      </c>
      <c r="AH123" s="2">
        <f>IF(AG$4=$E123, $I123*AG$57,0) + IF(AG$4&gt;$E123,MIN(AG123,$I123-SUM($J123:AG123)))</f>
        <v>6.6901858702105335</v>
      </c>
      <c r="AI123" s="2">
        <f>IF(AH$4=$E123, $I123*AH$57,0) + IF(AH$4&gt;$E123,MIN(AH123,$I123-SUM($J123:AH123)))</f>
        <v>6.6901858702105335</v>
      </c>
      <c r="AJ123" s="2">
        <f>IF(AI$4=$E123, $I123*AI$57,0) + IF(AI$4&gt;$E123,MIN(AI123,$I123-SUM($J123:AI123)))</f>
        <v>6.6901858702105335</v>
      </c>
      <c r="AK123" s="2">
        <f>IF(AJ$4=$E123, $I123*AJ$57,0) + IF(AJ$4&gt;$E123,MIN(AJ123,$I123-SUM($J123:AJ123)))</f>
        <v>6.6901858702105335</v>
      </c>
      <c r="AL123" s="2">
        <f>IF(AK$4=$E123, $I123*AK$57,0) + IF(AK$4&gt;$E123,MIN(AK123,$I123-SUM($J123:AK123)))</f>
        <v>6.6901858702105335</v>
      </c>
      <c r="AM123" s="2">
        <f>IF(AL$4=$E123, $I123*AL$57,0) + IF(AL$4&gt;$E123,MIN(AL123,$I123-SUM($J123:AL123)))</f>
        <v>6.6901858702105335</v>
      </c>
      <c r="AN123" s="2">
        <f>IF(AM$4=$E123, $I123*AM$57,0) + IF(AM$4&gt;$E123,MIN(AM123,$I123-SUM($J123:AM123)))</f>
        <v>6.6901858702105335</v>
      </c>
      <c r="AO123" s="2">
        <f>IF(AN$4=$E123, $I123*AN$57,0) + IF(AN$4&gt;$E123,MIN(AN123,$I123-SUM($J123:AN123)))</f>
        <v>6.6901858702105335</v>
      </c>
      <c r="AP123" s="2">
        <f>IF(AO$4=$E123, $I123*AO$57,0) + IF(AO$4&gt;$E123,MIN(AO123,$I123-SUM($J123:AO123)))</f>
        <v>6.6901858702105335</v>
      </c>
      <c r="AQ123" s="57">
        <f>IF(AP$4=$E123, $I123*AP$57,0) + IF(AP$4&gt;$E123,MIN(AP123,$I123-SUM($J123:AP123)))</f>
        <v>6.6901858702105335</v>
      </c>
      <c r="AR123" s="2">
        <f>IF(AQ$4=$E123, $I123*AQ$57,0) + IF(AQ$4&gt;$E123,MIN(AQ123,$I123-SUM($J123:AQ123)))</f>
        <v>6.6901858702105335</v>
      </c>
      <c r="AS123" s="2">
        <f>IF(AR$4=$E123, $I123*AR$57,0) + IF(AR$4&gt;$E123,MIN(AR123,$I123-SUM($J123:AR123)))</f>
        <v>5.6843418860808015E-14</v>
      </c>
      <c r="AT123" s="2">
        <f>IF(AS$4=$E123, $I123*AS$57,0) + IF(AS$4&gt;$E123,MIN(AS123,$I123-SUM($J123:AS123)))</f>
        <v>0</v>
      </c>
      <c r="AU123" s="2">
        <f>IF(AT$4=$E123, $I123*AT$57,0) + IF(AT$4&gt;$E123,MIN(AT123,$I123-SUM($J123:AT123)))</f>
        <v>0</v>
      </c>
      <c r="AV123" s="2">
        <f>IF(AU$4=$E123, $I123*AU$57,0) + IF(AU$4&gt;$E123,MIN(AU123,$I123-SUM($J123:AU123)))</f>
        <v>0</v>
      </c>
      <c r="AW123" s="2"/>
    </row>
    <row r="124" spans="5:49" ht="15" outlineLevel="1">
      <c r="E124" s="44">
        <f>INDEX($K$4:$AV$4,,COUNT(E$109:E123)+1)</f>
        <v>38442</v>
      </c>
      <c r="G124" s="2" t="s">
        <v>101</v>
      </c>
      <c r="I124" s="2">
        <f t="shared" si="64"/>
        <v>127.56180274321524</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6.3780901371607621</v>
      </c>
      <c r="AA124" s="2">
        <f>IF(Z$4=$E124, $I124*Z$57,0) + IF(Z$4&gt;$E124,MIN(Z124,$I124-SUM($J124:Z124)))</f>
        <v>6.3780901371607621</v>
      </c>
      <c r="AB124" s="2">
        <f>IF(AA$4=$E124, $I124*AA$57,0) + IF(AA$4&gt;$E124,MIN(AA124,$I124-SUM($J124:AA124)))</f>
        <v>6.3780901371607621</v>
      </c>
      <c r="AC124" s="2">
        <f>IF(AB$4=$E124, $I124*AB$57,0) + IF(AB$4&gt;$E124,MIN(AB124,$I124-SUM($J124:AB124)))</f>
        <v>6.3780901371607621</v>
      </c>
      <c r="AD124" s="2">
        <f>IF(AC$4=$E124, $I124*AC$57,0) + IF(AC$4&gt;$E124,MIN(AC124,$I124-SUM($J124:AC124)))</f>
        <v>6.3780901371607621</v>
      </c>
      <c r="AE124" s="2">
        <f>IF(AD$4=$E124, $I124*AD$57,0) + IF(AD$4&gt;$E124,MIN(AD124,$I124-SUM($J124:AD124)))</f>
        <v>6.3780901371607621</v>
      </c>
      <c r="AF124" s="2">
        <f>IF(AE$4=$E124, $I124*AE$57,0) + IF(AE$4&gt;$E124,MIN(AE124,$I124-SUM($J124:AE124)))</f>
        <v>6.3780901371607621</v>
      </c>
      <c r="AG124" s="2">
        <f>IF(AF$4=$E124, $I124*AF$57,0) + IF(AF$4&gt;$E124,MIN(AF124,$I124-SUM($J124:AF124)))</f>
        <v>6.3780901371607621</v>
      </c>
      <c r="AH124" s="2">
        <f>IF(AG$4=$E124, $I124*AG$57,0) + IF(AG$4&gt;$E124,MIN(AG124,$I124-SUM($J124:AG124)))</f>
        <v>6.3780901371607621</v>
      </c>
      <c r="AI124" s="2">
        <f>IF(AH$4=$E124, $I124*AH$57,0) + IF(AH$4&gt;$E124,MIN(AH124,$I124-SUM($J124:AH124)))</f>
        <v>6.3780901371607621</v>
      </c>
      <c r="AJ124" s="2">
        <f>IF(AI$4=$E124, $I124*AI$57,0) + IF(AI$4&gt;$E124,MIN(AI124,$I124-SUM($J124:AI124)))</f>
        <v>6.3780901371607621</v>
      </c>
      <c r="AK124" s="2">
        <f>IF(AJ$4=$E124, $I124*AJ$57,0) + IF(AJ$4&gt;$E124,MIN(AJ124,$I124-SUM($J124:AJ124)))</f>
        <v>6.3780901371607621</v>
      </c>
      <c r="AL124" s="2">
        <f>IF(AK$4=$E124, $I124*AK$57,0) + IF(AK$4&gt;$E124,MIN(AK124,$I124-SUM($J124:AK124)))</f>
        <v>6.3780901371607621</v>
      </c>
      <c r="AM124" s="2">
        <f>IF(AL$4=$E124, $I124*AL$57,0) + IF(AL$4&gt;$E124,MIN(AL124,$I124-SUM($J124:AL124)))</f>
        <v>6.3780901371607621</v>
      </c>
      <c r="AN124" s="2">
        <f>IF(AM$4=$E124, $I124*AM$57,0) + IF(AM$4&gt;$E124,MIN(AM124,$I124-SUM($J124:AM124)))</f>
        <v>6.3780901371607621</v>
      </c>
      <c r="AO124" s="2">
        <f>IF(AN$4=$E124, $I124*AN$57,0) + IF(AN$4&gt;$E124,MIN(AN124,$I124-SUM($J124:AN124)))</f>
        <v>6.3780901371607621</v>
      </c>
      <c r="AP124" s="2">
        <f>IF(AO$4=$E124, $I124*AO$57,0) + IF(AO$4&gt;$E124,MIN(AO124,$I124-SUM($J124:AO124)))</f>
        <v>6.3780901371607621</v>
      </c>
      <c r="AQ124" s="57">
        <f>IF(AP$4=$E124, $I124*AP$57,0) + IF(AP$4&gt;$E124,MIN(AP124,$I124-SUM($J124:AP124)))</f>
        <v>6.3780901371607621</v>
      </c>
      <c r="AR124" s="2">
        <f>IF(AQ$4=$E124, $I124*AQ$57,0) + IF(AQ$4&gt;$E124,MIN(AQ124,$I124-SUM($J124:AQ124)))</f>
        <v>6.3780901371607621</v>
      </c>
      <c r="AS124" s="2">
        <f>IF(AR$4=$E124, $I124*AR$57,0) + IF(AR$4&gt;$E124,MIN(AR124,$I124-SUM($J124:AR124)))</f>
        <v>6.3780901371607115</v>
      </c>
      <c r="AT124" s="2">
        <f>IF(AS$4=$E124, $I124*AS$57,0) + IF(AS$4&gt;$E124,MIN(AS124,$I124-SUM($J124:AS124)))</f>
        <v>0</v>
      </c>
      <c r="AU124" s="2">
        <f>IF(AT$4=$E124, $I124*AT$57,0) + IF(AT$4&gt;$E124,MIN(AT124,$I124-SUM($J124:AT124)))</f>
        <v>0</v>
      </c>
      <c r="AV124" s="2">
        <f>IF(AU$4=$E124, $I124*AU$57,0) + IF(AU$4&gt;$E124,MIN(AU124,$I124-SUM($J124:AU124)))</f>
        <v>0</v>
      </c>
      <c r="AW124" s="2"/>
    </row>
    <row r="125" spans="5:49" ht="15" outlineLevel="1">
      <c r="E125" s="44">
        <f>INDEX($K$4:$AV$4,,COUNT(E$109:E124)+1)</f>
        <v>38807</v>
      </c>
      <c r="G125" s="2" t="s">
        <v>101</v>
      </c>
      <c r="I125" s="2">
        <f t="shared" si="64"/>
        <v>163.60508585078944</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8.1802542925394715</v>
      </c>
      <c r="AB125" s="2">
        <f>IF(AA$4=$E125, $I125*AA$57,0) + IF(AA$4&gt;$E125,MIN(AA125,$I125-SUM($J125:AA125)))</f>
        <v>8.1802542925394715</v>
      </c>
      <c r="AC125" s="2">
        <f>IF(AB$4=$E125, $I125*AB$57,0) + IF(AB$4&gt;$E125,MIN(AB125,$I125-SUM($J125:AB125)))</f>
        <v>8.1802542925394715</v>
      </c>
      <c r="AD125" s="2">
        <f>IF(AC$4=$E125, $I125*AC$57,0) + IF(AC$4&gt;$E125,MIN(AC125,$I125-SUM($J125:AC125)))</f>
        <v>8.1802542925394715</v>
      </c>
      <c r="AE125" s="2">
        <f>IF(AD$4=$E125, $I125*AD$57,0) + IF(AD$4&gt;$E125,MIN(AD125,$I125-SUM($J125:AD125)))</f>
        <v>8.1802542925394715</v>
      </c>
      <c r="AF125" s="2">
        <f>IF(AE$4=$E125, $I125*AE$57,0) + IF(AE$4&gt;$E125,MIN(AE125,$I125-SUM($J125:AE125)))</f>
        <v>8.1802542925394715</v>
      </c>
      <c r="AG125" s="2">
        <f>IF(AF$4=$E125, $I125*AF$57,0) + IF(AF$4&gt;$E125,MIN(AF125,$I125-SUM($J125:AF125)))</f>
        <v>8.1802542925394715</v>
      </c>
      <c r="AH125" s="2">
        <f>IF(AG$4=$E125, $I125*AG$57,0) + IF(AG$4&gt;$E125,MIN(AG125,$I125-SUM($J125:AG125)))</f>
        <v>8.1802542925394715</v>
      </c>
      <c r="AI125" s="2">
        <f>IF(AH$4=$E125, $I125*AH$57,0) + IF(AH$4&gt;$E125,MIN(AH125,$I125-SUM($J125:AH125)))</f>
        <v>8.1802542925394715</v>
      </c>
      <c r="AJ125" s="2">
        <f>IF(AI$4=$E125, $I125*AI$57,0) + IF(AI$4&gt;$E125,MIN(AI125,$I125-SUM($J125:AI125)))</f>
        <v>8.1802542925394715</v>
      </c>
      <c r="AK125" s="2">
        <f>IF(AJ$4=$E125, $I125*AJ$57,0) + IF(AJ$4&gt;$E125,MIN(AJ125,$I125-SUM($J125:AJ125)))</f>
        <v>8.1802542925394715</v>
      </c>
      <c r="AL125" s="2">
        <f>IF(AK$4=$E125, $I125*AK$57,0) + IF(AK$4&gt;$E125,MIN(AK125,$I125-SUM($J125:AK125)))</f>
        <v>8.1802542925394715</v>
      </c>
      <c r="AM125" s="2">
        <f>IF(AL$4=$E125, $I125*AL$57,0) + IF(AL$4&gt;$E125,MIN(AL125,$I125-SUM($J125:AL125)))</f>
        <v>8.1802542925394715</v>
      </c>
      <c r="AN125" s="2">
        <f>IF(AM$4=$E125, $I125*AM$57,0) + IF(AM$4&gt;$E125,MIN(AM125,$I125-SUM($J125:AM125)))</f>
        <v>8.1802542925394715</v>
      </c>
      <c r="AO125" s="2">
        <f>IF(AN$4=$E125, $I125*AN$57,0) + IF(AN$4&gt;$E125,MIN(AN125,$I125-SUM($J125:AN125)))</f>
        <v>8.1802542925394715</v>
      </c>
      <c r="AP125" s="2">
        <f>IF(AO$4=$E125, $I125*AO$57,0) + IF(AO$4&gt;$E125,MIN(AO125,$I125-SUM($J125:AO125)))</f>
        <v>8.1802542925394715</v>
      </c>
      <c r="AQ125" s="57">
        <f>IF(AP$4=$E125, $I125*AP$57,0) + IF(AP$4&gt;$E125,MIN(AP125,$I125-SUM($J125:AP125)))</f>
        <v>8.1802542925394715</v>
      </c>
      <c r="AR125" s="2">
        <f>IF(AQ$4=$E125, $I125*AQ$57,0) + IF(AQ$4&gt;$E125,MIN(AQ125,$I125-SUM($J125:AQ125)))</f>
        <v>8.1802542925394715</v>
      </c>
      <c r="AS125" s="2">
        <f>IF(AR$4=$E125, $I125*AR$57,0) + IF(AR$4&gt;$E125,MIN(AR125,$I125-SUM($J125:AR125)))</f>
        <v>8.1802542925394715</v>
      </c>
      <c r="AT125" s="2">
        <f>IF(AS$4=$E125, $I125*AS$57,0) + IF(AS$4&gt;$E125,MIN(AS125,$I125-SUM($J125:AS125)))</f>
        <v>8.1802542925394715</v>
      </c>
      <c r="AU125" s="2">
        <f>IF(AT$4=$E125, $I125*AT$57,0) + IF(AT$4&gt;$E125,MIN(AT125,$I125-SUM($J125:AT125)))</f>
        <v>0</v>
      </c>
      <c r="AV125" s="2">
        <f>IF(AU$4=$E125, $I125*AU$57,0) + IF(AU$4&gt;$E125,MIN(AU125,$I125-SUM($J125:AU125)))</f>
        <v>0</v>
      </c>
      <c r="AW125" s="2"/>
    </row>
    <row r="126" spans="5:49" ht="15" outlineLevel="1">
      <c r="E126" s="44">
        <f>INDEX($K$4:$AV$4,,COUNT(E$109:E125)+1)</f>
        <v>39172</v>
      </c>
      <c r="G126" s="2" t="s">
        <v>101</v>
      </c>
      <c r="I126" s="2">
        <f t="shared" si="64"/>
        <v>171.96228106127285</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8.5981140530636431</v>
      </c>
      <c r="AC126" s="2">
        <f>IF(AB$4=$E126, $I126*AB$57,0) + IF(AB$4&gt;$E126,MIN(AB126,$I126-SUM($J126:AB126)))</f>
        <v>8.5981140530636431</v>
      </c>
      <c r="AD126" s="2">
        <f>IF(AC$4=$E126, $I126*AC$57,0) + IF(AC$4&gt;$E126,MIN(AC126,$I126-SUM($J126:AC126)))</f>
        <v>8.5981140530636431</v>
      </c>
      <c r="AE126" s="2">
        <f>IF(AD$4=$E126, $I126*AD$57,0) + IF(AD$4&gt;$E126,MIN(AD126,$I126-SUM($J126:AD126)))</f>
        <v>8.5981140530636431</v>
      </c>
      <c r="AF126" s="2">
        <f>IF(AE$4=$E126, $I126*AE$57,0) + IF(AE$4&gt;$E126,MIN(AE126,$I126-SUM($J126:AE126)))</f>
        <v>8.5981140530636431</v>
      </c>
      <c r="AG126" s="2">
        <f>IF(AF$4=$E126, $I126*AF$57,0) + IF(AF$4&gt;$E126,MIN(AF126,$I126-SUM($J126:AF126)))</f>
        <v>8.5981140530636431</v>
      </c>
      <c r="AH126" s="2">
        <f>IF(AG$4=$E126, $I126*AG$57,0) + IF(AG$4&gt;$E126,MIN(AG126,$I126-SUM($J126:AG126)))</f>
        <v>8.5981140530636431</v>
      </c>
      <c r="AI126" s="2">
        <f>IF(AH$4=$E126, $I126*AH$57,0) + IF(AH$4&gt;$E126,MIN(AH126,$I126-SUM($J126:AH126)))</f>
        <v>8.5981140530636431</v>
      </c>
      <c r="AJ126" s="2">
        <f>IF(AI$4=$E126, $I126*AI$57,0) + IF(AI$4&gt;$E126,MIN(AI126,$I126-SUM($J126:AI126)))</f>
        <v>8.5981140530636431</v>
      </c>
      <c r="AK126" s="2">
        <f>IF(AJ$4=$E126, $I126*AJ$57,0) + IF(AJ$4&gt;$E126,MIN(AJ126,$I126-SUM($J126:AJ126)))</f>
        <v>8.5981140530636431</v>
      </c>
      <c r="AL126" s="2">
        <f>IF(AK$4=$E126, $I126*AK$57,0) + IF(AK$4&gt;$E126,MIN(AK126,$I126-SUM($J126:AK126)))</f>
        <v>8.5981140530636431</v>
      </c>
      <c r="AM126" s="2">
        <f>IF(AL$4=$E126, $I126*AL$57,0) + IF(AL$4&gt;$E126,MIN(AL126,$I126-SUM($J126:AL126)))</f>
        <v>8.5981140530636431</v>
      </c>
      <c r="AN126" s="2">
        <f>IF(AM$4=$E126, $I126*AM$57,0) + IF(AM$4&gt;$E126,MIN(AM126,$I126-SUM($J126:AM126)))</f>
        <v>8.5981140530636431</v>
      </c>
      <c r="AO126" s="2">
        <f>IF(AN$4=$E126, $I126*AN$57,0) + IF(AN$4&gt;$E126,MIN(AN126,$I126-SUM($J126:AN126)))</f>
        <v>8.5981140530636431</v>
      </c>
      <c r="AP126" s="2">
        <f>IF(AO$4=$E126, $I126*AO$57,0) + IF(AO$4&gt;$E126,MIN(AO126,$I126-SUM($J126:AO126)))</f>
        <v>8.5981140530636431</v>
      </c>
      <c r="AQ126" s="57">
        <f>IF(AP$4=$E126, $I126*AP$57,0) + IF(AP$4&gt;$E126,MIN(AP126,$I126-SUM($J126:AP126)))</f>
        <v>8.5981140530636431</v>
      </c>
      <c r="AR126" s="2">
        <f>IF(AQ$4=$E126, $I126*AQ$57,0) + IF(AQ$4&gt;$E126,MIN(AQ126,$I126-SUM($J126:AQ126)))</f>
        <v>8.5981140530636431</v>
      </c>
      <c r="AS126" s="2">
        <f>IF(AR$4=$E126, $I126*AR$57,0) + IF(AR$4&gt;$E126,MIN(AR126,$I126-SUM($J126:AR126)))</f>
        <v>8.5981140530636431</v>
      </c>
      <c r="AT126" s="2">
        <f>IF(AS$4=$E126, $I126*AS$57,0) + IF(AS$4&gt;$E126,MIN(AS126,$I126-SUM($J126:AS126)))</f>
        <v>8.5981140530636431</v>
      </c>
      <c r="AU126" s="2">
        <f>IF(AT$4=$E126, $I126*AT$57,0) + IF(AT$4&gt;$E126,MIN(AT126,$I126-SUM($J126:AT126)))</f>
        <v>8.5981140530636253</v>
      </c>
      <c r="AV126" s="2">
        <f>IF(AU$4=$E126, $I126*AU$57,0) + IF(AU$4&gt;$E126,MIN(AU126,$I126-SUM($J126:AU126)))</f>
        <v>0</v>
      </c>
      <c r="AW126" s="2"/>
    </row>
    <row r="127" spans="5:49" ht="15" outlineLevel="1">
      <c r="E127" s="44">
        <f>INDEX($K$4:$AV$4,,COUNT(E$109:E126)+1)</f>
        <v>39538</v>
      </c>
      <c r="G127" s="2" t="s">
        <v>101</v>
      </c>
      <c r="I127" s="2">
        <f t="shared" si="64"/>
        <v>216.89661349580709</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10.844830674790355</v>
      </c>
      <c r="AD127" s="2">
        <f>IF(AC$4=$E127, $I127*AC$57,0) + IF(AC$4&gt;$E127,MIN(AC127,$I127-SUM($J127:AC127)))</f>
        <v>10.844830674790355</v>
      </c>
      <c r="AE127" s="2">
        <f>IF(AD$4=$E127, $I127*AD$57,0) + IF(AD$4&gt;$E127,MIN(AD127,$I127-SUM($J127:AD127)))</f>
        <v>10.844830674790355</v>
      </c>
      <c r="AF127" s="2">
        <f>IF(AE$4=$E127, $I127*AE$57,0) + IF(AE$4&gt;$E127,MIN(AE127,$I127-SUM($J127:AE127)))</f>
        <v>10.844830674790355</v>
      </c>
      <c r="AG127" s="2">
        <f>IF(AF$4=$E127, $I127*AF$57,0) + IF(AF$4&gt;$E127,MIN(AF127,$I127-SUM($J127:AF127)))</f>
        <v>10.844830674790355</v>
      </c>
      <c r="AH127" s="2">
        <f>IF(AG$4=$E127, $I127*AG$57,0) + IF(AG$4&gt;$E127,MIN(AG127,$I127-SUM($J127:AG127)))</f>
        <v>10.844830674790355</v>
      </c>
      <c r="AI127" s="2">
        <f>IF(AH$4=$E127, $I127*AH$57,0) + IF(AH$4&gt;$E127,MIN(AH127,$I127-SUM($J127:AH127)))</f>
        <v>10.844830674790355</v>
      </c>
      <c r="AJ127" s="2">
        <f>IF(AI$4=$E127, $I127*AI$57,0) + IF(AI$4&gt;$E127,MIN(AI127,$I127-SUM($J127:AI127)))</f>
        <v>10.844830674790355</v>
      </c>
      <c r="AK127" s="2">
        <f>IF(AJ$4=$E127, $I127*AJ$57,0) + IF(AJ$4&gt;$E127,MIN(AJ127,$I127-SUM($J127:AJ127)))</f>
        <v>10.844830674790355</v>
      </c>
      <c r="AL127" s="2">
        <f>IF(AK$4=$E127, $I127*AK$57,0) + IF(AK$4&gt;$E127,MIN(AK127,$I127-SUM($J127:AK127)))</f>
        <v>10.844830674790355</v>
      </c>
      <c r="AM127" s="2">
        <f>IF(AL$4=$E127, $I127*AL$57,0) + IF(AL$4&gt;$E127,MIN(AL127,$I127-SUM($J127:AL127)))</f>
        <v>10.844830674790355</v>
      </c>
      <c r="AN127" s="2">
        <f>IF(AM$4=$E127, $I127*AM$57,0) + IF(AM$4&gt;$E127,MIN(AM127,$I127-SUM($J127:AM127)))</f>
        <v>10.844830674790355</v>
      </c>
      <c r="AO127" s="2">
        <f>IF(AN$4=$E127, $I127*AN$57,0) + IF(AN$4&gt;$E127,MIN(AN127,$I127-SUM($J127:AN127)))</f>
        <v>10.844830674790355</v>
      </c>
      <c r="AP127" s="2">
        <f>IF(AO$4=$E127, $I127*AO$57,0) + IF(AO$4&gt;$E127,MIN(AO127,$I127-SUM($J127:AO127)))</f>
        <v>10.844830674790355</v>
      </c>
      <c r="AQ127" s="57">
        <f>IF(AP$4=$E127, $I127*AP$57,0) + IF(AP$4&gt;$E127,MIN(AP127,$I127-SUM($J127:AP127)))</f>
        <v>10.844830674790355</v>
      </c>
      <c r="AR127" s="2">
        <f>IF(AQ$4=$E127, $I127*AQ$57,0) + IF(AQ$4&gt;$E127,MIN(AQ127,$I127-SUM($J127:AQ127)))</f>
        <v>10.844830674790355</v>
      </c>
      <c r="AS127" s="2">
        <f>IF(AR$4=$E127, $I127*AR$57,0) + IF(AR$4&gt;$E127,MIN(AR127,$I127-SUM($J127:AR127)))</f>
        <v>10.844830674790355</v>
      </c>
      <c r="AT127" s="2">
        <f>IF(AS$4=$E127, $I127*AS$57,0) + IF(AS$4&gt;$E127,MIN(AS127,$I127-SUM($J127:AS127)))</f>
        <v>10.844830674790355</v>
      </c>
      <c r="AU127" s="2">
        <f>IF(AT$4=$E127, $I127*AT$57,0) + IF(AT$4&gt;$E127,MIN(AT127,$I127-SUM($J127:AT127)))</f>
        <v>10.844830674790355</v>
      </c>
      <c r="AV127" s="2">
        <f>IF(AU$4=$E127, $I127*AU$57,0) + IF(AU$4&gt;$E127,MIN(AU127,$I127-SUM($J127:AU127)))</f>
        <v>10.844830674790302</v>
      </c>
      <c r="AW127" s="2"/>
    </row>
    <row r="128" spans="5:49" ht="15" outlineLevel="1">
      <c r="E128" s="44">
        <f>INDEX($K$4:$AV$4,,COUNT(E$109:E127)+1)</f>
        <v>39903</v>
      </c>
      <c r="G128" s="2" t="s">
        <v>101</v>
      </c>
      <c r="I128" s="2">
        <f t="shared" si="64"/>
        <v>241.45999844804848</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12.072999922402424</v>
      </c>
      <c r="AE128" s="2">
        <f>IF(AD$4=$E128, $I128*AD$57,0) + IF(AD$4&gt;$E128,MIN(AD128,$I128-SUM($J128:AD128)))</f>
        <v>12.072999922402424</v>
      </c>
      <c r="AF128" s="2">
        <f>IF(AE$4=$E128, $I128*AE$57,0) + IF(AE$4&gt;$E128,MIN(AE128,$I128-SUM($J128:AE128)))</f>
        <v>12.072999922402424</v>
      </c>
      <c r="AG128" s="2">
        <f>IF(AF$4=$E128, $I128*AF$57,0) + IF(AF$4&gt;$E128,MIN(AF128,$I128-SUM($J128:AF128)))</f>
        <v>12.072999922402424</v>
      </c>
      <c r="AH128" s="2">
        <f>IF(AG$4=$E128, $I128*AG$57,0) + IF(AG$4&gt;$E128,MIN(AG128,$I128-SUM($J128:AG128)))</f>
        <v>12.072999922402424</v>
      </c>
      <c r="AI128" s="2">
        <f>IF(AH$4=$E128, $I128*AH$57,0) + IF(AH$4&gt;$E128,MIN(AH128,$I128-SUM($J128:AH128)))</f>
        <v>12.072999922402424</v>
      </c>
      <c r="AJ128" s="2">
        <f>IF(AI$4=$E128, $I128*AI$57,0) + IF(AI$4&gt;$E128,MIN(AI128,$I128-SUM($J128:AI128)))</f>
        <v>12.072999922402424</v>
      </c>
      <c r="AK128" s="2">
        <f>IF(AJ$4=$E128, $I128*AJ$57,0) + IF(AJ$4&gt;$E128,MIN(AJ128,$I128-SUM($J128:AJ128)))</f>
        <v>12.072999922402424</v>
      </c>
      <c r="AL128" s="2">
        <f>IF(AK$4=$E128, $I128*AK$57,0) + IF(AK$4&gt;$E128,MIN(AK128,$I128-SUM($J128:AK128)))</f>
        <v>12.072999922402424</v>
      </c>
      <c r="AM128" s="2">
        <f>IF(AL$4=$E128, $I128*AL$57,0) + IF(AL$4&gt;$E128,MIN(AL128,$I128-SUM($J128:AL128)))</f>
        <v>12.072999922402424</v>
      </c>
      <c r="AN128" s="2">
        <f>IF(AM$4=$E128, $I128*AM$57,0) + IF(AM$4&gt;$E128,MIN(AM128,$I128-SUM($J128:AM128)))</f>
        <v>12.072999922402424</v>
      </c>
      <c r="AO128" s="2">
        <f>IF(AN$4=$E128, $I128*AN$57,0) + IF(AN$4&gt;$E128,MIN(AN128,$I128-SUM($J128:AN128)))</f>
        <v>12.072999922402424</v>
      </c>
      <c r="AP128" s="2">
        <f>IF(AO$4=$E128, $I128*AO$57,0) + IF(AO$4&gt;$E128,MIN(AO128,$I128-SUM($J128:AO128)))</f>
        <v>12.072999922402424</v>
      </c>
      <c r="AQ128" s="57">
        <f>IF(AP$4=$E128, $I128*AP$57,0) + IF(AP$4&gt;$E128,MIN(AP128,$I128-SUM($J128:AP128)))</f>
        <v>12.072999922402424</v>
      </c>
      <c r="AR128" s="2">
        <f>IF(AQ$4=$E128, $I128*AQ$57,0) + IF(AQ$4&gt;$E128,MIN(AQ128,$I128-SUM($J128:AQ128)))</f>
        <v>12.072999922402424</v>
      </c>
      <c r="AS128" s="2">
        <f>IF(AR$4=$E128, $I128*AR$57,0) + IF(AR$4&gt;$E128,MIN(AR128,$I128-SUM($J128:AR128)))</f>
        <v>12.072999922402424</v>
      </c>
      <c r="AT128" s="2">
        <f>IF(AS$4=$E128, $I128*AS$57,0) + IF(AS$4&gt;$E128,MIN(AS128,$I128-SUM($J128:AS128)))</f>
        <v>12.072999922402424</v>
      </c>
      <c r="AU128" s="2">
        <f>IF(AT$4=$E128, $I128*AT$57,0) + IF(AT$4&gt;$E128,MIN(AT128,$I128-SUM($J128:AT128)))</f>
        <v>12.072999922402424</v>
      </c>
      <c r="AV128" s="2">
        <f>IF(AU$4=$E128, $I128*AU$57,0) + IF(AU$4&gt;$E128,MIN(AU128,$I128-SUM($J128:AU128)))</f>
        <v>12.072999922402424</v>
      </c>
      <c r="AW128" s="2"/>
    </row>
    <row r="129" spans="5:49" ht="15" outlineLevel="1">
      <c r="E129" s="44">
        <f>INDEX($K$4:$AV$4,,COUNT(E$109:E128)+1)</f>
        <v>40268</v>
      </c>
      <c r="G129" s="2" t="s">
        <v>101</v>
      </c>
      <c r="I129" s="2">
        <f t="shared" si="64"/>
        <v>197.02058631036226</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9.8510293155181134</v>
      </c>
      <c r="AF129" s="2">
        <f>IF(AE$4=$E129, $I129*AE$57,0) + IF(AE$4&gt;$E129,MIN(AE129,$I129-SUM($J129:AE129)))</f>
        <v>9.8510293155181134</v>
      </c>
      <c r="AG129" s="2">
        <f>IF(AF$4=$E129, $I129*AF$57,0) + IF(AF$4&gt;$E129,MIN(AF129,$I129-SUM($J129:AF129)))</f>
        <v>9.8510293155181134</v>
      </c>
      <c r="AH129" s="2">
        <f>IF(AG$4=$E129, $I129*AG$57,0) + IF(AG$4&gt;$E129,MIN(AG129,$I129-SUM($J129:AG129)))</f>
        <v>9.8510293155181134</v>
      </c>
      <c r="AI129" s="2">
        <f>IF(AH$4=$E129, $I129*AH$57,0) + IF(AH$4&gt;$E129,MIN(AH129,$I129-SUM($J129:AH129)))</f>
        <v>9.8510293155181134</v>
      </c>
      <c r="AJ129" s="2">
        <f>IF(AI$4=$E129, $I129*AI$57,0) + IF(AI$4&gt;$E129,MIN(AI129,$I129-SUM($J129:AI129)))</f>
        <v>9.8510293155181134</v>
      </c>
      <c r="AK129" s="2">
        <f>IF(AJ$4=$E129, $I129*AJ$57,0) + IF(AJ$4&gt;$E129,MIN(AJ129,$I129-SUM($J129:AJ129)))</f>
        <v>9.8510293155181134</v>
      </c>
      <c r="AL129" s="2">
        <f>IF(AK$4=$E129, $I129*AK$57,0) + IF(AK$4&gt;$E129,MIN(AK129,$I129-SUM($J129:AK129)))</f>
        <v>9.8510293155181134</v>
      </c>
      <c r="AM129" s="2">
        <f>IF(AL$4=$E129, $I129*AL$57,0) + IF(AL$4&gt;$E129,MIN(AL129,$I129-SUM($J129:AL129)))</f>
        <v>9.8510293155181134</v>
      </c>
      <c r="AN129" s="2">
        <f>IF(AM$4=$E129, $I129*AM$57,0) + IF(AM$4&gt;$E129,MIN(AM129,$I129-SUM($J129:AM129)))</f>
        <v>9.8510293155181134</v>
      </c>
      <c r="AO129" s="2">
        <f>IF(AN$4=$E129, $I129*AN$57,0) + IF(AN$4&gt;$E129,MIN(AN129,$I129-SUM($J129:AN129)))</f>
        <v>9.8510293155181134</v>
      </c>
      <c r="AP129" s="2">
        <f>IF(AO$4=$E129, $I129*AO$57,0) + IF(AO$4&gt;$E129,MIN(AO129,$I129-SUM($J129:AO129)))</f>
        <v>9.8510293155181134</v>
      </c>
      <c r="AQ129" s="57">
        <f>IF(AP$4=$E129, $I129*AP$57,0) + IF(AP$4&gt;$E129,MIN(AP129,$I129-SUM($J129:AP129)))</f>
        <v>9.8510293155181134</v>
      </c>
      <c r="AR129" s="2">
        <f>IF(AQ$4=$E129, $I129*AQ$57,0) + IF(AQ$4&gt;$E129,MIN(AQ129,$I129-SUM($J129:AQ129)))</f>
        <v>9.8510293155181134</v>
      </c>
      <c r="AS129" s="2">
        <f>IF(AR$4=$E129, $I129*AR$57,0) + IF(AR$4&gt;$E129,MIN(AR129,$I129-SUM($J129:AR129)))</f>
        <v>9.8510293155181134</v>
      </c>
      <c r="AT129" s="2">
        <f>IF(AS$4=$E129, $I129*AS$57,0) + IF(AS$4&gt;$E129,MIN(AS129,$I129-SUM($J129:AS129)))</f>
        <v>9.8510293155181134</v>
      </c>
      <c r="AU129" s="2">
        <f>IF(AT$4=$E129, $I129*AT$57,0) + IF(AT$4&gt;$E129,MIN(AT129,$I129-SUM($J129:AT129)))</f>
        <v>9.8510293155181134</v>
      </c>
      <c r="AV129" s="2">
        <f>IF(AU$4=$E129, $I129*AU$57,0) + IF(AU$4&gt;$E129,MIN(AU129,$I129-SUM($J129:AU129)))</f>
        <v>9.8510293155181134</v>
      </c>
      <c r="AW129" s="2"/>
    </row>
    <row r="130" spans="5:49" ht="15" outlineLevel="1">
      <c r="E130" s="44">
        <f>INDEX($K$4:$AV$4,,COUNT(E$109:E129)+1)</f>
        <v>40633</v>
      </c>
      <c r="G130" s="2" t="s">
        <v>101</v>
      </c>
      <c r="I130" s="2">
        <f t="shared" si="64"/>
        <v>203.50475801997527</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10.175237900998765</v>
      </c>
      <c r="AG130" s="2">
        <f>IF(AF$4=$E130, $I130*AF$57,0) + IF(AF$4&gt;$E130,MIN(AF130,$I130-SUM($J130:AF130)))</f>
        <v>10.175237900998765</v>
      </c>
      <c r="AH130" s="2">
        <f>IF(AG$4=$E130, $I130*AG$57,0) + IF(AG$4&gt;$E130,MIN(AG130,$I130-SUM($J130:AG130)))</f>
        <v>10.175237900998765</v>
      </c>
      <c r="AI130" s="2">
        <f>IF(AH$4=$E130, $I130*AH$57,0) + IF(AH$4&gt;$E130,MIN(AH130,$I130-SUM($J130:AH130)))</f>
        <v>10.175237900998765</v>
      </c>
      <c r="AJ130" s="2">
        <f>IF(AI$4=$E130, $I130*AI$57,0) + IF(AI$4&gt;$E130,MIN(AI130,$I130-SUM($J130:AI130)))</f>
        <v>10.175237900998765</v>
      </c>
      <c r="AK130" s="2">
        <f>IF(AJ$4=$E130, $I130*AJ$57,0) + IF(AJ$4&gt;$E130,MIN(AJ130,$I130-SUM($J130:AJ130)))</f>
        <v>10.175237900998765</v>
      </c>
      <c r="AL130" s="2">
        <f>IF(AK$4=$E130, $I130*AK$57,0) + IF(AK$4&gt;$E130,MIN(AK130,$I130-SUM($J130:AK130)))</f>
        <v>10.175237900998765</v>
      </c>
      <c r="AM130" s="2">
        <f>IF(AL$4=$E130, $I130*AL$57,0) + IF(AL$4&gt;$E130,MIN(AL130,$I130-SUM($J130:AL130)))</f>
        <v>10.175237900998765</v>
      </c>
      <c r="AN130" s="2">
        <f>IF(AM$4=$E130, $I130*AM$57,0) + IF(AM$4&gt;$E130,MIN(AM130,$I130-SUM($J130:AM130)))</f>
        <v>10.175237900998765</v>
      </c>
      <c r="AO130" s="2">
        <f>IF(AN$4=$E130, $I130*AN$57,0) + IF(AN$4&gt;$E130,MIN(AN130,$I130-SUM($J130:AN130)))</f>
        <v>10.175237900998765</v>
      </c>
      <c r="AP130" s="2">
        <f>IF(AO$4=$E130, $I130*AO$57,0) + IF(AO$4&gt;$E130,MIN(AO130,$I130-SUM($J130:AO130)))</f>
        <v>10.175237900998765</v>
      </c>
      <c r="AQ130" s="57">
        <f>IF(AP$4=$E130, $I130*AP$57,0) + IF(AP$4&gt;$E130,MIN(AP130,$I130-SUM($J130:AP130)))</f>
        <v>10.175237900998765</v>
      </c>
      <c r="AR130" s="2">
        <f>IF(AQ$4=$E130, $I130*AQ$57,0) + IF(AQ$4&gt;$E130,MIN(AQ130,$I130-SUM($J130:AQ130)))</f>
        <v>10.175237900998765</v>
      </c>
      <c r="AS130" s="2">
        <f>IF(AR$4=$E130, $I130*AR$57,0) + IF(AR$4&gt;$E130,MIN(AR130,$I130-SUM($J130:AR130)))</f>
        <v>10.175237900998765</v>
      </c>
      <c r="AT130" s="2">
        <f>IF(AS$4=$E130, $I130*AS$57,0) + IF(AS$4&gt;$E130,MIN(AS130,$I130-SUM($J130:AS130)))</f>
        <v>10.175237900998765</v>
      </c>
      <c r="AU130" s="2">
        <f>IF(AT$4=$E130, $I130*AT$57,0) + IF(AT$4&gt;$E130,MIN(AT130,$I130-SUM($J130:AT130)))</f>
        <v>10.175237900998765</v>
      </c>
      <c r="AV130" s="2">
        <f>IF(AU$4=$E130, $I130*AU$57,0) + IF(AU$4&gt;$E130,MIN(AU130,$I130-SUM($J130:AU130)))</f>
        <v>10.175237900998765</v>
      </c>
      <c r="AW130" s="2"/>
    </row>
    <row r="131" spans="5:49" ht="15" outlineLevel="1">
      <c r="E131" s="44">
        <f>INDEX($K$4:$AV$4,,COUNT(E$109:E130)+1)</f>
        <v>40999</v>
      </c>
      <c r="G131" s="2" t="s">
        <v>101</v>
      </c>
      <c r="I131" s="2">
        <f t="shared" si="64"/>
        <v>219.29651147851237</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10.964825573925619</v>
      </c>
      <c r="AH131" s="2">
        <f>IF(AG$4=$E131, $I131*AG$57,0) + IF(AG$4&gt;$E131,MIN(AG131,$I131-SUM($J131:AG131)))</f>
        <v>10.964825573925619</v>
      </c>
      <c r="AI131" s="2">
        <f>IF(AH$4=$E131, $I131*AH$57,0) + IF(AH$4&gt;$E131,MIN(AH131,$I131-SUM($J131:AH131)))</f>
        <v>10.964825573925619</v>
      </c>
      <c r="AJ131" s="2">
        <f>IF(AI$4=$E131, $I131*AI$57,0) + IF(AI$4&gt;$E131,MIN(AI131,$I131-SUM($J131:AI131)))</f>
        <v>10.964825573925619</v>
      </c>
      <c r="AK131" s="2">
        <f>IF(AJ$4=$E131, $I131*AJ$57,0) + IF(AJ$4&gt;$E131,MIN(AJ131,$I131-SUM($J131:AJ131)))</f>
        <v>10.964825573925619</v>
      </c>
      <c r="AL131" s="2">
        <f>IF(AK$4=$E131, $I131*AK$57,0) + IF(AK$4&gt;$E131,MIN(AK131,$I131-SUM($J131:AK131)))</f>
        <v>10.964825573925619</v>
      </c>
      <c r="AM131" s="2">
        <f>IF(AL$4=$E131, $I131*AL$57,0) + IF(AL$4&gt;$E131,MIN(AL131,$I131-SUM($J131:AL131)))</f>
        <v>10.964825573925619</v>
      </c>
      <c r="AN131" s="2">
        <f>IF(AM$4=$E131, $I131*AM$57,0) + IF(AM$4&gt;$E131,MIN(AM131,$I131-SUM($J131:AM131)))</f>
        <v>10.964825573925619</v>
      </c>
      <c r="AO131" s="2">
        <f>IF(AN$4=$E131, $I131*AN$57,0) + IF(AN$4&gt;$E131,MIN(AN131,$I131-SUM($J131:AN131)))</f>
        <v>10.964825573925619</v>
      </c>
      <c r="AP131" s="2">
        <f>IF(AO$4=$E131, $I131*AO$57,0) + IF(AO$4&gt;$E131,MIN(AO131,$I131-SUM($J131:AO131)))</f>
        <v>10.964825573925619</v>
      </c>
      <c r="AQ131" s="57">
        <f>IF(AP$4=$E131, $I131*AP$57,0) + IF(AP$4&gt;$E131,MIN(AP131,$I131-SUM($J131:AP131)))</f>
        <v>10.964825573925619</v>
      </c>
      <c r="AR131" s="2">
        <f>IF(AQ$4=$E131, $I131*AQ$57,0) + IF(AQ$4&gt;$E131,MIN(AQ131,$I131-SUM($J131:AQ131)))</f>
        <v>10.964825573925619</v>
      </c>
      <c r="AS131" s="2">
        <f>IF(AR$4=$E131, $I131*AR$57,0) + IF(AR$4&gt;$E131,MIN(AR131,$I131-SUM($J131:AR131)))</f>
        <v>10.964825573925619</v>
      </c>
      <c r="AT131" s="2">
        <f>IF(AS$4=$E131, $I131*AS$57,0) + IF(AS$4&gt;$E131,MIN(AS131,$I131-SUM($J131:AS131)))</f>
        <v>10.964825573925619</v>
      </c>
      <c r="AU131" s="2">
        <f>IF(AT$4=$E131, $I131*AT$57,0) + IF(AT$4&gt;$E131,MIN(AT131,$I131-SUM($J131:AT131)))</f>
        <v>10.964825573925619</v>
      </c>
      <c r="AV131" s="2">
        <f>IF(AU$4=$E131, $I131*AU$57,0) + IF(AU$4&gt;$E131,MIN(AU131,$I131-SUM($J131:AU131)))</f>
        <v>10.964825573925619</v>
      </c>
      <c r="AW131" s="2"/>
    </row>
    <row r="132" spans="5:49" ht="15" outlineLevel="1">
      <c r="E132" s="44">
        <f>INDEX($K$4:$AV$4,,COUNT(E$109:E131)+1)</f>
        <v>41364</v>
      </c>
      <c r="G132" s="2" t="s">
        <v>101</v>
      </c>
      <c r="I132" s="2">
        <f t="shared" si="64"/>
        <v>277.11848278310407</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13.855924139155205</v>
      </c>
      <c r="AI132" s="2">
        <f>IF(AH$4=$E132, $I132*AH$57,0) + IF(AH$4&gt;$E132,MIN(AH132,$I132-SUM($J132:AH132)))</f>
        <v>13.855924139155205</v>
      </c>
      <c r="AJ132" s="2">
        <f>IF(AI$4=$E132, $I132*AI$57,0) + IF(AI$4&gt;$E132,MIN(AI132,$I132-SUM($J132:AI132)))</f>
        <v>13.855924139155205</v>
      </c>
      <c r="AK132" s="2">
        <f>IF(AJ$4=$E132, $I132*AJ$57,0) + IF(AJ$4&gt;$E132,MIN(AJ132,$I132-SUM($J132:AJ132)))</f>
        <v>13.855924139155205</v>
      </c>
      <c r="AL132" s="2">
        <f>IF(AK$4=$E132, $I132*AK$57,0) + IF(AK$4&gt;$E132,MIN(AK132,$I132-SUM($J132:AK132)))</f>
        <v>13.855924139155205</v>
      </c>
      <c r="AM132" s="2">
        <f>IF(AL$4=$E132, $I132*AL$57,0) + IF(AL$4&gt;$E132,MIN(AL132,$I132-SUM($J132:AL132)))</f>
        <v>13.855924139155205</v>
      </c>
      <c r="AN132" s="2">
        <f>IF(AM$4=$E132, $I132*AM$57,0) + IF(AM$4&gt;$E132,MIN(AM132,$I132-SUM($J132:AM132)))</f>
        <v>13.855924139155205</v>
      </c>
      <c r="AO132" s="2">
        <f>IF(AN$4=$E132, $I132*AN$57,0) + IF(AN$4&gt;$E132,MIN(AN132,$I132-SUM($J132:AN132)))</f>
        <v>13.855924139155205</v>
      </c>
      <c r="AP132" s="2">
        <f>IF(AO$4=$E132, $I132*AO$57,0) + IF(AO$4&gt;$E132,MIN(AO132,$I132-SUM($J132:AO132)))</f>
        <v>13.855924139155205</v>
      </c>
      <c r="AQ132" s="57">
        <f>IF(AP$4=$E132, $I132*AP$57,0) + IF(AP$4&gt;$E132,MIN(AP132,$I132-SUM($J132:AP132)))</f>
        <v>13.855924139155205</v>
      </c>
      <c r="AR132" s="2">
        <f>IF(AQ$4=$E132, $I132*AQ$57,0) + IF(AQ$4&gt;$E132,MIN(AQ132,$I132-SUM($J132:AQ132)))</f>
        <v>13.855924139155205</v>
      </c>
      <c r="AS132" s="2">
        <f>IF(AR$4=$E132, $I132*AR$57,0) + IF(AR$4&gt;$E132,MIN(AR132,$I132-SUM($J132:AR132)))</f>
        <v>13.855924139155205</v>
      </c>
      <c r="AT132" s="2">
        <f>IF(AS$4=$E132, $I132*AS$57,0) + IF(AS$4&gt;$E132,MIN(AS132,$I132-SUM($J132:AS132)))</f>
        <v>13.855924139155205</v>
      </c>
      <c r="AU132" s="2">
        <f>IF(AT$4=$E132, $I132*AT$57,0) + IF(AT$4&gt;$E132,MIN(AT132,$I132-SUM($J132:AT132)))</f>
        <v>13.855924139155205</v>
      </c>
      <c r="AV132" s="2">
        <f>IF(AU$4=$E132, $I132*AU$57,0) + IF(AU$4&gt;$E132,MIN(AU132,$I132-SUM($J132:AU132)))</f>
        <v>13.855924139155205</v>
      </c>
      <c r="AW132" s="2"/>
    </row>
    <row r="133" spans="5:49" ht="15" outlineLevel="1">
      <c r="E133" s="44">
        <f>INDEX($K$4:$AV$4,,COUNT(E$109:E132)+1)</f>
        <v>41729</v>
      </c>
      <c r="G133" s="2" t="s">
        <v>101</v>
      </c>
      <c r="I133" s="2">
        <f t="shared" si="64"/>
        <v>299.82719815476685</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14.991359907738342</v>
      </c>
      <c r="AJ133" s="2">
        <f>IF(AI$4=$E133, $I133*AI$57,0) + IF(AI$4&gt;$E133,MIN(AI133,$I133-SUM($J133:AI133)))</f>
        <v>14.991359907738342</v>
      </c>
      <c r="AK133" s="2">
        <f>IF(AJ$4=$E133, $I133*AJ$57,0) + IF(AJ$4&gt;$E133,MIN(AJ133,$I133-SUM($J133:AJ133)))</f>
        <v>14.991359907738342</v>
      </c>
      <c r="AL133" s="2">
        <f>IF(AK$4=$E133, $I133*AK$57,0) + IF(AK$4&gt;$E133,MIN(AK133,$I133-SUM($J133:AK133)))</f>
        <v>14.991359907738342</v>
      </c>
      <c r="AM133" s="2">
        <f>IF(AL$4=$E133, $I133*AL$57,0) + IF(AL$4&gt;$E133,MIN(AL133,$I133-SUM($J133:AL133)))</f>
        <v>14.991359907738342</v>
      </c>
      <c r="AN133" s="2">
        <f>IF(AM$4=$E133, $I133*AM$57,0) + IF(AM$4&gt;$E133,MIN(AM133,$I133-SUM($J133:AM133)))</f>
        <v>14.991359907738342</v>
      </c>
      <c r="AO133" s="2">
        <f>IF(AN$4=$E133, $I133*AN$57,0) + IF(AN$4&gt;$E133,MIN(AN133,$I133-SUM($J133:AN133)))</f>
        <v>14.991359907738342</v>
      </c>
      <c r="AP133" s="2">
        <f>IF(AO$4=$E133, $I133*AO$57,0) + IF(AO$4&gt;$E133,MIN(AO133,$I133-SUM($J133:AO133)))</f>
        <v>14.991359907738342</v>
      </c>
      <c r="AQ133" s="57">
        <f>IF(AP$4=$E133, $I133*AP$57,0) + IF(AP$4&gt;$E133,MIN(AP133,$I133-SUM($J133:AP133)))</f>
        <v>14.991359907738342</v>
      </c>
      <c r="AR133" s="2">
        <f>IF(AQ$4=$E133, $I133*AQ$57,0) + IF(AQ$4&gt;$E133,MIN(AQ133,$I133-SUM($J133:AQ133)))</f>
        <v>14.991359907738342</v>
      </c>
      <c r="AS133" s="2">
        <f>IF(AR$4=$E133, $I133*AR$57,0) + IF(AR$4&gt;$E133,MIN(AR133,$I133-SUM($J133:AR133)))</f>
        <v>14.991359907738342</v>
      </c>
      <c r="AT133" s="2">
        <f>IF(AS$4=$E133, $I133*AS$57,0) + IF(AS$4&gt;$E133,MIN(AS133,$I133-SUM($J133:AS133)))</f>
        <v>14.991359907738342</v>
      </c>
      <c r="AU133" s="2">
        <f>IF(AT$4=$E133, $I133*AT$57,0) + IF(AT$4&gt;$E133,MIN(AT133,$I133-SUM($J133:AT133)))</f>
        <v>14.991359907738342</v>
      </c>
      <c r="AV133" s="2">
        <f>IF(AU$4=$E133, $I133*AU$57,0) + IF(AU$4&gt;$E133,MIN(AU133,$I133-SUM($J133:AU133)))</f>
        <v>14.991359907738342</v>
      </c>
      <c r="AW133" s="2"/>
    </row>
    <row r="134" spans="5:49" ht="15" outlineLevel="1">
      <c r="E134" s="44">
        <f>INDEX($K$4:$AV$4,,COUNT(E$109:E133)+1)</f>
        <v>42094</v>
      </c>
      <c r="G134" s="2" t="s">
        <v>101</v>
      </c>
      <c r="I134" s="2">
        <f t="shared" si="64"/>
        <v>337.1415659939239</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16.857078299696195</v>
      </c>
      <c r="AK134" s="2">
        <f>IF(AJ$4=$E134, $I134*AJ$57,0) + IF(AJ$4&gt;$E134,MIN(AJ134,$I134-SUM($J134:AJ134)))</f>
        <v>16.857078299696195</v>
      </c>
      <c r="AL134" s="2">
        <f>IF(AK$4=$E134, $I134*AK$57,0) + IF(AK$4&gt;$E134,MIN(AK134,$I134-SUM($J134:AK134)))</f>
        <v>16.857078299696195</v>
      </c>
      <c r="AM134" s="2">
        <f>IF(AL$4=$E134, $I134*AL$57,0) + IF(AL$4&gt;$E134,MIN(AL134,$I134-SUM($J134:AL134)))</f>
        <v>16.857078299696195</v>
      </c>
      <c r="AN134" s="2">
        <f>IF(AM$4=$E134, $I134*AM$57,0) + IF(AM$4&gt;$E134,MIN(AM134,$I134-SUM($J134:AM134)))</f>
        <v>16.857078299696195</v>
      </c>
      <c r="AO134" s="2">
        <f>IF(AN$4=$E134, $I134*AN$57,0) + IF(AN$4&gt;$E134,MIN(AN134,$I134-SUM($J134:AN134)))</f>
        <v>16.857078299696195</v>
      </c>
      <c r="AP134" s="2">
        <f>IF(AO$4=$E134, $I134*AO$57,0) + IF(AO$4&gt;$E134,MIN(AO134,$I134-SUM($J134:AO134)))</f>
        <v>16.857078299696195</v>
      </c>
      <c r="AQ134" s="57">
        <f>IF(AP$4=$E134, $I134*AP$57,0) + IF(AP$4&gt;$E134,MIN(AP134,$I134-SUM($J134:AP134)))</f>
        <v>16.857078299696195</v>
      </c>
      <c r="AR134" s="2">
        <f>IF(AQ$4=$E134, $I134*AQ$57,0) + IF(AQ$4&gt;$E134,MIN(AQ134,$I134-SUM($J134:AQ134)))</f>
        <v>16.857078299696195</v>
      </c>
      <c r="AS134" s="2">
        <f>IF(AR$4=$E134, $I134*AR$57,0) + IF(AR$4&gt;$E134,MIN(AR134,$I134-SUM($J134:AR134)))</f>
        <v>16.857078299696195</v>
      </c>
      <c r="AT134" s="2">
        <f>IF(AS$4=$E134, $I134*AS$57,0) + IF(AS$4&gt;$E134,MIN(AS134,$I134-SUM($J134:AS134)))</f>
        <v>16.857078299696195</v>
      </c>
      <c r="AU134" s="2">
        <f>IF(AT$4=$E134, $I134*AT$57,0) + IF(AT$4&gt;$E134,MIN(AT134,$I134-SUM($J134:AT134)))</f>
        <v>16.857078299696195</v>
      </c>
      <c r="AV134" s="2">
        <f>IF(AU$4=$E134, $I134*AU$57,0) + IF(AU$4&gt;$E134,MIN(AU134,$I134-SUM($J134:AU134)))</f>
        <v>16.857078299696195</v>
      </c>
      <c r="AW134" s="2"/>
    </row>
    <row r="135" spans="5:49" ht="15"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5"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5"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5"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5"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5"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5"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5"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5"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5"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5"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5"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5"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5">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5">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5"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5"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5"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5" outlineLevel="1">
      <c r="E156" s="44">
        <f t="shared" ref="E156:E191" si="66">E66</f>
        <v>33328</v>
      </c>
      <c r="G156" s="2" t="s">
        <v>101</v>
      </c>
      <c r="I156" s="2">
        <f>SUMPRODUCT(K110:AV110,$K$152:$AV$152) - SUMPRODUCT(K66:AV66,$K$152:$AV$152)</f>
        <v>14.648486971517869</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0.97656579810119126</v>
      </c>
      <c r="AB156" s="2">
        <f t="shared" si="68"/>
        <v>0.97656579810119126</v>
      </c>
      <c r="AC156" s="2">
        <f t="shared" si="68"/>
        <v>0.97656579810119126</v>
      </c>
      <c r="AD156" s="2">
        <f t="shared" si="68"/>
        <v>0.97656579810119126</v>
      </c>
      <c r="AE156" s="2">
        <f t="shared" si="68"/>
        <v>0.97656579810119126</v>
      </c>
      <c r="AF156" s="2">
        <f t="shared" si="68"/>
        <v>0.97656579810119126</v>
      </c>
      <c r="AG156" s="2">
        <f t="shared" si="68"/>
        <v>0.97656579810119126</v>
      </c>
      <c r="AH156" s="2">
        <f t="shared" si="68"/>
        <v>0.97656579810119126</v>
      </c>
      <c r="AI156" s="2">
        <f t="shared" si="68"/>
        <v>0.97656579810119126</v>
      </c>
      <c r="AJ156" s="2">
        <f t="shared" si="68"/>
        <v>0.97656579810119126</v>
      </c>
      <c r="AK156" s="2">
        <f t="shared" si="68"/>
        <v>0.97656579810119126</v>
      </c>
      <c r="AL156" s="2">
        <f t="shared" si="68"/>
        <v>0.97656579810119126</v>
      </c>
      <c r="AM156" s="2">
        <f t="shared" si="68"/>
        <v>0.97656579810119126</v>
      </c>
      <c r="AN156" s="2">
        <f t="shared" si="68"/>
        <v>0.97656579810119126</v>
      </c>
      <c r="AO156" s="2">
        <f t="shared" si="68"/>
        <v>0.97656579810119126</v>
      </c>
      <c r="AP156" s="2">
        <f t="shared" si="68"/>
        <v>0</v>
      </c>
      <c r="AQ156" s="57">
        <f t="shared" si="68"/>
        <v>0</v>
      </c>
      <c r="AR156" s="2">
        <f t="shared" si="68"/>
        <v>0</v>
      </c>
      <c r="AS156" s="2">
        <f t="shared" si="68"/>
        <v>0</v>
      </c>
      <c r="AT156" s="2">
        <f t="shared" si="68"/>
        <v>0</v>
      </c>
      <c r="AU156" s="2">
        <f t="shared" si="68"/>
        <v>0</v>
      </c>
      <c r="AV156" s="2">
        <f t="shared" si="68"/>
        <v>0</v>
      </c>
      <c r="AW156" s="2"/>
    </row>
    <row r="157" spans="1:49" ht="15" outlineLevel="1">
      <c r="E157" s="44">
        <f t="shared" si="66"/>
        <v>33694</v>
      </c>
      <c r="G157" s="2" t="s">
        <v>101</v>
      </c>
      <c r="I157" s="2">
        <f>SUMPRODUCT(K111:AV111,$K$152:$AV$152) - SUMPRODUCT(K67:AV67,$K$152:$AV$152)</f>
        <v>45.314132677043929</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3.0209421784695953</v>
      </c>
      <c r="AB157" s="2">
        <f t="shared" si="68"/>
        <v>3.0209421784695953</v>
      </c>
      <c r="AC157" s="2">
        <f t="shared" si="68"/>
        <v>3.0209421784695953</v>
      </c>
      <c r="AD157" s="2">
        <f t="shared" si="68"/>
        <v>3.0209421784695953</v>
      </c>
      <c r="AE157" s="2">
        <f t="shared" si="68"/>
        <v>3.0209421784695953</v>
      </c>
      <c r="AF157" s="2">
        <f t="shared" si="68"/>
        <v>3.0209421784695953</v>
      </c>
      <c r="AG157" s="2">
        <f t="shared" si="68"/>
        <v>3.0209421784695953</v>
      </c>
      <c r="AH157" s="2">
        <f t="shared" si="68"/>
        <v>3.0209421784695953</v>
      </c>
      <c r="AI157" s="2">
        <f t="shared" si="68"/>
        <v>3.0209421784695953</v>
      </c>
      <c r="AJ157" s="2">
        <f t="shared" si="68"/>
        <v>3.0209421784695953</v>
      </c>
      <c r="AK157" s="2">
        <f t="shared" si="68"/>
        <v>3.0209421784695953</v>
      </c>
      <c r="AL157" s="2">
        <f t="shared" si="68"/>
        <v>3.0209421784695953</v>
      </c>
      <c r="AM157" s="2">
        <f t="shared" si="68"/>
        <v>3.0209421784695953</v>
      </c>
      <c r="AN157" s="2">
        <f t="shared" si="68"/>
        <v>3.0209421784695953</v>
      </c>
      <c r="AO157" s="2">
        <f t="shared" si="68"/>
        <v>3.0209421784695953</v>
      </c>
      <c r="AP157" s="2">
        <f t="shared" si="68"/>
        <v>0</v>
      </c>
      <c r="AQ157" s="57">
        <f t="shared" si="68"/>
        <v>0</v>
      </c>
      <c r="AR157" s="2">
        <f t="shared" si="68"/>
        <v>0</v>
      </c>
      <c r="AS157" s="2">
        <f t="shared" si="68"/>
        <v>0</v>
      </c>
      <c r="AT157" s="2">
        <f t="shared" si="68"/>
        <v>0</v>
      </c>
      <c r="AU157" s="2">
        <f t="shared" si="68"/>
        <v>0</v>
      </c>
      <c r="AV157" s="2">
        <f t="shared" si="68"/>
        <v>0</v>
      </c>
      <c r="AW157" s="2"/>
    </row>
    <row r="158" spans="1:49" ht="15" outlineLevel="1">
      <c r="E158" s="44">
        <f t="shared" si="66"/>
        <v>34059</v>
      </c>
      <c r="G158" s="2" t="s">
        <v>101</v>
      </c>
      <c r="I158" s="2">
        <f t="shared" ref="I158:I193" si="70">SUMPRODUCT(K112:AV112,$K$152:$AV$152) - SUMPRODUCT(K68:AV68,$K$152:$AV$152)</f>
        <v>41.211816502444606</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2.7474544334963071</v>
      </c>
      <c r="AB158" s="2">
        <f t="shared" si="68"/>
        <v>2.7474544334963071</v>
      </c>
      <c r="AC158" s="2">
        <f t="shared" si="68"/>
        <v>2.7474544334963071</v>
      </c>
      <c r="AD158" s="2">
        <f t="shared" si="68"/>
        <v>2.7474544334963071</v>
      </c>
      <c r="AE158" s="2">
        <f t="shared" si="68"/>
        <v>2.7474544334963071</v>
      </c>
      <c r="AF158" s="2">
        <f t="shared" si="68"/>
        <v>2.7474544334963071</v>
      </c>
      <c r="AG158" s="2">
        <f t="shared" si="68"/>
        <v>2.7474544334963071</v>
      </c>
      <c r="AH158" s="2">
        <f t="shared" si="68"/>
        <v>2.7474544334963071</v>
      </c>
      <c r="AI158" s="2">
        <f t="shared" si="68"/>
        <v>2.7474544334963071</v>
      </c>
      <c r="AJ158" s="2">
        <f t="shared" si="68"/>
        <v>2.7474544334963071</v>
      </c>
      <c r="AK158" s="2">
        <f t="shared" si="68"/>
        <v>2.7474544334963071</v>
      </c>
      <c r="AL158" s="2">
        <f t="shared" si="68"/>
        <v>2.7474544334963071</v>
      </c>
      <c r="AM158" s="2">
        <f t="shared" si="68"/>
        <v>2.7474544334963071</v>
      </c>
      <c r="AN158" s="2">
        <f t="shared" si="68"/>
        <v>2.7474544334963071</v>
      </c>
      <c r="AO158" s="2">
        <f t="shared" si="68"/>
        <v>2.7474544334963071</v>
      </c>
      <c r="AP158" s="2">
        <f t="shared" si="68"/>
        <v>0</v>
      </c>
      <c r="AQ158" s="57">
        <f t="shared" si="68"/>
        <v>0</v>
      </c>
      <c r="AR158" s="2">
        <f t="shared" si="68"/>
        <v>0</v>
      </c>
      <c r="AS158" s="2">
        <f t="shared" si="68"/>
        <v>0</v>
      </c>
      <c r="AT158" s="2">
        <f t="shared" si="68"/>
        <v>0</v>
      </c>
      <c r="AU158" s="2">
        <f t="shared" si="68"/>
        <v>0</v>
      </c>
      <c r="AV158" s="2">
        <f t="shared" si="68"/>
        <v>0</v>
      </c>
      <c r="AW158" s="2"/>
    </row>
    <row r="159" spans="1:49" ht="15" outlineLevel="1">
      <c r="E159" s="44">
        <f t="shared" si="66"/>
        <v>34424</v>
      </c>
      <c r="G159" s="2" t="s">
        <v>101</v>
      </c>
      <c r="I159" s="2">
        <f t="shared" si="70"/>
        <v>41.903550609432919</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2.7935700406288611</v>
      </c>
      <c r="AB159" s="2">
        <f t="shared" si="68"/>
        <v>2.7935700406288611</v>
      </c>
      <c r="AC159" s="2">
        <f t="shared" si="68"/>
        <v>2.7935700406288611</v>
      </c>
      <c r="AD159" s="2">
        <f t="shared" si="68"/>
        <v>2.7935700406288611</v>
      </c>
      <c r="AE159" s="2">
        <f t="shared" si="68"/>
        <v>2.7935700406288611</v>
      </c>
      <c r="AF159" s="2">
        <f t="shared" si="68"/>
        <v>2.7935700406288611</v>
      </c>
      <c r="AG159" s="2">
        <f t="shared" si="68"/>
        <v>2.7935700406288611</v>
      </c>
      <c r="AH159" s="2">
        <f t="shared" si="68"/>
        <v>2.7935700406288611</v>
      </c>
      <c r="AI159" s="2">
        <f t="shared" si="68"/>
        <v>2.7935700406288611</v>
      </c>
      <c r="AJ159" s="2">
        <f t="shared" si="68"/>
        <v>2.7935700406288611</v>
      </c>
      <c r="AK159" s="2">
        <f t="shared" si="68"/>
        <v>2.7935700406288611</v>
      </c>
      <c r="AL159" s="2">
        <f t="shared" si="68"/>
        <v>2.7935700406288611</v>
      </c>
      <c r="AM159" s="2">
        <f t="shared" si="68"/>
        <v>2.7935700406288611</v>
      </c>
      <c r="AN159" s="2">
        <f t="shared" si="68"/>
        <v>2.7935700406288611</v>
      </c>
      <c r="AO159" s="2">
        <f t="shared" si="68"/>
        <v>2.7935700406288611</v>
      </c>
      <c r="AP159" s="2">
        <f t="shared" si="68"/>
        <v>0</v>
      </c>
      <c r="AQ159" s="57">
        <f t="shared" si="68"/>
        <v>0</v>
      </c>
      <c r="AR159" s="2">
        <f t="shared" si="68"/>
        <v>0</v>
      </c>
      <c r="AS159" s="2">
        <f t="shared" si="68"/>
        <v>0</v>
      </c>
      <c r="AT159" s="2">
        <f t="shared" si="68"/>
        <v>0</v>
      </c>
      <c r="AU159" s="2">
        <f t="shared" si="68"/>
        <v>0</v>
      </c>
      <c r="AV159" s="2">
        <f t="shared" si="68"/>
        <v>0</v>
      </c>
      <c r="AW159" s="2"/>
    </row>
    <row r="160" spans="1:49" ht="15" outlineLevel="1">
      <c r="E160" s="44">
        <f t="shared" si="66"/>
        <v>34789</v>
      </c>
      <c r="G160" s="2" t="s">
        <v>101</v>
      </c>
      <c r="I160" s="2">
        <f t="shared" si="70"/>
        <v>22.989986496965535</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1.532665766464369</v>
      </c>
      <c r="AB160" s="2">
        <f t="shared" si="71"/>
        <v>1.532665766464369</v>
      </c>
      <c r="AC160" s="2">
        <f t="shared" si="71"/>
        <v>1.532665766464369</v>
      </c>
      <c r="AD160" s="2">
        <f t="shared" si="71"/>
        <v>1.532665766464369</v>
      </c>
      <c r="AE160" s="2">
        <f t="shared" si="71"/>
        <v>1.532665766464369</v>
      </c>
      <c r="AF160" s="2">
        <f t="shared" si="71"/>
        <v>1.532665766464369</v>
      </c>
      <c r="AG160" s="2">
        <f t="shared" si="71"/>
        <v>1.532665766464369</v>
      </c>
      <c r="AH160" s="2">
        <f t="shared" si="71"/>
        <v>1.532665766464369</v>
      </c>
      <c r="AI160" s="2">
        <f t="shared" si="71"/>
        <v>1.532665766464369</v>
      </c>
      <c r="AJ160" s="2">
        <f t="shared" si="71"/>
        <v>1.532665766464369</v>
      </c>
      <c r="AK160" s="2">
        <f t="shared" si="71"/>
        <v>1.532665766464369</v>
      </c>
      <c r="AL160" s="2">
        <f t="shared" si="71"/>
        <v>1.532665766464369</v>
      </c>
      <c r="AM160" s="2">
        <f t="shared" si="71"/>
        <v>1.532665766464369</v>
      </c>
      <c r="AN160" s="2">
        <f t="shared" si="71"/>
        <v>1.532665766464369</v>
      </c>
      <c r="AO160" s="2">
        <f t="shared" si="71"/>
        <v>1.532665766464369</v>
      </c>
      <c r="AP160" s="2">
        <f t="shared" si="71"/>
        <v>0</v>
      </c>
      <c r="AQ160" s="57">
        <f t="shared" si="71"/>
        <v>0</v>
      </c>
      <c r="AR160" s="2">
        <f t="shared" si="71"/>
        <v>0</v>
      </c>
      <c r="AS160" s="2">
        <f t="shared" si="71"/>
        <v>0</v>
      </c>
      <c r="AT160" s="2">
        <f t="shared" si="71"/>
        <v>0</v>
      </c>
      <c r="AU160" s="2">
        <f t="shared" si="71"/>
        <v>0</v>
      </c>
      <c r="AV160" s="2">
        <f t="shared" si="71"/>
        <v>0</v>
      </c>
      <c r="AW160" s="2"/>
    </row>
    <row r="161" spans="5:49" ht="15" outlineLevel="1">
      <c r="E161" s="44">
        <f t="shared" si="66"/>
        <v>35155</v>
      </c>
      <c r="G161" s="2" t="s">
        <v>101</v>
      </c>
      <c r="I161" s="2">
        <f t="shared" si="70"/>
        <v>21.49184578396941</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1.4327897189312939</v>
      </c>
      <c r="AB161" s="2">
        <f t="shared" si="71"/>
        <v>1.4327897189312939</v>
      </c>
      <c r="AC161" s="2">
        <f t="shared" si="71"/>
        <v>1.4327897189312939</v>
      </c>
      <c r="AD161" s="2">
        <f t="shared" si="71"/>
        <v>1.4327897189312939</v>
      </c>
      <c r="AE161" s="2">
        <f t="shared" si="71"/>
        <v>1.4327897189312939</v>
      </c>
      <c r="AF161" s="2">
        <f t="shared" si="71"/>
        <v>1.4327897189312939</v>
      </c>
      <c r="AG161" s="2">
        <f t="shared" si="71"/>
        <v>1.4327897189312939</v>
      </c>
      <c r="AH161" s="2">
        <f t="shared" si="71"/>
        <v>1.4327897189312939</v>
      </c>
      <c r="AI161" s="2">
        <f t="shared" si="71"/>
        <v>1.4327897189312939</v>
      </c>
      <c r="AJ161" s="2">
        <f t="shared" si="71"/>
        <v>1.4327897189312939</v>
      </c>
      <c r="AK161" s="2">
        <f t="shared" si="71"/>
        <v>1.4327897189312939</v>
      </c>
      <c r="AL161" s="2">
        <f t="shared" si="71"/>
        <v>1.4327897189312939</v>
      </c>
      <c r="AM161" s="2">
        <f t="shared" si="71"/>
        <v>1.4327897189312939</v>
      </c>
      <c r="AN161" s="2">
        <f t="shared" si="71"/>
        <v>1.4327897189312939</v>
      </c>
      <c r="AO161" s="2">
        <f t="shared" si="71"/>
        <v>1.4327897189312939</v>
      </c>
      <c r="AP161" s="2">
        <f t="shared" si="71"/>
        <v>0</v>
      </c>
      <c r="AQ161" s="57">
        <f t="shared" si="71"/>
        <v>0</v>
      </c>
      <c r="AR161" s="2">
        <f t="shared" si="71"/>
        <v>0</v>
      </c>
      <c r="AS161" s="2">
        <f t="shared" si="71"/>
        <v>0</v>
      </c>
      <c r="AT161" s="2">
        <f t="shared" si="71"/>
        <v>0</v>
      </c>
      <c r="AU161" s="2">
        <f t="shared" si="71"/>
        <v>0</v>
      </c>
      <c r="AV161" s="2">
        <f t="shared" si="71"/>
        <v>0</v>
      </c>
      <c r="AW161" s="2"/>
    </row>
    <row r="162" spans="5:49" ht="15" outlineLevel="1">
      <c r="E162" s="44">
        <f t="shared" si="66"/>
        <v>35520</v>
      </c>
      <c r="G162" s="2" t="s">
        <v>101</v>
      </c>
      <c r="I162" s="2">
        <f t="shared" si="70"/>
        <v>20.907385950257328</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1.3938257300171553</v>
      </c>
      <c r="AB162" s="2">
        <f t="shared" si="71"/>
        <v>1.3938257300171553</v>
      </c>
      <c r="AC162" s="2">
        <f t="shared" si="71"/>
        <v>1.3938257300171553</v>
      </c>
      <c r="AD162" s="2">
        <f t="shared" si="71"/>
        <v>1.3938257300171553</v>
      </c>
      <c r="AE162" s="2">
        <f t="shared" si="71"/>
        <v>1.3938257300171553</v>
      </c>
      <c r="AF162" s="2">
        <f t="shared" si="71"/>
        <v>1.3938257300171553</v>
      </c>
      <c r="AG162" s="2">
        <f t="shared" si="71"/>
        <v>1.3938257300171553</v>
      </c>
      <c r="AH162" s="2">
        <f t="shared" si="71"/>
        <v>1.3938257300171553</v>
      </c>
      <c r="AI162" s="2">
        <f t="shared" si="71"/>
        <v>1.3938257300171553</v>
      </c>
      <c r="AJ162" s="2">
        <f t="shared" si="71"/>
        <v>1.3938257300171553</v>
      </c>
      <c r="AK162" s="2">
        <f t="shared" si="71"/>
        <v>1.3938257300171553</v>
      </c>
      <c r="AL162" s="2">
        <f t="shared" si="71"/>
        <v>1.3938257300171553</v>
      </c>
      <c r="AM162" s="2">
        <f t="shared" si="71"/>
        <v>1.3938257300171553</v>
      </c>
      <c r="AN162" s="2">
        <f t="shared" si="71"/>
        <v>1.3938257300171553</v>
      </c>
      <c r="AO162" s="2">
        <f t="shared" si="71"/>
        <v>1.3938257300171553</v>
      </c>
      <c r="AP162" s="2">
        <f t="shared" si="71"/>
        <v>0</v>
      </c>
      <c r="AQ162" s="57">
        <f t="shared" si="71"/>
        <v>0</v>
      </c>
      <c r="AR162" s="2">
        <f t="shared" si="71"/>
        <v>0</v>
      </c>
      <c r="AS162" s="2">
        <f t="shared" si="71"/>
        <v>0</v>
      </c>
      <c r="AT162" s="2">
        <f t="shared" si="71"/>
        <v>0</v>
      </c>
      <c r="AU162" s="2">
        <f t="shared" si="71"/>
        <v>0</v>
      </c>
      <c r="AV162" s="2">
        <f t="shared" si="71"/>
        <v>0</v>
      </c>
      <c r="AW162" s="2"/>
    </row>
    <row r="163" spans="5:49" ht="15" outlineLevel="1">
      <c r="E163" s="44">
        <f t="shared" si="66"/>
        <v>35885</v>
      </c>
      <c r="G163" s="2" t="s">
        <v>101</v>
      </c>
      <c r="I163" s="2">
        <f t="shared" si="70"/>
        <v>22.2242701325453</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1.4816180088363533</v>
      </c>
      <c r="AB163" s="2">
        <f t="shared" si="71"/>
        <v>1.4816180088363533</v>
      </c>
      <c r="AC163" s="2">
        <f t="shared" si="71"/>
        <v>1.4816180088363533</v>
      </c>
      <c r="AD163" s="2">
        <f t="shared" si="71"/>
        <v>1.4816180088363533</v>
      </c>
      <c r="AE163" s="2">
        <f t="shared" si="71"/>
        <v>1.4816180088363533</v>
      </c>
      <c r="AF163" s="2">
        <f t="shared" si="71"/>
        <v>1.4816180088363533</v>
      </c>
      <c r="AG163" s="2">
        <f t="shared" si="71"/>
        <v>1.4816180088363533</v>
      </c>
      <c r="AH163" s="2">
        <f t="shared" si="71"/>
        <v>1.4816180088363533</v>
      </c>
      <c r="AI163" s="2">
        <f t="shared" si="71"/>
        <v>1.4816180088363533</v>
      </c>
      <c r="AJ163" s="2">
        <f t="shared" si="71"/>
        <v>1.4816180088363533</v>
      </c>
      <c r="AK163" s="2">
        <f t="shared" si="71"/>
        <v>1.4816180088363533</v>
      </c>
      <c r="AL163" s="2">
        <f t="shared" si="71"/>
        <v>1.4816180088363533</v>
      </c>
      <c r="AM163" s="2">
        <f t="shared" si="71"/>
        <v>1.4816180088363533</v>
      </c>
      <c r="AN163" s="2">
        <f t="shared" si="71"/>
        <v>1.4816180088363533</v>
      </c>
      <c r="AO163" s="2">
        <f t="shared" si="71"/>
        <v>1.4816180088363533</v>
      </c>
      <c r="AP163" s="2">
        <f t="shared" si="71"/>
        <v>0</v>
      </c>
      <c r="AQ163" s="57">
        <f t="shared" si="71"/>
        <v>0</v>
      </c>
      <c r="AR163" s="2">
        <f t="shared" si="71"/>
        <v>0</v>
      </c>
      <c r="AS163" s="2">
        <f t="shared" si="71"/>
        <v>0</v>
      </c>
      <c r="AT163" s="2">
        <f t="shared" si="71"/>
        <v>0</v>
      </c>
      <c r="AU163" s="2">
        <f t="shared" si="71"/>
        <v>0</v>
      </c>
      <c r="AV163" s="2">
        <f t="shared" si="71"/>
        <v>0</v>
      </c>
      <c r="AW163" s="2"/>
    </row>
    <row r="164" spans="5:49" ht="15" outlineLevel="1">
      <c r="E164" s="44">
        <f t="shared" si="66"/>
        <v>36250</v>
      </c>
      <c r="G164" s="2" t="s">
        <v>101</v>
      </c>
      <c r="I164" s="2">
        <f t="shared" si="70"/>
        <v>18.879329666817629</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1.258621977787842</v>
      </c>
      <c r="AB164" s="2">
        <f t="shared" si="69"/>
        <v>1.258621977787842</v>
      </c>
      <c r="AC164" s="2">
        <f t="shared" ref="AC164:AR180" si="72">AC$154 * $I164</f>
        <v>1.258621977787842</v>
      </c>
      <c r="AD164" s="2">
        <f t="shared" si="72"/>
        <v>1.258621977787842</v>
      </c>
      <c r="AE164" s="2">
        <f t="shared" si="72"/>
        <v>1.258621977787842</v>
      </c>
      <c r="AF164" s="2">
        <f t="shared" si="72"/>
        <v>1.258621977787842</v>
      </c>
      <c r="AG164" s="2">
        <f t="shared" si="72"/>
        <v>1.258621977787842</v>
      </c>
      <c r="AH164" s="2">
        <f t="shared" si="72"/>
        <v>1.258621977787842</v>
      </c>
      <c r="AI164" s="2">
        <f t="shared" si="72"/>
        <v>1.258621977787842</v>
      </c>
      <c r="AJ164" s="2">
        <f t="shared" si="72"/>
        <v>1.258621977787842</v>
      </c>
      <c r="AK164" s="2">
        <f t="shared" si="72"/>
        <v>1.258621977787842</v>
      </c>
      <c r="AL164" s="2">
        <f t="shared" si="72"/>
        <v>1.258621977787842</v>
      </c>
      <c r="AM164" s="2">
        <f t="shared" si="72"/>
        <v>1.258621977787842</v>
      </c>
      <c r="AN164" s="2">
        <f t="shared" si="72"/>
        <v>1.258621977787842</v>
      </c>
      <c r="AO164" s="2">
        <f t="shared" si="72"/>
        <v>1.258621977787842</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5" outlineLevel="1">
      <c r="E165" s="44">
        <f t="shared" si="66"/>
        <v>36616</v>
      </c>
      <c r="G165" s="2" t="s">
        <v>101</v>
      </c>
      <c r="I165" s="2">
        <f t="shared" si="70"/>
        <v>16.10322676147744</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1.0735484507651627</v>
      </c>
      <c r="AB165" s="2">
        <f t="shared" si="69"/>
        <v>1.0735484507651627</v>
      </c>
      <c r="AC165" s="2">
        <f t="shared" si="72"/>
        <v>1.0735484507651627</v>
      </c>
      <c r="AD165" s="2">
        <f t="shared" si="72"/>
        <v>1.0735484507651627</v>
      </c>
      <c r="AE165" s="2">
        <f t="shared" si="72"/>
        <v>1.0735484507651627</v>
      </c>
      <c r="AF165" s="2">
        <f t="shared" si="72"/>
        <v>1.0735484507651627</v>
      </c>
      <c r="AG165" s="2">
        <f t="shared" si="72"/>
        <v>1.0735484507651627</v>
      </c>
      <c r="AH165" s="2">
        <f t="shared" si="72"/>
        <v>1.0735484507651627</v>
      </c>
      <c r="AI165" s="2">
        <f t="shared" si="72"/>
        <v>1.0735484507651627</v>
      </c>
      <c r="AJ165" s="2">
        <f t="shared" si="72"/>
        <v>1.0735484507651627</v>
      </c>
      <c r="AK165" s="2">
        <f t="shared" si="72"/>
        <v>1.0735484507651627</v>
      </c>
      <c r="AL165" s="2">
        <f t="shared" si="72"/>
        <v>1.0735484507651627</v>
      </c>
      <c r="AM165" s="2">
        <f t="shared" si="72"/>
        <v>1.0735484507651627</v>
      </c>
      <c r="AN165" s="2">
        <f t="shared" si="72"/>
        <v>1.0735484507651627</v>
      </c>
      <c r="AO165" s="2">
        <f t="shared" si="72"/>
        <v>1.0735484507651627</v>
      </c>
      <c r="AP165" s="2">
        <f t="shared" si="72"/>
        <v>0</v>
      </c>
      <c r="AQ165" s="57">
        <f t="shared" si="72"/>
        <v>0</v>
      </c>
      <c r="AR165" s="2">
        <f t="shared" si="72"/>
        <v>0</v>
      </c>
      <c r="AS165" s="2">
        <f t="shared" si="73"/>
        <v>0</v>
      </c>
      <c r="AT165" s="2">
        <f t="shared" si="73"/>
        <v>0</v>
      </c>
      <c r="AU165" s="2">
        <f t="shared" si="73"/>
        <v>0</v>
      </c>
      <c r="AV165" s="2">
        <f t="shared" si="73"/>
        <v>0</v>
      </c>
      <c r="AW165" s="2"/>
    </row>
    <row r="166" spans="5:49" ht="15" outlineLevel="1">
      <c r="E166" s="44">
        <f t="shared" si="66"/>
        <v>36981</v>
      </c>
      <c r="G166" s="2" t="s">
        <v>101</v>
      </c>
      <c r="I166" s="2">
        <f t="shared" si="70"/>
        <v>16.425052594183832</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1.0950035062789221</v>
      </c>
      <c r="AB166" s="2">
        <f t="shared" si="69"/>
        <v>1.0950035062789221</v>
      </c>
      <c r="AC166" s="2">
        <f t="shared" si="72"/>
        <v>1.0950035062789221</v>
      </c>
      <c r="AD166" s="2">
        <f t="shared" si="72"/>
        <v>1.0950035062789221</v>
      </c>
      <c r="AE166" s="2">
        <f t="shared" si="72"/>
        <v>1.0950035062789221</v>
      </c>
      <c r="AF166" s="2">
        <f t="shared" si="72"/>
        <v>1.0950035062789221</v>
      </c>
      <c r="AG166" s="2">
        <f t="shared" si="72"/>
        <v>1.0950035062789221</v>
      </c>
      <c r="AH166" s="2">
        <f t="shared" si="72"/>
        <v>1.0950035062789221</v>
      </c>
      <c r="AI166" s="2">
        <f t="shared" si="72"/>
        <v>1.0950035062789221</v>
      </c>
      <c r="AJ166" s="2">
        <f t="shared" si="72"/>
        <v>1.0950035062789221</v>
      </c>
      <c r="AK166" s="2">
        <f t="shared" si="72"/>
        <v>1.0950035062789221</v>
      </c>
      <c r="AL166" s="2">
        <f t="shared" si="72"/>
        <v>1.0950035062789221</v>
      </c>
      <c r="AM166" s="2">
        <f t="shared" si="72"/>
        <v>1.0950035062789221</v>
      </c>
      <c r="AN166" s="2">
        <f t="shared" si="72"/>
        <v>1.0950035062789221</v>
      </c>
      <c r="AO166" s="2">
        <f t="shared" si="72"/>
        <v>1.0950035062789221</v>
      </c>
      <c r="AP166" s="2">
        <f t="shared" si="72"/>
        <v>0</v>
      </c>
      <c r="AQ166" s="57">
        <f t="shared" si="72"/>
        <v>0</v>
      </c>
      <c r="AR166" s="2">
        <f t="shared" si="72"/>
        <v>0</v>
      </c>
      <c r="AS166" s="2">
        <f t="shared" si="73"/>
        <v>0</v>
      </c>
      <c r="AT166" s="2">
        <f t="shared" si="73"/>
        <v>0</v>
      </c>
      <c r="AU166" s="2">
        <f t="shared" si="73"/>
        <v>0</v>
      </c>
      <c r="AV166" s="2">
        <f t="shared" si="73"/>
        <v>0</v>
      </c>
      <c r="AW166" s="2"/>
    </row>
    <row r="167" spans="5:49" ht="15" outlineLevel="1">
      <c r="E167" s="44">
        <f t="shared" si="66"/>
        <v>37346</v>
      </c>
      <c r="G167" s="2" t="s">
        <v>101</v>
      </c>
      <c r="I167" s="2">
        <f t="shared" si="70"/>
        <v>8.081554451647909</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0.53877029677652721</v>
      </c>
      <c r="AB167" s="2">
        <f t="shared" si="69"/>
        <v>0.53877029677652721</v>
      </c>
      <c r="AC167" s="2">
        <f t="shared" si="72"/>
        <v>0.53877029677652721</v>
      </c>
      <c r="AD167" s="2">
        <f t="shared" si="72"/>
        <v>0.53877029677652721</v>
      </c>
      <c r="AE167" s="2">
        <f t="shared" si="72"/>
        <v>0.53877029677652721</v>
      </c>
      <c r="AF167" s="2">
        <f t="shared" si="72"/>
        <v>0.53877029677652721</v>
      </c>
      <c r="AG167" s="2">
        <f t="shared" si="72"/>
        <v>0.53877029677652721</v>
      </c>
      <c r="AH167" s="2">
        <f t="shared" si="72"/>
        <v>0.53877029677652721</v>
      </c>
      <c r="AI167" s="2">
        <f t="shared" si="72"/>
        <v>0.53877029677652721</v>
      </c>
      <c r="AJ167" s="2">
        <f t="shared" si="72"/>
        <v>0.53877029677652721</v>
      </c>
      <c r="AK167" s="2">
        <f t="shared" si="72"/>
        <v>0.53877029677652721</v>
      </c>
      <c r="AL167" s="2">
        <f t="shared" si="72"/>
        <v>0.53877029677652721</v>
      </c>
      <c r="AM167" s="2">
        <f t="shared" si="72"/>
        <v>0.53877029677652721</v>
      </c>
      <c r="AN167" s="2">
        <f t="shared" si="72"/>
        <v>0.53877029677652721</v>
      </c>
      <c r="AO167" s="2">
        <f t="shared" si="72"/>
        <v>0.53877029677652721</v>
      </c>
      <c r="AP167" s="2">
        <f t="shared" si="72"/>
        <v>0</v>
      </c>
      <c r="AQ167" s="57">
        <f t="shared" si="72"/>
        <v>0</v>
      </c>
      <c r="AR167" s="2">
        <f t="shared" si="72"/>
        <v>0</v>
      </c>
      <c r="AS167" s="2">
        <f t="shared" si="73"/>
        <v>0</v>
      </c>
      <c r="AT167" s="2">
        <f t="shared" si="73"/>
        <v>0</v>
      </c>
      <c r="AU167" s="2">
        <f t="shared" si="73"/>
        <v>0</v>
      </c>
      <c r="AV167" s="2">
        <f t="shared" si="73"/>
        <v>0</v>
      </c>
      <c r="AW167" s="2"/>
    </row>
    <row r="168" spans="5:49" ht="15" outlineLevel="1">
      <c r="E168" s="44">
        <f t="shared" si="66"/>
        <v>37711</v>
      </c>
      <c r="G168" s="2" t="s">
        <v>101</v>
      </c>
      <c r="I168" s="2">
        <f t="shared" si="70"/>
        <v>7.2274243632479749</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0.48182829088319834</v>
      </c>
      <c r="AB168" s="2">
        <f t="shared" si="69"/>
        <v>0.48182829088319834</v>
      </c>
      <c r="AC168" s="2">
        <f t="shared" si="72"/>
        <v>0.48182829088319834</v>
      </c>
      <c r="AD168" s="2">
        <f t="shared" si="72"/>
        <v>0.48182829088319834</v>
      </c>
      <c r="AE168" s="2">
        <f t="shared" si="72"/>
        <v>0.48182829088319834</v>
      </c>
      <c r="AF168" s="2">
        <f t="shared" si="72"/>
        <v>0.48182829088319834</v>
      </c>
      <c r="AG168" s="2">
        <f t="shared" si="72"/>
        <v>0.48182829088319834</v>
      </c>
      <c r="AH168" s="2">
        <f t="shared" si="72"/>
        <v>0.48182829088319834</v>
      </c>
      <c r="AI168" s="2">
        <f t="shared" si="72"/>
        <v>0.48182829088319834</v>
      </c>
      <c r="AJ168" s="2">
        <f t="shared" si="72"/>
        <v>0.48182829088319834</v>
      </c>
      <c r="AK168" s="2">
        <f t="shared" si="72"/>
        <v>0.48182829088319834</v>
      </c>
      <c r="AL168" s="2">
        <f t="shared" si="72"/>
        <v>0.48182829088319834</v>
      </c>
      <c r="AM168" s="2">
        <f t="shared" si="72"/>
        <v>0.48182829088319834</v>
      </c>
      <c r="AN168" s="2">
        <f t="shared" si="72"/>
        <v>0.48182829088319834</v>
      </c>
      <c r="AO168" s="2">
        <f t="shared" si="72"/>
        <v>0.48182829088319834</v>
      </c>
      <c r="AP168" s="2">
        <f t="shared" si="72"/>
        <v>0</v>
      </c>
      <c r="AQ168" s="57">
        <f t="shared" si="72"/>
        <v>0</v>
      </c>
      <c r="AR168" s="2">
        <f t="shared" si="72"/>
        <v>0</v>
      </c>
      <c r="AS168" s="2">
        <f t="shared" si="73"/>
        <v>0</v>
      </c>
      <c r="AT168" s="2">
        <f t="shared" si="73"/>
        <v>0</v>
      </c>
      <c r="AU168" s="2">
        <f t="shared" si="73"/>
        <v>0</v>
      </c>
      <c r="AV168" s="2">
        <f t="shared" si="73"/>
        <v>0</v>
      </c>
      <c r="AW168" s="2"/>
    </row>
    <row r="169" spans="5:49" ht="15" outlineLevel="1">
      <c r="E169" s="44">
        <f t="shared" si="66"/>
        <v>38077</v>
      </c>
      <c r="G169" s="2" t="s">
        <v>101</v>
      </c>
      <c r="I169" s="2">
        <f t="shared" si="70"/>
        <v>5.3441124368648705</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0.35627416245765803</v>
      </c>
      <c r="AB169" s="2">
        <f t="shared" si="69"/>
        <v>0.35627416245765803</v>
      </c>
      <c r="AC169" s="2">
        <f t="shared" si="72"/>
        <v>0.35627416245765803</v>
      </c>
      <c r="AD169" s="2">
        <f t="shared" si="72"/>
        <v>0.35627416245765803</v>
      </c>
      <c r="AE169" s="2">
        <f t="shared" si="72"/>
        <v>0.35627416245765803</v>
      </c>
      <c r="AF169" s="2">
        <f t="shared" si="72"/>
        <v>0.35627416245765803</v>
      </c>
      <c r="AG169" s="2">
        <f t="shared" si="72"/>
        <v>0.35627416245765803</v>
      </c>
      <c r="AH169" s="2">
        <f t="shared" si="72"/>
        <v>0.35627416245765803</v>
      </c>
      <c r="AI169" s="2">
        <f t="shared" si="72"/>
        <v>0.35627416245765803</v>
      </c>
      <c r="AJ169" s="2">
        <f t="shared" si="72"/>
        <v>0.35627416245765803</v>
      </c>
      <c r="AK169" s="2">
        <f t="shared" si="72"/>
        <v>0.35627416245765803</v>
      </c>
      <c r="AL169" s="2">
        <f t="shared" si="72"/>
        <v>0.35627416245765803</v>
      </c>
      <c r="AM169" s="2">
        <f t="shared" si="72"/>
        <v>0.35627416245765803</v>
      </c>
      <c r="AN169" s="2">
        <f t="shared" si="72"/>
        <v>0.35627416245765803</v>
      </c>
      <c r="AO169" s="2">
        <f t="shared" si="72"/>
        <v>0.35627416245765803</v>
      </c>
      <c r="AP169" s="2">
        <f t="shared" si="72"/>
        <v>0</v>
      </c>
      <c r="AQ169" s="57">
        <f t="shared" si="72"/>
        <v>0</v>
      </c>
      <c r="AR169" s="2">
        <f t="shared" si="72"/>
        <v>0</v>
      </c>
      <c r="AS169" s="2">
        <f t="shared" si="73"/>
        <v>0</v>
      </c>
      <c r="AT169" s="2">
        <f t="shared" si="73"/>
        <v>0</v>
      </c>
      <c r="AU169" s="2">
        <f t="shared" si="73"/>
        <v>0</v>
      </c>
      <c r="AV169" s="2">
        <f t="shared" si="73"/>
        <v>0</v>
      </c>
      <c r="AW169" s="2"/>
    </row>
    <row r="170" spans="5:49" ht="15" outlineLevel="1">
      <c r="E170" s="44">
        <f t="shared" si="66"/>
        <v>38442</v>
      </c>
      <c r="G170" s="2" t="s">
        <v>101</v>
      </c>
      <c r="I170" s="2">
        <f t="shared" si="70"/>
        <v>2.5474053700972412</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0.16982702467314942</v>
      </c>
      <c r="AB170" s="2">
        <f t="shared" si="69"/>
        <v>0.16982702467314942</v>
      </c>
      <c r="AC170" s="2">
        <f t="shared" si="72"/>
        <v>0.16982702467314942</v>
      </c>
      <c r="AD170" s="2">
        <f t="shared" si="72"/>
        <v>0.16982702467314942</v>
      </c>
      <c r="AE170" s="2">
        <f t="shared" si="72"/>
        <v>0.16982702467314942</v>
      </c>
      <c r="AF170" s="2">
        <f t="shared" si="72"/>
        <v>0.16982702467314942</v>
      </c>
      <c r="AG170" s="2">
        <f t="shared" si="72"/>
        <v>0.16982702467314942</v>
      </c>
      <c r="AH170" s="2">
        <f t="shared" si="72"/>
        <v>0.16982702467314942</v>
      </c>
      <c r="AI170" s="2">
        <f t="shared" si="72"/>
        <v>0.16982702467314942</v>
      </c>
      <c r="AJ170" s="2">
        <f t="shared" si="72"/>
        <v>0.16982702467314942</v>
      </c>
      <c r="AK170" s="2">
        <f t="shared" si="72"/>
        <v>0.16982702467314942</v>
      </c>
      <c r="AL170" s="2">
        <f t="shared" si="72"/>
        <v>0.16982702467314942</v>
      </c>
      <c r="AM170" s="2">
        <f t="shared" si="72"/>
        <v>0.16982702467314942</v>
      </c>
      <c r="AN170" s="2">
        <f t="shared" si="72"/>
        <v>0.16982702467314942</v>
      </c>
      <c r="AO170" s="2">
        <f t="shared" si="72"/>
        <v>0.16982702467314942</v>
      </c>
      <c r="AP170" s="2">
        <f t="shared" si="72"/>
        <v>0</v>
      </c>
      <c r="AQ170" s="57">
        <f t="shared" si="72"/>
        <v>0</v>
      </c>
      <c r="AR170" s="2">
        <f t="shared" si="72"/>
        <v>0</v>
      </c>
      <c r="AS170" s="2">
        <f t="shared" si="73"/>
        <v>0</v>
      </c>
      <c r="AT170" s="2">
        <f t="shared" si="73"/>
        <v>0</v>
      </c>
      <c r="AU170" s="2">
        <f t="shared" si="73"/>
        <v>0</v>
      </c>
      <c r="AV170" s="2">
        <f t="shared" si="73"/>
        <v>0</v>
      </c>
      <c r="AW170" s="2"/>
    </row>
    <row r="171" spans="5:49" ht="15"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5"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5"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5"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5"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5"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5"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5"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5"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5"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5"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5"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5"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5"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5"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5"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5"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5"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5"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5"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5"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5"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5"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5">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5">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5">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5">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5"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5"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5"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5"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5">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11.928960598841693</v>
      </c>
      <c r="AL204" s="34">
        <f t="shared" si="85"/>
        <v>22.317601094923539</v>
      </c>
      <c r="AM204" s="34">
        <f t="shared" si="85"/>
        <v>30.522241025464794</v>
      </c>
      <c r="AN204" s="34">
        <f t="shared" si="85"/>
        <v>37.822248325557638</v>
      </c>
      <c r="AO204" s="34">
        <f t="shared" si="85"/>
        <v>44.549230768463325</v>
      </c>
      <c r="AP204" s="34">
        <f t="shared" si="85"/>
        <v>50.917819068156241</v>
      </c>
      <c r="AQ204" s="36">
        <f t="shared" si="85"/>
        <v>57.020350806015763</v>
      </c>
      <c r="AR204" s="34">
        <f t="shared" si="85"/>
        <v>62.679034069823651</v>
      </c>
      <c r="AS204" s="34">
        <f t="shared" si="85"/>
        <v>62.679034069823651</v>
      </c>
      <c r="AT204" s="34">
        <f t="shared" si="85"/>
        <v>62.679034069823651</v>
      </c>
      <c r="AU204" s="34">
        <f t="shared" si="85"/>
        <v>62.679034069823651</v>
      </c>
      <c r="AV204" s="34">
        <f t="shared" si="85"/>
        <v>62.679034069823651</v>
      </c>
    </row>
    <row r="205" spans="1:49">
      <c r="AQ205" s="220"/>
    </row>
    <row r="206" spans="1:49" ht="15">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5"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11.928960598841693</v>
      </c>
      <c r="AL208" s="2">
        <f t="shared" si="86"/>
        <v>22.317601094923539</v>
      </c>
      <c r="AM208" s="2">
        <f t="shared" si="86"/>
        <v>30.522241025464794</v>
      </c>
      <c r="AN208" s="2">
        <f t="shared" si="86"/>
        <v>37.822248325557638</v>
      </c>
      <c r="AO208" s="2">
        <f t="shared" si="86"/>
        <v>44.549230768463325</v>
      </c>
      <c r="AP208" s="2">
        <f t="shared" si="86"/>
        <v>50.917819068156241</v>
      </c>
      <c r="AQ208" s="57">
        <f t="shared" si="86"/>
        <v>57.020350806015763</v>
      </c>
      <c r="AR208" s="2">
        <f t="shared" si="86"/>
        <v>62.679034069823651</v>
      </c>
      <c r="AS208" s="2">
        <f t="shared" si="86"/>
        <v>62.679034069823651</v>
      </c>
      <c r="AT208" s="2">
        <f t="shared" si="86"/>
        <v>62.679034069823651</v>
      </c>
      <c r="AU208" s="2">
        <f t="shared" si="86"/>
        <v>62.679034069823651</v>
      </c>
      <c r="AV208" s="2">
        <f t="shared" si="86"/>
        <v>62.679034069823651</v>
      </c>
    </row>
    <row r="209" spans="5:49" outlineLevel="1">
      <c r="AQ209" s="220"/>
    </row>
    <row r="210" spans="5:49" ht="15"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5"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5"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5"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5"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5"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5"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5"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5"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5"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5"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5"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5"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5"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5"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5"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5"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5"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5"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5"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5"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5"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5"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5"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5"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5" outlineLevel="1">
      <c r="E235" s="44">
        <f>INDEX($K$4:$AV$4,,COUNT(E$209:E234)+1)</f>
        <v>42460</v>
      </c>
      <c r="G235" s="2" t="s">
        <v>101</v>
      </c>
      <c r="I235" s="2" cm="1">
        <f t="array" ref="I235">INDEX($K$25:$AV$25,,MATCH(E235,$K$4:$AV$4,0))</f>
        <v>275.85721384821414</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11.928960598841693</v>
      </c>
      <c r="AL235" s="2">
        <f>IF(AK$4=$E235, $I235*AK$202,0) + IF(AK$4&gt;$E235,MIN(AK235,$I235-SUM($J235:AK235)))</f>
        <v>11.928960598841693</v>
      </c>
      <c r="AM235" s="2">
        <f>IF(AL$4=$E235, $I235*AL$202,0) + IF(AL$4&gt;$E235,MIN(AL235,$I235-SUM($J235:AL235)))</f>
        <v>11.928960598841693</v>
      </c>
      <c r="AN235" s="2">
        <f>IF(AM$4=$E235, $I235*AM$202,0) + IF(AM$4&gt;$E235,MIN(AM235,$I235-SUM($J235:AM235)))</f>
        <v>11.928960598841693</v>
      </c>
      <c r="AO235" s="2">
        <f>IF(AN$4=$E235, $I235*AN$202,0) + IF(AN$4&gt;$E235,MIN(AN235,$I235-SUM($J235:AN235)))</f>
        <v>11.928960598841693</v>
      </c>
      <c r="AP235" s="2">
        <f>IF(AO$4=$E235, $I235*AO$202,0) + IF(AO$4&gt;$E235,MIN(AO235,$I235-SUM($J235:AO235)))</f>
        <v>11.928960598841693</v>
      </c>
      <c r="AQ235" s="57">
        <f>IF(AP$4=$E235, $I235*AP$202,0) + IF(AP$4&gt;$E235,MIN(AP235,$I235-SUM($J235:AP235)))</f>
        <v>11.928960598841693</v>
      </c>
      <c r="AR235" s="2">
        <f>IF(AQ$4=$E235, $I235*AQ$202,0) + IF(AQ$4&gt;$E235,MIN(AQ235,$I235-SUM($J235:AQ235)))</f>
        <v>11.928960598841693</v>
      </c>
      <c r="AS235" s="2">
        <f>IF(AR$4=$E235, $I235*AR$202,0) + IF(AR$4&gt;$E235,MIN(AR235,$I235-SUM($J235:AR235)))</f>
        <v>11.928960598841693</v>
      </c>
      <c r="AT235" s="2">
        <f>IF(AS$4=$E235, $I235*AS$202,0) + IF(AS$4&gt;$E235,MIN(AS235,$I235-SUM($J235:AS235)))</f>
        <v>11.928960598841693</v>
      </c>
      <c r="AU235" s="2">
        <f>IF(AT$4=$E235, $I235*AT$202,0) + IF(AT$4&gt;$E235,MIN(AT235,$I235-SUM($J235:AT235)))</f>
        <v>11.928960598841693</v>
      </c>
      <c r="AV235" s="2">
        <f>IF(AU$4=$E235, $I235*AU$202,0) + IF(AU$4&gt;$E235,MIN(AU235,$I235-SUM($J235:AU235)))</f>
        <v>11.928960598841693</v>
      </c>
      <c r="AW235" s="2"/>
    </row>
    <row r="236" spans="5:49" ht="15" outlineLevel="1">
      <c r="E236" s="44">
        <f>INDEX($K$4:$AV$4,,COUNT(E$209:E235)+1)</f>
        <v>42825</v>
      </c>
      <c r="G236" s="2" t="s">
        <v>101</v>
      </c>
      <c r="I236" s="2" cm="1">
        <f t="array" ref="I236">INDEX($K$25:$AV$25,,MATCH(E236,$K$4:$AV$4,0))</f>
        <v>272.70181302214843</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10.388640496081846</v>
      </c>
      <c r="AM236" s="2">
        <f>IF(AL$4=$E236, $I236*AL$202,0) + IF(AL$4&gt;$E236,MIN(AL236,$I236-SUM($J236:AL236)))</f>
        <v>10.388640496081846</v>
      </c>
      <c r="AN236" s="2">
        <f>IF(AM$4=$E236, $I236*AM$202,0) + IF(AM$4&gt;$E236,MIN(AM236,$I236-SUM($J236:AM236)))</f>
        <v>10.388640496081846</v>
      </c>
      <c r="AO236" s="2">
        <f>IF(AN$4=$E236, $I236*AN$202,0) + IF(AN$4&gt;$E236,MIN(AN236,$I236-SUM($J236:AN236)))</f>
        <v>10.388640496081846</v>
      </c>
      <c r="AP236" s="2">
        <f>IF(AO$4=$E236, $I236*AO$202,0) + IF(AO$4&gt;$E236,MIN(AO236,$I236-SUM($J236:AO236)))</f>
        <v>10.388640496081846</v>
      </c>
      <c r="AQ236" s="57">
        <f>IF(AP$4=$E236, $I236*AP$202,0) + IF(AP$4&gt;$E236,MIN(AP236,$I236-SUM($J236:AP236)))</f>
        <v>10.388640496081846</v>
      </c>
      <c r="AR236" s="2">
        <f>IF(AQ$4=$E236, $I236*AQ$202,0) + IF(AQ$4&gt;$E236,MIN(AQ236,$I236-SUM($J236:AQ236)))</f>
        <v>10.388640496081846</v>
      </c>
      <c r="AS236" s="2">
        <f>IF(AR$4=$E236, $I236*AR$202,0) + IF(AR$4&gt;$E236,MIN(AR236,$I236-SUM($J236:AR236)))</f>
        <v>10.388640496081846</v>
      </c>
      <c r="AT236" s="2">
        <f>IF(AS$4=$E236, $I236*AS$202,0) + IF(AS$4&gt;$E236,MIN(AS236,$I236-SUM($J236:AS236)))</f>
        <v>10.388640496081846</v>
      </c>
      <c r="AU236" s="2">
        <f>IF(AT$4=$E236, $I236*AT$202,0) + IF(AT$4&gt;$E236,MIN(AT236,$I236-SUM($J236:AT236)))</f>
        <v>10.388640496081846</v>
      </c>
      <c r="AV236" s="2">
        <f>IF(AU$4=$E236, $I236*AU$202,0) + IF(AU$4&gt;$E236,MIN(AU236,$I236-SUM($J236:AU236)))</f>
        <v>10.388640496081846</v>
      </c>
      <c r="AW236" s="2"/>
    </row>
    <row r="237" spans="5:49" ht="15" outlineLevel="1">
      <c r="E237" s="44">
        <f>INDEX($K$4:$AV$4,,COUNT(E$209:E236)+1)</f>
        <v>43190</v>
      </c>
      <c r="G237" s="2" t="s">
        <v>101</v>
      </c>
      <c r="I237" s="2" cm="1">
        <f t="array" ref="I237">INDEX($K$25:$AV$25,,MATCH(E237,$K$4:$AV$4,0))</f>
        <v>241.01129795964931</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8.2046399305412532</v>
      </c>
      <c r="AN237" s="2">
        <f>IF(AM$4=$E237, $I237*AM$202,0) + IF(AM$4&gt;$E237,MIN(AM237,$I237-SUM($J237:AM237)))</f>
        <v>8.2046399305412532</v>
      </c>
      <c r="AO237" s="2">
        <f>IF(AN$4=$E237, $I237*AN$202,0) + IF(AN$4&gt;$E237,MIN(AN237,$I237-SUM($J237:AN237)))</f>
        <v>8.2046399305412532</v>
      </c>
      <c r="AP237" s="2">
        <f>IF(AO$4=$E237, $I237*AO$202,0) + IF(AO$4&gt;$E237,MIN(AO237,$I237-SUM($J237:AO237)))</f>
        <v>8.2046399305412532</v>
      </c>
      <c r="AQ237" s="57">
        <f>IF(AP$4=$E237, $I237*AP$202,0) + IF(AP$4&gt;$E237,MIN(AP237,$I237-SUM($J237:AP237)))</f>
        <v>8.2046399305412532</v>
      </c>
      <c r="AR237" s="2">
        <f>IF(AQ$4=$E237, $I237*AQ$202,0) + IF(AQ$4&gt;$E237,MIN(AQ237,$I237-SUM($J237:AQ237)))</f>
        <v>8.2046399305412532</v>
      </c>
      <c r="AS237" s="2">
        <f>IF(AR$4=$E237, $I237*AR$202,0) + IF(AR$4&gt;$E237,MIN(AR237,$I237-SUM($J237:AR237)))</f>
        <v>8.2046399305412532</v>
      </c>
      <c r="AT237" s="2">
        <f>IF(AS$4=$E237, $I237*AS$202,0) + IF(AS$4&gt;$E237,MIN(AS237,$I237-SUM($J237:AS237)))</f>
        <v>8.2046399305412532</v>
      </c>
      <c r="AU237" s="2">
        <f>IF(AT$4=$E237, $I237*AT$202,0) + IF(AT$4&gt;$E237,MIN(AT237,$I237-SUM($J237:AT237)))</f>
        <v>8.2046399305412532</v>
      </c>
      <c r="AV237" s="2">
        <f>IF(AU$4=$E237, $I237*AU$202,0) + IF(AU$4&gt;$E237,MIN(AU237,$I237-SUM($J237:AU237)))</f>
        <v>8.2046399305412532</v>
      </c>
      <c r="AW237" s="2"/>
    </row>
    <row r="238" spans="5:49" ht="15" outlineLevel="1">
      <c r="E238" s="44">
        <f>INDEX($K$4:$AV$4,,COUNT(E$209:E237)+1)</f>
        <v>43555</v>
      </c>
      <c r="G238" s="2" t="s">
        <v>101</v>
      </c>
      <c r="I238" s="2" cm="1">
        <f t="array" ref="I238">INDEX($K$25:$AV$25,,MATCH(E238,$K$4:$AV$4,0))</f>
        <v>237.25023725301742</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7.3000073000928438</v>
      </c>
      <c r="AO238" s="2">
        <f>IF(AN$4=$E238, $I238*AN$202,0) + IF(AN$4&gt;$E238,MIN(AN238,$I238-SUM($J238:AN238)))</f>
        <v>7.3000073000928438</v>
      </c>
      <c r="AP238" s="2">
        <f>IF(AO$4=$E238, $I238*AO$202,0) + IF(AO$4&gt;$E238,MIN(AO238,$I238-SUM($J238:AO238)))</f>
        <v>7.3000073000928438</v>
      </c>
      <c r="AQ238" s="57">
        <f>IF(AP$4=$E238, $I238*AP$202,0) + IF(AP$4&gt;$E238,MIN(AP238,$I238-SUM($J238:AP238)))</f>
        <v>7.3000073000928438</v>
      </c>
      <c r="AR238" s="2">
        <f>IF(AQ$4=$E238, $I238*AQ$202,0) + IF(AQ$4&gt;$E238,MIN(AQ238,$I238-SUM($J238:AQ238)))</f>
        <v>7.3000073000928438</v>
      </c>
      <c r="AS238" s="2">
        <f>IF(AR$4=$E238, $I238*AR$202,0) + IF(AR$4&gt;$E238,MIN(AR238,$I238-SUM($J238:AR238)))</f>
        <v>7.3000073000928438</v>
      </c>
      <c r="AT238" s="2">
        <f>IF(AS$4=$E238, $I238*AS$202,0) + IF(AS$4&gt;$E238,MIN(AS238,$I238-SUM($J238:AS238)))</f>
        <v>7.3000073000928438</v>
      </c>
      <c r="AU238" s="2">
        <f>IF(AT$4=$E238, $I238*AT$202,0) + IF(AT$4&gt;$E238,MIN(AT238,$I238-SUM($J238:AT238)))</f>
        <v>7.3000073000928438</v>
      </c>
      <c r="AV238" s="2">
        <f>IF(AU$4=$E238, $I238*AU$202,0) + IF(AU$4&gt;$E238,MIN(AU238,$I238-SUM($J238:AU238)))</f>
        <v>7.3000073000928438</v>
      </c>
      <c r="AW238" s="2"/>
    </row>
    <row r="239" spans="5:49" ht="15" outlineLevel="1">
      <c r="E239" s="44">
        <f>INDEX($K$4:$AV$4,,COUNT(E$209:E238)+1)</f>
        <v>43921</v>
      </c>
      <c r="G239" s="2" t="s">
        <v>101</v>
      </c>
      <c r="I239" s="2" cm="1">
        <f t="array" ref="I239">INDEX($K$25:$AV$25,,MATCH(E239,$K$4:$AV$4,0))</f>
        <v>239.64874952851514</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6.7269824429056886</v>
      </c>
      <c r="AP239" s="2">
        <f>IF(AO$4=$E239, $I239*AO$202,0) + IF(AO$4&gt;$E239,MIN(AO239,$I239-SUM($J239:AO239)))</f>
        <v>6.7269824429056886</v>
      </c>
      <c r="AQ239" s="57">
        <f>IF(AP$4=$E239, $I239*AP$202,0) + IF(AP$4&gt;$E239,MIN(AP239,$I239-SUM($J239:AP239)))</f>
        <v>6.7269824429056886</v>
      </c>
      <c r="AR239" s="2">
        <f>IF(AQ$4=$E239, $I239*AQ$202,0) + IF(AQ$4&gt;$E239,MIN(AQ239,$I239-SUM($J239:AQ239)))</f>
        <v>6.7269824429056886</v>
      </c>
      <c r="AS239" s="2">
        <f>IF(AR$4=$E239, $I239*AR$202,0) + IF(AR$4&gt;$E239,MIN(AR239,$I239-SUM($J239:AR239)))</f>
        <v>6.7269824429056886</v>
      </c>
      <c r="AT239" s="2">
        <f>IF(AS$4=$E239, $I239*AS$202,0) + IF(AS$4&gt;$E239,MIN(AS239,$I239-SUM($J239:AS239)))</f>
        <v>6.7269824429056886</v>
      </c>
      <c r="AU239" s="2">
        <f>IF(AT$4=$E239, $I239*AT$202,0) + IF(AT$4&gt;$E239,MIN(AT239,$I239-SUM($J239:AT239)))</f>
        <v>6.7269824429056886</v>
      </c>
      <c r="AV239" s="2">
        <f>IF(AU$4=$E239, $I239*AU$202,0) + IF(AU$4&gt;$E239,MIN(AU239,$I239-SUM($J239:AU239)))</f>
        <v>6.7269824429056886</v>
      </c>
      <c r="AW239" s="2"/>
    </row>
    <row r="240" spans="5:49" ht="15" outlineLevel="1">
      <c r="E240" s="44">
        <f>INDEX($K$4:$AV$4,,COUNT(E$209:E239)+1)</f>
        <v>44286</v>
      </c>
      <c r="G240" s="2" t="s">
        <v>101</v>
      </c>
      <c r="I240" s="2" cm="1">
        <f t="array" ref="I240">INDEX($K$25:$AV$25,,MATCH(E240,$K$4:$AV$4,0))</f>
        <v>246.7827966131006</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6.3685882996929184</v>
      </c>
      <c r="AQ240" s="57">
        <f>IF(AP$4=$E240, $I240*AP$202,0) + IF(AP$4&gt;$E240,MIN(AP240,$I240-SUM($J240:AP240)))</f>
        <v>6.3685882996929184</v>
      </c>
      <c r="AR240" s="2">
        <f>IF(AQ$4=$E240, $I240*AQ$202,0) + IF(AQ$4&gt;$E240,MIN(AQ240,$I240-SUM($J240:AQ240)))</f>
        <v>6.3685882996929184</v>
      </c>
      <c r="AS240" s="2">
        <f>IF(AR$4=$E240, $I240*AR$202,0) + IF(AR$4&gt;$E240,MIN(AR240,$I240-SUM($J240:AR240)))</f>
        <v>6.3685882996929184</v>
      </c>
      <c r="AT240" s="2">
        <f>IF(AS$4=$E240, $I240*AS$202,0) + IF(AS$4&gt;$E240,MIN(AS240,$I240-SUM($J240:AS240)))</f>
        <v>6.3685882996929184</v>
      </c>
      <c r="AU240" s="2">
        <f>IF(AT$4=$E240, $I240*AT$202,0) + IF(AT$4&gt;$E240,MIN(AT240,$I240-SUM($J240:AT240)))</f>
        <v>6.3685882996929184</v>
      </c>
      <c r="AV240" s="2">
        <f>IF(AU$4=$E240, $I240*AU$202,0) + IF(AU$4&gt;$E240,MIN(AU240,$I240-SUM($J240:AU240)))</f>
        <v>6.3685882996929184</v>
      </c>
      <c r="AW240" s="2"/>
    </row>
    <row r="241" spans="1:49" ht="15" outlineLevel="1">
      <c r="E241" s="44">
        <f>INDEX($K$4:$AV$4,,COUNT(E$209:E240)+1)</f>
        <v>44651</v>
      </c>
      <c r="G241" s="2" t="s">
        <v>101</v>
      </c>
      <c r="I241" s="2" cm="1">
        <f t="array" ref="I241">INDEX($K$25:$AV$25,,MATCH(E241,$K$4:$AV$4,0))</f>
        <v>255.54351652286735</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6.1025317378595192</v>
      </c>
      <c r="AR241" s="2">
        <f>IF(AQ$4=$E241, $I241*AQ$202,0) + IF(AQ$4&gt;$E241,MIN(AQ241,$I241-SUM($J241:AQ241)))</f>
        <v>6.1025317378595192</v>
      </c>
      <c r="AS241" s="2">
        <f>IF(AR$4=$E241, $I241*AR$202,0) + IF(AR$4&gt;$E241,MIN(AR241,$I241-SUM($J241:AR241)))</f>
        <v>6.1025317378595192</v>
      </c>
      <c r="AT241" s="2">
        <f>IF(AS$4=$E241, $I241*AS$202,0) + IF(AS$4&gt;$E241,MIN(AS241,$I241-SUM($J241:AS241)))</f>
        <v>6.1025317378595192</v>
      </c>
      <c r="AU241" s="2">
        <f>IF(AT$4=$E241, $I241*AT$202,0) + IF(AT$4&gt;$E241,MIN(AT241,$I241-SUM($J241:AT241)))</f>
        <v>6.1025317378595192</v>
      </c>
      <c r="AV241" s="2">
        <f>IF(AU$4=$E241, $I241*AU$202,0) + IF(AU$4&gt;$E241,MIN(AU241,$I241-SUM($J241:AU241)))</f>
        <v>6.1025317378595192</v>
      </c>
      <c r="AW241" s="2"/>
    </row>
    <row r="242" spans="1:49" ht="15" outlineLevel="1">
      <c r="E242" s="44">
        <f>INDEX($K$4:$AV$4,,COUNT(E$209:E241)+1)</f>
        <v>45016</v>
      </c>
      <c r="G242" s="2" t="s">
        <v>101</v>
      </c>
      <c r="I242" s="2" cm="1">
        <f t="array" ref="I242">INDEX($K$25:$AV$25,,MATCH(E242,$K$4:$AV$4,0))</f>
        <v>254.64074687135479</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5.6586832638078848</v>
      </c>
      <c r="AS242" s="2">
        <f>IF(AR$4=$E242, $I242*AR$202,0) + IF(AR$4&gt;$E242,MIN(AR242,$I242-SUM($J242:AR242)))</f>
        <v>5.6586832638078848</v>
      </c>
      <c r="AT242" s="2">
        <f>IF(AS$4=$E242, $I242*AS$202,0) + IF(AS$4&gt;$E242,MIN(AS242,$I242-SUM($J242:AS242)))</f>
        <v>5.6586832638078848</v>
      </c>
      <c r="AU242" s="2">
        <f>IF(AT$4=$E242, $I242*AT$202,0) + IF(AT$4&gt;$E242,MIN(AT242,$I242-SUM($J242:AT242)))</f>
        <v>5.6586832638078848</v>
      </c>
      <c r="AV242" s="2">
        <f>IF(AU$4=$E242, $I242*AU$202,0) + IF(AU$4&gt;$E242,MIN(AU242,$I242-SUM($J242:AU242)))</f>
        <v>5.6586832638078848</v>
      </c>
      <c r="AW242" s="2"/>
    </row>
    <row r="243" spans="1:49" ht="15"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5"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5"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5"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5"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5" outlineLevel="1">
      <c r="E248" s="44"/>
      <c r="I248" s="2"/>
      <c r="AQ248" s="220"/>
    </row>
    <row r="249" spans="1:49">
      <c r="AQ249" s="220"/>
    </row>
    <row r="250" spans="1:49" ht="15">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5"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5"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5"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5">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5.6119472685004981</v>
      </c>
      <c r="AT255" s="2">
        <f t="shared" si="88"/>
        <v>11.418887258907612</v>
      </c>
      <c r="AU255" s="2">
        <f t="shared" si="88"/>
        <v>17.344009993902276</v>
      </c>
      <c r="AV255" s="2">
        <f t="shared" si="88"/>
        <v>23.232506735336962</v>
      </c>
    </row>
    <row r="256" spans="1:49">
      <c r="AQ256" s="220"/>
    </row>
    <row r="257" spans="1:49" ht="15">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5" outlineLevel="1">
      <c r="E258" s="34"/>
      <c r="I258" s="2"/>
      <c r="AQ258" s="220"/>
    </row>
    <row r="259" spans="1:49" ht="15"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5" outlineLevel="1">
      <c r="E260" s="34"/>
      <c r="I260" s="2"/>
      <c r="AQ260" s="220"/>
    </row>
    <row r="261" spans="1:49" ht="15"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5.6119472685004981</v>
      </c>
      <c r="AT261" s="2">
        <f t="shared" si="90"/>
        <v>11.418887258907612</v>
      </c>
      <c r="AU261" s="2">
        <f t="shared" si="90"/>
        <v>17.344009993902276</v>
      </c>
      <c r="AV261" s="2">
        <f t="shared" si="90"/>
        <v>23.232506735336962</v>
      </c>
    </row>
    <row r="262" spans="1:49" ht="15" outlineLevel="1">
      <c r="K262" s="2"/>
      <c r="AQ262" s="220"/>
    </row>
    <row r="263" spans="1:49" ht="15"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5"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5"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5"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5"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5"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5"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5"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5"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5"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5"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5"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5"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5"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5"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5"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5"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5"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5"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5"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5"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5"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5"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5"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5"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5"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5"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5"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5"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5"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5"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5"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5"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5" outlineLevel="1">
      <c r="D296" s="45"/>
      <c r="E296" s="44">
        <f>INDEX($K$4:$AV$4,,COUNT(E$262:E295)+1)</f>
        <v>45382</v>
      </c>
      <c r="G296" s="2" t="s">
        <v>101</v>
      </c>
      <c r="I296" s="2" cm="1">
        <f t="array" ref="I296">INDEX($K$26:$AV$26,,MATCH(E296,$K$4:$AV$4,0))</f>
        <v>252.53762708252239</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5.6119472685004981</v>
      </c>
      <c r="AT296" s="2">
        <f>IF(AS$4=$E296, $I296*AS$259,0) + IF(AS$4&gt;$E296,MIN(AS296,$I296-SUM($J296:AS296)))</f>
        <v>5.6119472685004981</v>
      </c>
      <c r="AU296" s="2">
        <f>IF(AT$4=$E296, $I296*AT$259,0) + IF(AT$4&gt;$E296,MIN(AT296,$I296-SUM($J296:AT296)))</f>
        <v>5.6119472685004981</v>
      </c>
      <c r="AV296" s="2">
        <f>IF(AU$4=$E296, $I296*AU$259,0) + IF(AU$4&gt;$E296,MIN(AU296,$I296-SUM($J296:AU296)))</f>
        <v>5.6119472685004981</v>
      </c>
      <c r="AW296" s="2"/>
    </row>
    <row r="297" spans="1:49" ht="15" outlineLevel="1">
      <c r="D297" s="45"/>
      <c r="E297" s="44">
        <f>INDEX($K$4:$AV$4,,COUNT(E$262:E296)+1)</f>
        <v>45747</v>
      </c>
      <c r="G297" s="2" t="s">
        <v>101</v>
      </c>
      <c r="I297" s="2" cm="1">
        <f t="array" ref="I297">INDEX($K$26:$AV$26,,MATCH(E297,$K$4:$AV$4,0))</f>
        <v>261.3122995683201</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5.8069399904071135</v>
      </c>
      <c r="AU297" s="2">
        <f>IF(AT$4=$E297, $I297*AT$259,0) + IF(AT$4&gt;$E297,MIN(AT297,$I297-SUM($J297:AT297)))</f>
        <v>5.8069399904071135</v>
      </c>
      <c r="AV297" s="2">
        <f>IF(AU$4=$E297, $I297*AU$259,0) + IF(AU$4&gt;$E297,MIN(AU297,$I297-SUM($J297:AU297)))</f>
        <v>5.8069399904071135</v>
      </c>
      <c r="AW297" s="2"/>
    </row>
    <row r="298" spans="1:49" ht="15" outlineLevel="1">
      <c r="D298" s="45"/>
      <c r="E298" s="44">
        <f>INDEX($K$4:$AV$4,,COUNT(E$262:E297)+1)</f>
        <v>46112</v>
      </c>
      <c r="G298" s="2" t="s">
        <v>101</v>
      </c>
      <c r="I298" s="2" cm="1">
        <f t="array" ref="I298">INDEX($K$26:$AV$26,,MATCH(E298,$K$4:$AV$4,0))</f>
        <v>266.63052307475994</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5.9251227349946651</v>
      </c>
      <c r="AV298" s="2">
        <f>IF(AU$4=$E298, $I298*AU$259,0) + IF(AU$4&gt;$E298,MIN(AU298,$I298-SUM($J298:AU298)))</f>
        <v>5.9251227349946651</v>
      </c>
      <c r="AW298" s="2"/>
    </row>
    <row r="299" spans="1:49" ht="15" outlineLevel="1">
      <c r="D299" s="45"/>
      <c r="E299" s="44">
        <f>INDEX($K$4:$AV$4,,COUNT(E$262:E298)+1)</f>
        <v>46477</v>
      </c>
      <c r="G299" s="2" t="s">
        <v>101</v>
      </c>
      <c r="I299" s="2" cm="1">
        <f t="array" ref="I299">INDEX($K$26:$AV$26,,MATCH(E299,$K$4:$AV$4,0))</f>
        <v>264.98235336456077</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5.8884967414346843</v>
      </c>
      <c r="AW299" s="2"/>
    </row>
    <row r="300" spans="1:49" ht="15" outlineLevel="1">
      <c r="D300" s="45"/>
      <c r="E300" s="44">
        <f>INDEX($K$4:$AV$4,,COUNT(E$262:E299)+1)</f>
        <v>46843</v>
      </c>
      <c r="G300" s="2" t="s">
        <v>101</v>
      </c>
      <c r="I300" s="2" cm="1">
        <f t="array" ref="I300">INDEX($K$26:$AV$26,,MATCH(E300,$K$4:$AV$4,0))</f>
        <v>249.01279716218068</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5">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5">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5">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5">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431" priority="18" operator="equal">
      <formula>FALSE()</formula>
    </cfRule>
  </conditionalFormatting>
  <conditionalFormatting sqref="K252:AV255">
    <cfRule type="cellIs" dxfId="430" priority="7" operator="equal">
      <formula>FALSE()</formula>
    </cfRule>
  </conditionalFormatting>
  <conditionalFormatting sqref="K259:AV259">
    <cfRule type="cellIs" dxfId="429" priority="1" operator="equal">
      <formula>FALSE()</formula>
    </cfRule>
  </conditionalFormatting>
  <conditionalFormatting sqref="AM2">
    <cfRule type="expression" dxfId="428" priority="2">
      <formula>mac_sensitivity=2</formula>
    </cfRule>
    <cfRule type="expression" dxfId="427" priority="3">
      <formula>mac_sensitivity=1</formula>
    </cfRule>
  </conditionalFormatting>
  <conditionalFormatting sqref="AM3">
    <cfRule type="expression" dxfId="426"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29"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10" bestFit="1" customWidth="1"/>
    <col min="37" max="48" width="9.625" customWidth="1"/>
    <col min="49" max="49" width="3" customWidth="1"/>
    <col min="50" max="16384" width="9" hidden="1"/>
  </cols>
  <sheetData>
    <row r="1" spans="1:49" ht="19.5">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5">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5">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5">
      <c r="E12" s="47" t="s">
        <v>581</v>
      </c>
      <c r="G12" s="21" t="s">
        <v>246</v>
      </c>
      <c r="H12" s="48"/>
      <c r="AJ12" s="49"/>
      <c r="AK12" s="49"/>
      <c r="AL12" s="49"/>
      <c r="AM12" s="49"/>
      <c r="AN12" s="49"/>
      <c r="AO12" s="49"/>
      <c r="AP12" s="49"/>
      <c r="AQ12" s="214"/>
      <c r="AR12" s="49">
        <f>InputSummary!AR182</f>
        <v>3.9373577600000001E-2</v>
      </c>
      <c r="AS12" s="49">
        <f>InputSummary!AS182</f>
        <v>4.1010183200000001E-2</v>
      </c>
      <c r="AT12" s="49">
        <f>InputSummary!AT182</f>
        <v>4.05701584E-2</v>
      </c>
      <c r="AU12" s="49">
        <f>InputSummary!AU182</f>
        <v>4.1508818000000003E-2</v>
      </c>
      <c r="AV12" s="49">
        <f>InputSummary!AV182</f>
        <v>4.09487932E-2</v>
      </c>
      <c r="AW12" s="48"/>
    </row>
    <row r="13" spans="1:49" s="21" customFormat="1" ht="15">
      <c r="E13" s="41" t="s">
        <v>903</v>
      </c>
      <c r="G13" s="21" t="s">
        <v>96</v>
      </c>
      <c r="H13" s="48"/>
      <c r="AJ13" s="121"/>
      <c r="AK13" s="121"/>
      <c r="AL13" s="121"/>
      <c r="AM13" s="121"/>
      <c r="AN13" s="121"/>
      <c r="AO13" s="121"/>
      <c r="AP13" s="121"/>
      <c r="AQ13" s="231"/>
      <c r="AR13" s="121">
        <f t="shared" ref="AR13:AU13" si="0">1 / (1 + AR12)</f>
        <v>0.96211797331723903</v>
      </c>
      <c r="AS13" s="121">
        <f t="shared" si="0"/>
        <v>0.96060539669848632</v>
      </c>
      <c r="AT13" s="121">
        <f t="shared" si="0"/>
        <v>0.96101160688445897</v>
      </c>
      <c r="AU13" s="121">
        <f t="shared" si="0"/>
        <v>0.96014549537880145</v>
      </c>
      <c r="AV13" s="121">
        <f>1 / (1 + AV12)</f>
        <v>0.96066204844321046</v>
      </c>
      <c r="AW13" s="48"/>
    </row>
    <row r="14" spans="1:49" s="21" customFormat="1" ht="15">
      <c r="E14" s="41"/>
      <c r="H14" s="48"/>
      <c r="AJ14" s="13"/>
      <c r="AK14" s="13"/>
      <c r="AL14" s="13"/>
      <c r="AM14" s="13"/>
      <c r="AN14" s="13"/>
      <c r="AO14" s="13"/>
      <c r="AP14" s="13"/>
      <c r="AQ14" s="50"/>
      <c r="AR14" s="13"/>
      <c r="AS14" s="13"/>
      <c r="AT14" s="13"/>
      <c r="AU14" s="13"/>
      <c r="AV14" s="13"/>
      <c r="AW14" s="48"/>
    </row>
    <row r="15" spans="1:49" s="21" customFormat="1" ht="15">
      <c r="E15" s="41" t="s">
        <v>904</v>
      </c>
      <c r="G15" s="2" t="s">
        <v>101</v>
      </c>
      <c r="H15" s="48"/>
      <c r="AJ15" s="7"/>
      <c r="AK15" s="7"/>
      <c r="AL15" s="7"/>
      <c r="AM15" s="7"/>
      <c r="AN15" s="7"/>
      <c r="AO15" s="7"/>
      <c r="AP15" s="7"/>
      <c r="AQ15" s="65"/>
      <c r="AR15" s="7">
        <f t="shared" ref="AR15:AU15" si="1">AR46</f>
        <v>2758.5961585892233</v>
      </c>
      <c r="AS15" s="7">
        <f t="shared" si="1"/>
        <v>2828.8477326022303</v>
      </c>
      <c r="AT15" s="7">
        <f t="shared" si="1"/>
        <v>2904.9886802684309</v>
      </c>
      <c r="AU15" s="7">
        <f t="shared" si="1"/>
        <v>2981.7365897819773</v>
      </c>
      <c r="AV15" s="7">
        <f>AV46</f>
        <v>3045.2245604047721</v>
      </c>
      <c r="AW15" s="48"/>
    </row>
    <row r="16" spans="1:49" s="21" customFormat="1" ht="15">
      <c r="E16" s="41"/>
      <c r="G16" s="2"/>
      <c r="H16" s="48"/>
      <c r="AJ16" s="7"/>
      <c r="AK16" s="7"/>
      <c r="AL16" s="7"/>
      <c r="AM16" s="7"/>
      <c r="AN16" s="7"/>
      <c r="AO16" s="7"/>
      <c r="AP16" s="7"/>
      <c r="AQ16" s="65"/>
      <c r="AR16" s="7"/>
      <c r="AS16" s="7"/>
      <c r="AT16" s="7"/>
      <c r="AU16" s="7"/>
      <c r="AV16" s="7"/>
      <c r="AW16" s="48"/>
    </row>
    <row r="17" spans="1:49" s="21" customFormat="1" ht="15">
      <c r="E17" s="47" t="s">
        <v>905</v>
      </c>
      <c r="G17" s="2" t="s">
        <v>101</v>
      </c>
      <c r="H17" s="48"/>
      <c r="AJ17" s="461"/>
      <c r="AK17" s="461"/>
      <c r="AL17" s="461"/>
      <c r="AM17" s="461"/>
      <c r="AN17" s="461"/>
      <c r="AO17" s="461"/>
      <c r="AP17" s="461"/>
      <c r="AQ17" s="386"/>
      <c r="AR17" s="461">
        <f t="shared" ref="AR17:AU17" si="2">AR13 * AR15</f>
        <v>2654.0949453025842</v>
      </c>
      <c r="AS17" s="461">
        <f t="shared" si="2"/>
        <v>2717.4063983759788</v>
      </c>
      <c r="AT17" s="461">
        <f t="shared" si="2"/>
        <v>2791.7278396059287</v>
      </c>
      <c r="AU17" s="461">
        <f t="shared" si="2"/>
        <v>2862.9009550853148</v>
      </c>
      <c r="AV17" s="461">
        <f>AV13 * AV15</f>
        <v>2925.4316641680234</v>
      </c>
      <c r="AW17" s="48"/>
    </row>
    <row r="18" spans="1:49" s="21" customFormat="1" ht="15">
      <c r="E18" s="41"/>
      <c r="H18" s="48"/>
      <c r="AJ18" s="8"/>
      <c r="AK18" s="8"/>
      <c r="AL18" s="8"/>
      <c r="AM18" s="8"/>
      <c r="AN18" s="8"/>
      <c r="AO18" s="8"/>
      <c r="AP18" s="8"/>
      <c r="AQ18" s="9"/>
      <c r="AR18" s="8"/>
      <c r="AS18" s="8"/>
      <c r="AT18" s="8"/>
      <c r="AU18" s="8"/>
      <c r="AV18" s="8"/>
      <c r="AW18" s="48"/>
    </row>
    <row r="19" spans="1:49" s="21" customFormat="1" ht="15">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5">
      <c r="E20" s="41" t="s">
        <v>907</v>
      </c>
      <c r="G20" s="2" t="s">
        <v>101</v>
      </c>
      <c r="H20" s="48"/>
      <c r="AJ20" s="7"/>
      <c r="AK20" s="7"/>
      <c r="AL20" s="7"/>
      <c r="AM20" s="7"/>
      <c r="AN20" s="7"/>
      <c r="AO20" s="7"/>
      <c r="AP20" s="7"/>
      <c r="AQ20" s="65"/>
      <c r="AR20" s="7">
        <f>AR43</f>
        <v>2698.1974956637241</v>
      </c>
      <c r="AS20" s="7">
        <f t="shared" ref="AS20:AV20" si="3">AS43</f>
        <v>2758.5961585892233</v>
      </c>
      <c r="AT20" s="7">
        <f t="shared" si="3"/>
        <v>2828.8477326022303</v>
      </c>
      <c r="AU20" s="7">
        <f t="shared" si="3"/>
        <v>2904.9886802684309</v>
      </c>
      <c r="AV20" s="7">
        <f t="shared" si="3"/>
        <v>2981.7365897819773</v>
      </c>
      <c r="AW20" s="48"/>
    </row>
    <row r="21" spans="1:49" s="21" customFormat="1" ht="15">
      <c r="E21" s="41" t="s">
        <v>905</v>
      </c>
      <c r="G21" s="2" t="s">
        <v>101</v>
      </c>
      <c r="H21" s="48"/>
      <c r="AJ21" s="7"/>
      <c r="AK21" s="7"/>
      <c r="AL21" s="7"/>
      <c r="AM21" s="7"/>
      <c r="AN21" s="7"/>
      <c r="AO21" s="7"/>
      <c r="AP21" s="7"/>
      <c r="AQ21" s="65"/>
      <c r="AR21" s="7">
        <f>AR17</f>
        <v>2654.0949453025842</v>
      </c>
      <c r="AS21" s="7">
        <f t="shared" ref="AS21:AV21" si="4">AS17</f>
        <v>2717.4063983759788</v>
      </c>
      <c r="AT21" s="7">
        <f t="shared" si="4"/>
        <v>2791.7278396059287</v>
      </c>
      <c r="AU21" s="7">
        <f t="shared" si="4"/>
        <v>2862.9009550853148</v>
      </c>
      <c r="AV21" s="7">
        <f t="shared" si="4"/>
        <v>2925.4316641680234</v>
      </c>
      <c r="AW21" s="48"/>
    </row>
    <row r="22" spans="1:49" s="21" customFormat="1" ht="15">
      <c r="E22" s="47"/>
      <c r="H22" s="48"/>
      <c r="AJ22" s="7"/>
      <c r="AK22" s="7"/>
      <c r="AL22" s="7"/>
      <c r="AM22" s="7"/>
      <c r="AN22" s="7"/>
      <c r="AO22" s="7"/>
      <c r="AP22" s="7"/>
      <c r="AQ22" s="65"/>
      <c r="AR22" s="7"/>
      <c r="AS22" s="7"/>
      <c r="AT22" s="7"/>
      <c r="AU22" s="7"/>
      <c r="AV22" s="7"/>
      <c r="AW22" s="48"/>
    </row>
    <row r="23" spans="1:49" s="21" customFormat="1" ht="15">
      <c r="E23" s="47" t="s">
        <v>906</v>
      </c>
      <c r="G23" s="2" t="s">
        <v>101</v>
      </c>
      <c r="H23" s="48"/>
      <c r="AJ23" s="461"/>
      <c r="AK23" s="461"/>
      <c r="AL23" s="461"/>
      <c r="AM23" s="461"/>
      <c r="AN23" s="461"/>
      <c r="AO23" s="461"/>
      <c r="AP23" s="461"/>
      <c r="AQ23" s="386"/>
      <c r="AR23" s="461">
        <f t="shared" ref="AR23:AU23" si="5">AVERAGE(AR20:AR21)</f>
        <v>2676.1462204831541</v>
      </c>
      <c r="AS23" s="461">
        <f t="shared" si="5"/>
        <v>2738.0012784826013</v>
      </c>
      <c r="AT23" s="461">
        <f t="shared" si="5"/>
        <v>2810.2877861040797</v>
      </c>
      <c r="AU23" s="461">
        <f t="shared" si="5"/>
        <v>2883.9448176768728</v>
      </c>
      <c r="AV23" s="461">
        <f>AVERAGE(AV20:AV21)</f>
        <v>2953.5841269750003</v>
      </c>
      <c r="AW23" s="48"/>
    </row>
    <row r="24" spans="1:49" s="21" customFormat="1" ht="15">
      <c r="E24" s="47"/>
      <c r="H24" s="48"/>
      <c r="AJ24" s="8"/>
      <c r="AK24" s="8"/>
      <c r="AL24" s="8"/>
      <c r="AM24" s="8"/>
      <c r="AN24" s="8"/>
      <c r="AO24" s="8"/>
      <c r="AP24" s="8"/>
      <c r="AQ24" s="9"/>
      <c r="AR24" s="8"/>
      <c r="AS24" s="8"/>
      <c r="AT24" s="8"/>
      <c r="AU24" s="8"/>
      <c r="AV24" s="8"/>
      <c r="AW24" s="48"/>
    </row>
    <row r="25" spans="1:49" s="21" customFormat="1" ht="15">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5">
      <c r="E26" s="47"/>
      <c r="H26" s="48"/>
      <c r="AJ26" s="8"/>
      <c r="AK26" s="8"/>
      <c r="AL26" s="8"/>
      <c r="AM26" s="8"/>
      <c r="AN26" s="8"/>
      <c r="AO26" s="8"/>
      <c r="AP26" s="8"/>
      <c r="AQ26" s="9"/>
      <c r="AR26" s="8"/>
      <c r="AS26" s="8"/>
      <c r="AT26" s="8"/>
      <c r="AU26" s="8"/>
      <c r="AV26" s="8"/>
      <c r="AW26" s="48"/>
    </row>
    <row r="27" spans="1:49" s="21" customFormat="1" ht="15">
      <c r="E27" s="47" t="s">
        <v>906</v>
      </c>
      <c r="G27" s="2" t="s">
        <v>101</v>
      </c>
      <c r="H27" s="48"/>
      <c r="AJ27" s="7"/>
      <c r="AK27" s="7"/>
      <c r="AL27" s="7"/>
      <c r="AM27" s="7"/>
      <c r="AN27" s="7"/>
      <c r="AO27" s="7"/>
      <c r="AP27" s="7"/>
      <c r="AQ27" s="65"/>
      <c r="AR27" s="7">
        <f t="shared" ref="AR27:AU27" si="6">AR23</f>
        <v>2676.1462204831541</v>
      </c>
      <c r="AS27" s="7">
        <f t="shared" si="6"/>
        <v>2738.0012784826013</v>
      </c>
      <c r="AT27" s="7">
        <f t="shared" si="6"/>
        <v>2810.2877861040797</v>
      </c>
      <c r="AU27" s="7">
        <f t="shared" si="6"/>
        <v>2883.9448176768728</v>
      </c>
      <c r="AV27" s="7">
        <f>AV23</f>
        <v>2953.5841269750003</v>
      </c>
      <c r="AW27" s="48"/>
    </row>
    <row r="28" spans="1:49" s="21" customFormat="1" ht="15">
      <c r="E28" s="47" t="s">
        <v>581</v>
      </c>
      <c r="G28" s="21" t="s">
        <v>246</v>
      </c>
      <c r="H28" s="48"/>
      <c r="AJ28" s="185"/>
      <c r="AK28" s="185"/>
      <c r="AL28" s="185"/>
      <c r="AM28" s="185"/>
      <c r="AN28" s="185"/>
      <c r="AO28" s="185"/>
      <c r="AP28" s="185"/>
      <c r="AQ28" s="190"/>
      <c r="AR28" s="185">
        <f>AR12</f>
        <v>3.9373577600000001E-2</v>
      </c>
      <c r="AS28" s="185">
        <f>AS12</f>
        <v>4.1010183200000001E-2</v>
      </c>
      <c r="AT28" s="185">
        <f>AT12</f>
        <v>4.05701584E-2</v>
      </c>
      <c r="AU28" s="185">
        <f>AU12</f>
        <v>4.1508818000000003E-2</v>
      </c>
      <c r="AV28" s="185">
        <f>AV12</f>
        <v>4.09487932E-2</v>
      </c>
      <c r="AW28" s="48"/>
    </row>
    <row r="29" spans="1:49" s="21" customFormat="1" ht="15">
      <c r="E29" s="47"/>
      <c r="H29" s="48"/>
      <c r="AJ29" s="7"/>
      <c r="AK29" s="7"/>
      <c r="AL29" s="7"/>
      <c r="AM29" s="7"/>
      <c r="AN29" s="7"/>
      <c r="AO29" s="7"/>
      <c r="AP29" s="7"/>
      <c r="AQ29" s="65"/>
      <c r="AR29" s="7"/>
      <c r="AS29" s="7"/>
      <c r="AT29" s="7"/>
      <c r="AU29" s="7"/>
      <c r="AV29" s="7"/>
      <c r="AW29" s="48"/>
    </row>
    <row r="30" spans="1:49" s="21" customFormat="1" ht="15">
      <c r="E30" s="47" t="s">
        <v>899</v>
      </c>
      <c r="G30" s="2" t="s">
        <v>101</v>
      </c>
      <c r="H30" s="48"/>
      <c r="AJ30" s="538"/>
      <c r="AK30" s="538"/>
      <c r="AL30" s="538"/>
      <c r="AM30" s="538"/>
      <c r="AN30" s="538"/>
      <c r="AO30" s="538"/>
      <c r="AP30" s="538"/>
      <c r="AQ30" s="385"/>
      <c r="AR30" s="538">
        <f t="shared" ref="AR30:AU30" si="7">AR27 * AR28</f>
        <v>105.36945088114018</v>
      </c>
      <c r="AS30" s="538">
        <f t="shared" si="7"/>
        <v>112.28593403240571</v>
      </c>
      <c r="AT30" s="538">
        <f t="shared" si="7"/>
        <v>114.01382063182784</v>
      </c>
      <c r="AU30" s="538">
        <f t="shared" si="7"/>
        <v>119.7091405589925</v>
      </c>
      <c r="AV30" s="538">
        <f>AV27 * AV28</f>
        <v>120.94570561430183</v>
      </c>
      <c r="AW30" s="48"/>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5">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5">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5">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5">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5">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5">
      <c r="C38" s="55"/>
      <c r="E38" s="41"/>
      <c r="J38" s="42"/>
      <c r="K38" s="42"/>
      <c r="L38" s="42"/>
      <c r="M38" s="42"/>
      <c r="N38" s="42"/>
      <c r="O38" s="42"/>
      <c r="P38" s="42"/>
      <c r="Q38" s="42"/>
      <c r="R38" s="42"/>
      <c r="S38" s="42"/>
      <c r="T38" s="42"/>
      <c r="U38" s="42"/>
      <c r="V38" s="42"/>
      <c r="W38" s="42"/>
      <c r="X38" s="42"/>
      <c r="Y38" s="42"/>
      <c r="Z38" s="42"/>
      <c r="AQ38" s="57"/>
    </row>
    <row r="39" spans="2:48" s="2" customFormat="1" ht="15">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5">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5">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2319.1435301118718</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5">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5">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2319.1435301118718</v>
      </c>
      <c r="AK43" s="2">
        <f t="shared" si="9"/>
        <v>2394.2467207273471</v>
      </c>
      <c r="AL43" s="2">
        <f t="shared" si="9"/>
        <v>2459.6465910051797</v>
      </c>
      <c r="AM43" s="2">
        <f t="shared" si="9"/>
        <v>2488.7836461767583</v>
      </c>
      <c r="AN43" s="2">
        <f t="shared" si="9"/>
        <v>2512.9105288635492</v>
      </c>
      <c r="AO43" s="2">
        <f t="shared" si="9"/>
        <v>2538.8886735386882</v>
      </c>
      <c r="AP43" s="2">
        <f t="shared" si="9"/>
        <v>2571.9936504138677</v>
      </c>
      <c r="AQ43" s="57">
        <f t="shared" si="9"/>
        <v>2636.0689402443854</v>
      </c>
      <c r="AR43" s="2">
        <f t="shared" si="9"/>
        <v>2698.1974956637241</v>
      </c>
      <c r="AS43" s="2">
        <f t="shared" si="9"/>
        <v>2758.5961585892233</v>
      </c>
      <c r="AT43" s="2">
        <f t="shared" si="9"/>
        <v>2828.8477326022303</v>
      </c>
      <c r="AU43" s="2">
        <f t="shared" si="9"/>
        <v>2904.9886802684309</v>
      </c>
      <c r="AV43" s="2">
        <f t="shared" si="9"/>
        <v>2981.7365897819773</v>
      </c>
    </row>
    <row r="44" spans="2:48" s="2" customFormat="1" ht="15">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275.85721384821414</v>
      </c>
      <c r="AK44" s="30">
        <f t="shared" si="10"/>
        <v>272.70181302214843</v>
      </c>
      <c r="AL44" s="30">
        <f t="shared" si="10"/>
        <v>241.01129795964931</v>
      </c>
      <c r="AM44" s="30">
        <f t="shared" si="10"/>
        <v>237.25023725301742</v>
      </c>
      <c r="AN44" s="30">
        <f t="shared" si="10"/>
        <v>239.64874952851514</v>
      </c>
      <c r="AO44" s="30">
        <f t="shared" si="10"/>
        <v>246.7827966131006</v>
      </c>
      <c r="AP44" s="30">
        <f t="shared" si="10"/>
        <v>255.54351652286735</v>
      </c>
      <c r="AQ44" s="218">
        <f t="shared" si="10"/>
        <v>254.64074687135479</v>
      </c>
      <c r="AR44" s="30">
        <f t="shared" ref="AR44:AV44" si="11">AR57</f>
        <v>252.53762708252239</v>
      </c>
      <c r="AS44" s="30">
        <f t="shared" si="11"/>
        <v>261.3122995683201</v>
      </c>
      <c r="AT44" s="30">
        <f t="shared" si="11"/>
        <v>266.63052307475994</v>
      </c>
      <c r="AU44" s="30">
        <f t="shared" si="11"/>
        <v>264.98235336456077</v>
      </c>
      <c r="AV44" s="30">
        <f t="shared" si="11"/>
        <v>249.01279716218068</v>
      </c>
    </row>
    <row r="45" spans="2:48" s="2" customFormat="1" ht="15">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-200.75402323273869</v>
      </c>
      <c r="AK45" s="30">
        <f t="shared" si="12"/>
        <v>-207.3019427443158</v>
      </c>
      <c r="AL45" s="30">
        <f t="shared" si="12"/>
        <v>-211.87424278807043</v>
      </c>
      <c r="AM45" s="30">
        <f t="shared" si="12"/>
        <v>-213.12335456622679</v>
      </c>
      <c r="AN45" s="30">
        <f t="shared" si="12"/>
        <v>-213.6706048533762</v>
      </c>
      <c r="AO45" s="30">
        <f t="shared" si="12"/>
        <v>-213.67781973792103</v>
      </c>
      <c r="AP45" s="30">
        <f t="shared" si="12"/>
        <v>-191.46822669234976</v>
      </c>
      <c r="AQ45" s="218">
        <f t="shared" si="12"/>
        <v>-192.51219145201611</v>
      </c>
      <c r="AR45" s="30">
        <f t="shared" ref="AR45:AV45" si="13">-AR65</f>
        <v>-192.13896415702308</v>
      </c>
      <c r="AS45" s="30">
        <f t="shared" si="13"/>
        <v>-191.06072555531307</v>
      </c>
      <c r="AT45" s="30">
        <f t="shared" si="13"/>
        <v>-190.48957540855938</v>
      </c>
      <c r="AU45" s="30">
        <f t="shared" si="13"/>
        <v>-188.23444385101459</v>
      </c>
      <c r="AV45" s="30">
        <f t="shared" si="13"/>
        <v>-185.52482653938557</v>
      </c>
    </row>
    <row r="46" spans="2:48" s="2" customFormat="1" ht="15">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2394.2467207273471</v>
      </c>
      <c r="AK46" s="526">
        <f t="shared" si="14"/>
        <v>2459.6465910051797</v>
      </c>
      <c r="AL46" s="526">
        <f t="shared" si="14"/>
        <v>2488.7836461767583</v>
      </c>
      <c r="AM46" s="526">
        <f t="shared" si="14"/>
        <v>2512.9105288635492</v>
      </c>
      <c r="AN46" s="526">
        <f t="shared" si="14"/>
        <v>2538.8886735386882</v>
      </c>
      <c r="AO46" s="526">
        <f t="shared" si="14"/>
        <v>2571.9936504138677</v>
      </c>
      <c r="AP46" s="526">
        <f t="shared" si="14"/>
        <v>2636.0689402443854</v>
      </c>
      <c r="AQ46" s="531">
        <f t="shared" si="14"/>
        <v>2698.1974956637241</v>
      </c>
      <c r="AR46" s="526">
        <f t="shared" si="14"/>
        <v>2758.5961585892233</v>
      </c>
      <c r="AS46" s="526">
        <f t="shared" si="14"/>
        <v>2828.8477326022303</v>
      </c>
      <c r="AT46" s="526">
        <f t="shared" si="14"/>
        <v>2904.9886802684309</v>
      </c>
      <c r="AU46" s="526">
        <f t="shared" si="14"/>
        <v>2981.7365897819773</v>
      </c>
      <c r="AV46" s="526">
        <f t="shared" si="14"/>
        <v>3045.2245604047721</v>
      </c>
    </row>
    <row r="47" spans="2:48" s="2" customFormat="1" ht="15">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5">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5">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5">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5">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5">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5">
      <c r="A53" s="7"/>
      <c r="E53" s="74" t="s">
        <v>913</v>
      </c>
      <c r="G53" s="2" t="s">
        <v>101</v>
      </c>
      <c r="J53" s="42"/>
      <c r="AJ53" s="79">
        <f>Depn!AJ45</f>
        <v>4257.2587291101372</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5">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5">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4257.2587291101372</v>
      </c>
      <c r="AK55" s="2">
        <f t="shared" si="15"/>
        <v>4533.1159429583513</v>
      </c>
      <c r="AL55" s="2">
        <f t="shared" si="15"/>
        <v>4805.8177559804999</v>
      </c>
      <c r="AM55" s="2">
        <f t="shared" si="15"/>
        <v>5046.8290539401496</v>
      </c>
      <c r="AN55" s="2">
        <f t="shared" si="15"/>
        <v>5284.0792911931667</v>
      </c>
      <c r="AO55" s="2">
        <f t="shared" si="15"/>
        <v>5523.7280407216822</v>
      </c>
      <c r="AP55" s="2">
        <f t="shared" si="15"/>
        <v>5770.510837334783</v>
      </c>
      <c r="AQ55" s="57">
        <f t="shared" si="15"/>
        <v>6026.0543538576503</v>
      </c>
      <c r="AR55" s="2">
        <f t="shared" si="15"/>
        <v>6280.6951007290054</v>
      </c>
      <c r="AS55" s="2">
        <f t="shared" si="15"/>
        <v>6533.2327278115281</v>
      </c>
      <c r="AT55" s="2">
        <f t="shared" si="15"/>
        <v>6794.5450273798479</v>
      </c>
      <c r="AU55" s="2">
        <f t="shared" si="15"/>
        <v>7061.1755504546081</v>
      </c>
      <c r="AV55" s="2">
        <f t="shared" si="15"/>
        <v>7326.1579038191685</v>
      </c>
    </row>
    <row r="56" spans="1:48" s="7" customFormat="1" ht="15">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4257.2587291101372</v>
      </c>
      <c r="AK56" s="432">
        <f t="shared" si="16"/>
        <v>4533.1159429583513</v>
      </c>
      <c r="AL56" s="432">
        <f t="shared" si="16"/>
        <v>4805.8177559804999</v>
      </c>
      <c r="AM56" s="432">
        <f t="shared" si="16"/>
        <v>5046.8290539401496</v>
      </c>
      <c r="AN56" s="432">
        <f t="shared" si="16"/>
        <v>5284.0792911931667</v>
      </c>
      <c r="AO56" s="432">
        <f t="shared" si="16"/>
        <v>5523.7280407216822</v>
      </c>
      <c r="AP56" s="432">
        <f t="shared" si="16"/>
        <v>5770.510837334783</v>
      </c>
      <c r="AQ56" s="534">
        <f t="shared" si="16"/>
        <v>6026.0543538576503</v>
      </c>
      <c r="AR56" s="432">
        <f t="shared" si="16"/>
        <v>6280.6951007290054</v>
      </c>
      <c r="AS56" s="432">
        <f t="shared" si="16"/>
        <v>6533.2327278115281</v>
      </c>
      <c r="AT56" s="432">
        <f t="shared" si="16"/>
        <v>6794.5450273798479</v>
      </c>
      <c r="AU56" s="432">
        <f t="shared" si="16"/>
        <v>7061.1755504546081</v>
      </c>
      <c r="AV56" s="432">
        <f t="shared" si="16"/>
        <v>7326.1579038191685</v>
      </c>
    </row>
    <row r="57" spans="1:48" s="7" customFormat="1" ht="15">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275.85721384821414</v>
      </c>
      <c r="AK57" s="8">
        <f>Depn!AK27</f>
        <v>272.70181302214843</v>
      </c>
      <c r="AL57" s="8">
        <f>Depn!AL27</f>
        <v>241.01129795964931</v>
      </c>
      <c r="AM57" s="8">
        <f>Depn!AM27</f>
        <v>237.25023725301742</v>
      </c>
      <c r="AN57" s="8">
        <f>Depn!AN27</f>
        <v>239.64874952851514</v>
      </c>
      <c r="AO57" s="8">
        <f>Depn!AO27</f>
        <v>246.7827966131006</v>
      </c>
      <c r="AP57" s="8">
        <f>Depn!AP27</f>
        <v>255.54351652286735</v>
      </c>
      <c r="AQ57" s="9">
        <f>Depn!AQ27</f>
        <v>254.64074687135479</v>
      </c>
      <c r="AR57" s="8">
        <f>Depn!AR27</f>
        <v>252.53762708252239</v>
      </c>
      <c r="AS57" s="8">
        <f>Depn!AS27</f>
        <v>261.3122995683201</v>
      </c>
      <c r="AT57" s="8">
        <f>Depn!AT27</f>
        <v>266.63052307475994</v>
      </c>
      <c r="AU57" s="8">
        <f>Depn!AU27</f>
        <v>264.98235336456077</v>
      </c>
      <c r="AV57" s="8">
        <f>Depn!AV27</f>
        <v>249.01279716218068</v>
      </c>
    </row>
    <row r="58" spans="1:48" s="7" customFormat="1" ht="15">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4533.1159429583513</v>
      </c>
      <c r="AK58" s="431">
        <f t="shared" si="17"/>
        <v>4805.8177559804999</v>
      </c>
      <c r="AL58" s="431">
        <f t="shared" si="17"/>
        <v>5046.8290539401496</v>
      </c>
      <c r="AM58" s="431">
        <f t="shared" si="17"/>
        <v>5284.0792911931667</v>
      </c>
      <c r="AN58" s="431">
        <f t="shared" si="17"/>
        <v>5523.7280407216822</v>
      </c>
      <c r="AO58" s="431">
        <f t="shared" si="17"/>
        <v>5770.510837334783</v>
      </c>
      <c r="AP58" s="431">
        <f t="shared" si="17"/>
        <v>6026.0543538576503</v>
      </c>
      <c r="AQ58" s="533">
        <f t="shared" si="17"/>
        <v>6280.6951007290054</v>
      </c>
      <c r="AR58" s="431">
        <f t="shared" si="17"/>
        <v>6533.2327278115281</v>
      </c>
      <c r="AS58" s="431">
        <f t="shared" si="17"/>
        <v>6794.5450273798479</v>
      </c>
      <c r="AT58" s="431">
        <f t="shared" si="17"/>
        <v>7061.1755504546081</v>
      </c>
      <c r="AU58" s="431">
        <f t="shared" si="17"/>
        <v>7326.1579038191685</v>
      </c>
      <c r="AV58" s="431">
        <f t="shared" si="17"/>
        <v>7575.170700981349</v>
      </c>
    </row>
    <row r="59" spans="1:48" s="7" customFormat="1" ht="15">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5">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5">
      <c r="A61" s="7"/>
      <c r="E61" s="74" t="s">
        <v>924</v>
      </c>
      <c r="G61" s="2" t="s">
        <v>101</v>
      </c>
      <c r="J61" s="42"/>
      <c r="AJ61" s="79">
        <f>Depn!AJ46</f>
        <v>1908.1213580327997</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5">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5">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1908.1213580327997</v>
      </c>
      <c r="AK63" s="2">
        <f t="shared" si="18"/>
        <v>2108.8753812655382</v>
      </c>
      <c r="AL63" s="2">
        <f t="shared" si="18"/>
        <v>2316.1773240098541</v>
      </c>
      <c r="AM63" s="2">
        <f t="shared" si="18"/>
        <v>2528.0515667979244</v>
      </c>
      <c r="AN63" s="2">
        <f t="shared" si="18"/>
        <v>2741.174921364151</v>
      </c>
      <c r="AO63" s="2">
        <f t="shared" si="18"/>
        <v>2954.8455262175271</v>
      </c>
      <c r="AP63" s="2">
        <f t="shared" si="18"/>
        <v>3168.5233459554483</v>
      </c>
      <c r="AQ63" s="57">
        <f t="shared" si="18"/>
        <v>3359.991572647798</v>
      </c>
      <c r="AR63" s="2">
        <f t="shared" si="18"/>
        <v>3552.5037640998139</v>
      </c>
      <c r="AS63" s="2">
        <f t="shared" si="18"/>
        <v>3744.642728256837</v>
      </c>
      <c r="AT63" s="2">
        <f t="shared" si="18"/>
        <v>3935.7034538121502</v>
      </c>
      <c r="AU63" s="2">
        <f t="shared" si="18"/>
        <v>4126.1930292207098</v>
      </c>
      <c r="AV63" s="2">
        <f t="shared" si="18"/>
        <v>4314.4274730717243</v>
      </c>
    </row>
    <row r="64" spans="1:48" s="7" customFormat="1" ht="15">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1908.1213580327997</v>
      </c>
      <c r="AK64" s="432">
        <f t="shared" si="19"/>
        <v>2108.8753812655382</v>
      </c>
      <c r="AL64" s="432">
        <f t="shared" si="19"/>
        <v>2316.1773240098541</v>
      </c>
      <c r="AM64" s="432">
        <f t="shared" si="19"/>
        <v>2528.0515667979244</v>
      </c>
      <c r="AN64" s="432">
        <f t="shared" si="19"/>
        <v>2741.174921364151</v>
      </c>
      <c r="AO64" s="432">
        <f t="shared" si="19"/>
        <v>2954.8455262175271</v>
      </c>
      <c r="AP64" s="432">
        <f t="shared" si="19"/>
        <v>3168.5233459554483</v>
      </c>
      <c r="AQ64" s="534">
        <f t="shared" si="19"/>
        <v>3359.991572647798</v>
      </c>
      <c r="AR64" s="432">
        <f t="shared" si="19"/>
        <v>3552.5037640998139</v>
      </c>
      <c r="AS64" s="432">
        <f t="shared" si="19"/>
        <v>3744.642728256837</v>
      </c>
      <c r="AT64" s="432">
        <f t="shared" si="19"/>
        <v>3935.7034538121502</v>
      </c>
      <c r="AU64" s="432">
        <f t="shared" si="19"/>
        <v>4126.1930292207098</v>
      </c>
      <c r="AV64" s="432">
        <f t="shared" si="19"/>
        <v>4314.4274730717243</v>
      </c>
    </row>
    <row r="65" spans="1:48" s="7" customFormat="1" ht="15">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200.75402323273869</v>
      </c>
      <c r="AK65" s="8">
        <f>SUM(Depn!AK29:AK31)</f>
        <v>207.3019427443158</v>
      </c>
      <c r="AL65" s="8">
        <f>SUM(Depn!AL29:AL31)</f>
        <v>211.87424278807043</v>
      </c>
      <c r="AM65" s="8">
        <f>SUM(Depn!AM29:AM31)</f>
        <v>213.12335456622679</v>
      </c>
      <c r="AN65" s="8">
        <f>SUM(Depn!AN29:AN31)</f>
        <v>213.6706048533762</v>
      </c>
      <c r="AO65" s="8">
        <f>SUM(Depn!AO29:AO31)</f>
        <v>213.67781973792103</v>
      </c>
      <c r="AP65" s="8">
        <f>SUM(Depn!AP29:AP31)</f>
        <v>191.46822669234976</v>
      </c>
      <c r="AQ65" s="9">
        <f>SUM(Depn!AQ29:AQ31)</f>
        <v>192.51219145201611</v>
      </c>
      <c r="AR65" s="8">
        <f>SUM(Depn!AR29:AR31)</f>
        <v>192.13896415702308</v>
      </c>
      <c r="AS65" s="8">
        <f>SUM(Depn!AS29:AS31)</f>
        <v>191.06072555531307</v>
      </c>
      <c r="AT65" s="8">
        <f>SUM(Depn!AT29:AT31)</f>
        <v>190.48957540855938</v>
      </c>
      <c r="AU65" s="8">
        <f>SUM(Depn!AU29:AU31)</f>
        <v>188.23444385101459</v>
      </c>
      <c r="AV65" s="8">
        <f>SUM(Depn!AV29:AV31)</f>
        <v>185.52482653938557</v>
      </c>
    </row>
    <row r="66" spans="1:48" s="7" customFormat="1" ht="15">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2108.8753812655382</v>
      </c>
      <c r="AK66" s="431">
        <f t="shared" si="20"/>
        <v>2316.1773240098541</v>
      </c>
      <c r="AL66" s="431">
        <f t="shared" si="20"/>
        <v>2528.0515667979244</v>
      </c>
      <c r="AM66" s="431">
        <f t="shared" si="20"/>
        <v>2741.174921364151</v>
      </c>
      <c r="AN66" s="431">
        <f t="shared" si="20"/>
        <v>2954.8455262175271</v>
      </c>
      <c r="AO66" s="431">
        <f t="shared" si="20"/>
        <v>3168.5233459554483</v>
      </c>
      <c r="AP66" s="431">
        <f t="shared" si="20"/>
        <v>3359.991572647798</v>
      </c>
      <c r="AQ66" s="533">
        <f t="shared" si="20"/>
        <v>3552.5037640998139</v>
      </c>
      <c r="AR66" s="431">
        <f t="shared" si="20"/>
        <v>3744.642728256837</v>
      </c>
      <c r="AS66" s="431">
        <f t="shared" si="20"/>
        <v>3935.7034538121502</v>
      </c>
      <c r="AT66" s="431">
        <f t="shared" si="20"/>
        <v>4126.1930292207098</v>
      </c>
      <c r="AU66" s="431">
        <f t="shared" si="20"/>
        <v>4314.4274730717243</v>
      </c>
      <c r="AV66" s="431">
        <f t="shared" si="20"/>
        <v>4499.95229961111</v>
      </c>
    </row>
    <row r="67" spans="1:48" s="7" customFormat="1" ht="15">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5">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5">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2788.5899995546911</v>
      </c>
      <c r="AS69" s="461">
        <f>AS58 - AS66</f>
        <v>2858.8415735676977</v>
      </c>
      <c r="AT69" s="461">
        <f>AT58 - AT66</f>
        <v>2934.9825212338983</v>
      </c>
      <c r="AU69" s="461">
        <f>AU58 - AU66</f>
        <v>3011.7304307474442</v>
      </c>
      <c r="AV69" s="461">
        <f>AV58 - AV66</f>
        <v>3075.218401370239</v>
      </c>
    </row>
    <row r="70" spans="1:48" s="7" customFormat="1" ht="15">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5">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5">
      <c r="E72" s="41"/>
      <c r="J72" s="42"/>
      <c r="K72" s="42"/>
      <c r="L72" s="42"/>
      <c r="M72" s="42"/>
      <c r="N72" s="42"/>
      <c r="O72" s="42"/>
      <c r="P72" s="42"/>
      <c r="Q72" s="42"/>
      <c r="R72" s="42"/>
      <c r="S72" s="42"/>
      <c r="T72" s="42"/>
      <c r="U72" s="42"/>
      <c r="V72" s="42"/>
      <c r="W72" s="42"/>
      <c r="X72" s="42"/>
      <c r="Y72" s="42"/>
      <c r="Z72" s="42"/>
      <c r="AQ72" s="57"/>
    </row>
    <row r="73" spans="1:48" s="2" customFormat="1" ht="15">
      <c r="E73" s="41" t="s">
        <v>272</v>
      </c>
      <c r="G73" s="2" t="s">
        <v>101</v>
      </c>
      <c r="I73" s="8">
        <f>InputSummary!I219</f>
        <v>29.993840965466223</v>
      </c>
      <c r="J73" s="42"/>
      <c r="K73" s="42"/>
      <c r="L73" s="42"/>
      <c r="M73" s="42"/>
      <c r="N73" s="42"/>
      <c r="O73" s="42"/>
      <c r="P73" s="42"/>
      <c r="Q73" s="42"/>
      <c r="R73" s="42"/>
      <c r="S73" s="42"/>
      <c r="T73" s="42"/>
      <c r="U73" s="42"/>
      <c r="V73" s="42"/>
      <c r="W73" s="42"/>
      <c r="X73" s="42"/>
      <c r="Y73" s="42"/>
      <c r="Z73" s="42"/>
      <c r="AJ73" s="2">
        <f>AJ$37*$I73</f>
        <v>29.993840965466223</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5">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5">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425" priority="1">
      <formula>mac_sensitivity=2</formula>
    </cfRule>
    <cfRule type="expression" dxfId="424" priority="2">
      <formula>mac_sensitivity=1</formula>
    </cfRule>
  </conditionalFormatting>
  <conditionalFormatting sqref="AM3">
    <cfRule type="expression" dxfId="423"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a1084e3a969a6937a6a378eb151ed18e">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940df6e83dec7b2207e4c4c57a8da89"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A 0 D A A B Q S w M E F A A C A A g A l 1 w v W v 9 n C c G m A A A A 9 g A A A B I A H A B D b 2 5 m a W c v U G F j a 2 F n Z S 5 4 b W w g o h g A K K A U A A A A A A A A A A A A A A A A A A A A A A A A A A A A h Y 9 L D o I w G I S v Q r q n D 0 h 8 k J + S 6 M K N J C Y m x m 1 T K z R C M b R Y 7 u b C I 3 k F M Y q 6 c z n f f I u Z + / U G W V 9 X w U W 1 V j c m R Q x T F C g j m 4 M 2 R Y o 6 d w x n K O O w E f I k C h U M s r F J b w 8 p K p 0 7 J 4 R 4 7 7 G P c d M W J K K U k X 2 + 3 s p S 1 Q J 9 Z P 1 f D r W x T h i p E I f d a w y P M I v n m E 0 n m A I Z I e T a f I V o 2 P t s f y A s u 8 p 1 r e L K h K s F k D E C e X / g D 1 B L A w Q U A A I A C A C X X C 9 a 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l 1 w v W i i K R 7 g O A A A A E Q A A A B M A H A B G b 3 J t d W x h c y 9 T Z W N 0 a W 9 u M S 5 t I K I Y A C i g F A A A A A A A A A A A A A A A A A A A A A A A A A A A A C t O T S 7 J z M 9 T C I b Q h t Y A U E s B A i 0 A F A A C A A g A l 1 w v W v 9 n C c G m A A A A 9 g A A A B I A A A A A A A A A A A A A A A A A A A A A A E N v b m Z p Z y 9 Q Y W N r Y W d l L n h t b F B L A Q I t A B Q A A g A I A J d c L 1 p T c j g s m w A A A O E A A A A T A A A A A A A A A A A A A A A A A P I A A A B b Q 2 9 u d G V u d F 9 U e X B l c 1 0 u e G 1 s U E s B A i 0 A F A A C A A g A l 1 w v W i 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5 F 9 t 0 g L e s T 4 T n J w R v 9 n p s A A A A A A I A A A A A A A N m A A D A A A A A E A A A A M J p Z + h 9 F H j h 7 a l B l W g a y q E A A A A A B I A A A K A A A A A Q A A A A j w k 3 e R 7 X Y K d 4 E R R V L Z 1 p Q l A A A A A O / K o M w H M U e / l O 6 S 2 H v w C a G v 9 g r j T q 7 Y b S P w u 6 4 h E h n k y m g Y B B t C a s s S U 7 O 2 2 U s J 5 f o R Z A 1 E 3 U R s D l O G u C 8 Z 3 4 j w r t F n V T B j l C W A O R n 8 e l / B Q A A A B F b y n P u C K O / p H m i q 2 u k J z F R 6 / / 4 A = = < / D a t a M a s h u p > 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1752</PublicationRequestID>
    <TaxCatchAll xmlns="d66eba0d-a2b9-4833-9603-ab5d8f45883c" xsi:nil="true"/>
    <DocumentTitle xmlns="3ffacce4-957f-4f0a-910f-9efe2ecf512c">ED2 PCFM V4 (published 25 July 2025)</DocumentTitle>
    <DocumentRank xmlns="3ffacce4-957f-4f0a-910f-9efe2ecf512c">Main</DocumentRank>
  </documentManagement>
</p:properties>
</file>

<file path=customXml/itemProps1.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2.xml><?xml version="1.0" encoding="utf-8"?>
<ds:datastoreItem xmlns:ds="http://schemas.openxmlformats.org/officeDocument/2006/customXml" ds:itemID="{E3A36143-F865-49E9-81B9-F0AF3685187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E3A8292A-9627-477D-8059-9B8E918C7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092E8BC-996F-4634-A148-0F059D409F47}">
  <ds:schemaRefs>
    <ds:schemaRef ds:uri="http://schemas.microsoft.com/DataMashup"/>
  </ds:schemaRefs>
</ds:datastoreItem>
</file>

<file path=customXml/itemProps5.xml><?xml version="1.0" encoding="utf-8"?>
<ds:datastoreItem xmlns:ds="http://schemas.openxmlformats.org/officeDocument/2006/customXml" ds:itemID="{8960A401-5BD1-48EA-B12B-96DF3580168D}">
  <ds:schemaRefs>
    <ds:schemaRef ds:uri="http://schemas.microsoft.com/office/2006/metadata/properties"/>
    <ds:schemaRef ds:uri="http://schemas.microsoft.com/office/infopath/2007/PartnerControls"/>
    <ds:schemaRef ds:uri="http://schemas.microsoft.com/sharepoint/v3"/>
    <ds:schemaRef ds:uri="3ffacce4-957f-4f0a-910f-9efe2ecf512c"/>
    <ds:schemaRef ds:uri="d66eba0d-a2b9-4833-9603-ab5d8f4588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Macpherson, Scott</cp:lastModifiedBy>
  <cp:revision/>
  <dcterms:created xsi:type="dcterms:W3CDTF">2021-01-04T16:10:44Z</dcterms:created>
  <dcterms:modified xsi:type="dcterms:W3CDTF">2025-12-08T11:13:20Z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0x010100D7C6947C0F765F428416B2828D309B65</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